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ellnl-my.sharepoint.com/personal/stanley27_llnl_gov/Documents/EJ Data Analysis/CDR Estimates/Foresty CDR/"/>
    </mc:Choice>
  </mc:AlternateContent>
  <xr:revisionPtr revIDLastSave="4" documentId="13_ncr:1_{1F41D52A-13FC-4736-9015-F56559B3B1EB}" xr6:coauthVersionLast="47" xr6:coauthVersionMax="47" xr10:uidLastSave="{181D5E7C-A07D-4D31-B5AC-87A98B1FF119}"/>
  <bookViews>
    <workbookView xWindow="880" yWindow="0" windowWidth="15220" windowHeight="9270" xr2:uid="{00000000-000D-0000-FFFF-FFFF00000000}"/>
  </bookViews>
  <sheets>
    <sheet name="Sheet1" sheetId="1" r:id="rId1"/>
  </sheets>
  <definedNames>
    <definedName name="_xlnm._FilterDatabase" localSheetId="0" hidden="1">Sheet1!$A$1:$D$750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0" i="1" l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<sst xmlns="http://schemas.openxmlformats.org/spreadsheetml/2006/main" count="2251" uniqueCount="1293">
  <si>
    <t>01001</t>
  </si>
  <si>
    <t>01005</t>
  </si>
  <si>
    <t>01023</t>
  </si>
  <si>
    <t>01035</t>
  </si>
  <si>
    <t>01051</t>
  </si>
  <si>
    <t>01055</t>
  </si>
  <si>
    <t>01065</t>
  </si>
  <si>
    <t>01089</t>
  </si>
  <si>
    <t>01113</t>
  </si>
  <si>
    <t>01117</t>
  </si>
  <si>
    <t>12009</t>
  </si>
  <si>
    <t>12023</t>
  </si>
  <si>
    <t>12039</t>
  </si>
  <si>
    <t>12055</t>
  </si>
  <si>
    <t>12065</t>
  </si>
  <si>
    <t>12073</t>
  </si>
  <si>
    <t>12095</t>
  </si>
  <si>
    <t>12107</t>
  </si>
  <si>
    <t>12123</t>
  </si>
  <si>
    <t>12127</t>
  </si>
  <si>
    <t>12131</t>
  </si>
  <si>
    <t>12133</t>
  </si>
  <si>
    <t>13009</t>
  </si>
  <si>
    <t>13027</t>
  </si>
  <si>
    <t>13103</t>
  </si>
  <si>
    <t>13121</t>
  </si>
  <si>
    <t>13141</t>
  </si>
  <si>
    <t>13149</t>
  </si>
  <si>
    <t>13179</t>
  </si>
  <si>
    <t>13183</t>
  </si>
  <si>
    <t>13189</t>
  </si>
  <si>
    <t>13209</t>
  </si>
  <si>
    <t>13229</t>
  </si>
  <si>
    <t>13267</t>
  </si>
  <si>
    <t>13271</t>
  </si>
  <si>
    <t>13291</t>
  </si>
  <si>
    <t>13305</t>
  </si>
  <si>
    <t>13319</t>
  </si>
  <si>
    <t>37007</t>
  </si>
  <si>
    <t>37027</t>
  </si>
  <si>
    <t>37039</t>
  </si>
  <si>
    <t>37049</t>
  </si>
  <si>
    <t>37055</t>
  </si>
  <si>
    <t>37059</t>
  </si>
  <si>
    <t>37069</t>
  </si>
  <si>
    <t>37083</t>
  </si>
  <si>
    <t>37091</t>
  </si>
  <si>
    <t>37093</t>
  </si>
  <si>
    <t>37099</t>
  </si>
  <si>
    <t>37111</t>
  </si>
  <si>
    <t>37117</t>
  </si>
  <si>
    <t>37127</t>
  </si>
  <si>
    <t>37165</t>
  </si>
  <si>
    <t>37175</t>
  </si>
  <si>
    <t>37199</t>
  </si>
  <si>
    <t>45005</t>
  </si>
  <si>
    <t>45019</t>
  </si>
  <si>
    <t>45025</t>
  </si>
  <si>
    <t>45043</t>
  </si>
  <si>
    <t>45063</t>
  </si>
  <si>
    <t>45077</t>
  </si>
  <si>
    <t>45091</t>
  </si>
  <si>
    <t>47001</t>
  </si>
  <si>
    <t>47003</t>
  </si>
  <si>
    <t>47005</t>
  </si>
  <si>
    <t>47019</t>
  </si>
  <si>
    <t>47029</t>
  </si>
  <si>
    <t>47049</t>
  </si>
  <si>
    <t>47063</t>
  </si>
  <si>
    <t>47073</t>
  </si>
  <si>
    <t>47081</t>
  </si>
  <si>
    <t>47097</t>
  </si>
  <si>
    <t>47121</t>
  </si>
  <si>
    <t>47149</t>
  </si>
  <si>
    <t>47173</t>
  </si>
  <si>
    <t>13283</t>
  </si>
  <si>
    <t>13289</t>
  </si>
  <si>
    <t>13313</t>
  </si>
  <si>
    <t>13317</t>
  </si>
  <si>
    <t>51015</t>
  </si>
  <si>
    <t>51037</t>
  </si>
  <si>
    <t>51051</t>
  </si>
  <si>
    <t>51053</t>
  </si>
  <si>
    <t>51069</t>
  </si>
  <si>
    <t>51073</t>
  </si>
  <si>
    <t>51085</t>
  </si>
  <si>
    <t>51099</t>
  </si>
  <si>
    <t>51125</t>
  </si>
  <si>
    <t>51131</t>
  </si>
  <si>
    <t>51137</t>
  </si>
  <si>
    <t>51145</t>
  </si>
  <si>
    <t>51149</t>
  </si>
  <si>
    <t>51161</t>
  </si>
  <si>
    <t>51177</t>
  </si>
  <si>
    <t>51185</t>
  </si>
  <si>
    <t>51199</t>
  </si>
  <si>
    <t>12077</t>
  </si>
  <si>
    <t>28007</t>
  </si>
  <si>
    <t>28033</t>
  </si>
  <si>
    <t>28055</t>
  </si>
  <si>
    <t>28075</t>
  </si>
  <si>
    <t>28143</t>
  </si>
  <si>
    <t>28157</t>
  </si>
  <si>
    <t>28163</t>
  </si>
  <si>
    <t>13051</t>
  </si>
  <si>
    <t>13077</t>
  </si>
  <si>
    <t>13123</t>
  </si>
  <si>
    <t>13133</t>
  </si>
  <si>
    <t>13137</t>
  </si>
  <si>
    <t>13139</t>
  </si>
  <si>
    <t>13143</t>
  </si>
  <si>
    <t>13157</t>
  </si>
  <si>
    <t>13171</t>
  </si>
  <si>
    <t>13181</t>
  </si>
  <si>
    <t>13185</t>
  </si>
  <si>
    <t>13195</t>
  </si>
  <si>
    <t>13213</t>
  </si>
  <si>
    <t>13217</t>
  </si>
  <si>
    <t>13237</t>
  </si>
  <si>
    <t>13245</t>
  </si>
  <si>
    <t>13251</t>
  </si>
  <si>
    <t>13269</t>
  </si>
  <si>
    <t>13279</t>
  </si>
  <si>
    <t>28149</t>
  </si>
  <si>
    <t>28151</t>
  </si>
  <si>
    <t>01049</t>
  </si>
  <si>
    <t>01063</t>
  </si>
  <si>
    <t>01087</t>
  </si>
  <si>
    <t>01091</t>
  </si>
  <si>
    <t>01095</t>
  </si>
  <si>
    <t>01101</t>
  </si>
  <si>
    <t>01107</t>
  </si>
  <si>
    <t>01115</t>
  </si>
  <si>
    <t>01119</t>
  </si>
  <si>
    <t>01131</t>
  </si>
  <si>
    <t>12086</t>
  </si>
  <si>
    <t>12093</t>
  </si>
  <si>
    <t>12097</t>
  </si>
  <si>
    <t>13021</t>
  </si>
  <si>
    <t>13029</t>
  </si>
  <si>
    <t>28001</t>
  </si>
  <si>
    <t>28011</t>
  </si>
  <si>
    <t>28029</t>
  </si>
  <si>
    <t>28043</t>
  </si>
  <si>
    <t>28083</t>
  </si>
  <si>
    <t>28087</t>
  </si>
  <si>
    <t>28103</t>
  </si>
  <si>
    <t>28121</t>
  </si>
  <si>
    <t>37009</t>
  </si>
  <si>
    <t>37013</t>
  </si>
  <si>
    <t>37017</t>
  </si>
  <si>
    <t>37023</t>
  </si>
  <si>
    <t>37037</t>
  </si>
  <si>
    <t>37043</t>
  </si>
  <si>
    <t>37053</t>
  </si>
  <si>
    <t>37057</t>
  </si>
  <si>
    <t>37065</t>
  </si>
  <si>
    <t>37075</t>
  </si>
  <si>
    <t>37085</t>
  </si>
  <si>
    <t>37089</t>
  </si>
  <si>
    <t>37095</t>
  </si>
  <si>
    <t>37103</t>
  </si>
  <si>
    <t>37115</t>
  </si>
  <si>
    <t>37123</t>
  </si>
  <si>
    <t>28141</t>
  </si>
  <si>
    <t>51007</t>
  </si>
  <si>
    <t>51017</t>
  </si>
  <si>
    <t>51019</t>
  </si>
  <si>
    <t>51023</t>
  </si>
  <si>
    <t>51033</t>
  </si>
  <si>
    <t>51036</t>
  </si>
  <si>
    <t>51041</t>
  </si>
  <si>
    <t>51057</t>
  </si>
  <si>
    <t>51067</t>
  </si>
  <si>
    <t>51083</t>
  </si>
  <si>
    <t>51091</t>
  </si>
  <si>
    <t>51095</t>
  </si>
  <si>
    <t>51107</t>
  </si>
  <si>
    <t>51111</t>
  </si>
  <si>
    <t>51127</t>
  </si>
  <si>
    <t>51133</t>
  </si>
  <si>
    <t>51143</t>
  </si>
  <si>
    <t>51159</t>
  </si>
  <si>
    <t>51165</t>
  </si>
  <si>
    <t>51175</t>
  </si>
  <si>
    <t>51179</t>
  </si>
  <si>
    <t>51187</t>
  </si>
  <si>
    <t>37133</t>
  </si>
  <si>
    <t>37137</t>
  </si>
  <si>
    <t>37149</t>
  </si>
  <si>
    <t>37153</t>
  </si>
  <si>
    <t>37161</t>
  </si>
  <si>
    <t>37163</t>
  </si>
  <si>
    <t>37177</t>
  </si>
  <si>
    <t>12033</t>
  </si>
  <si>
    <t>12037</t>
  </si>
  <si>
    <t>12041</t>
  </si>
  <si>
    <t>12047</t>
  </si>
  <si>
    <t>12053</t>
  </si>
  <si>
    <t>12071</t>
  </si>
  <si>
    <t>51063</t>
  </si>
  <si>
    <t>51087</t>
  </si>
  <si>
    <t>45027</t>
  </si>
  <si>
    <t>45047</t>
  </si>
  <si>
    <t>01043</t>
  </si>
  <si>
    <t>45029</t>
  </si>
  <si>
    <t>45071</t>
  </si>
  <si>
    <t>01033</t>
  </si>
  <si>
    <t>12013</t>
  </si>
  <si>
    <t>12069</t>
  </si>
  <si>
    <t>12129</t>
  </si>
  <si>
    <t>13219</t>
  </si>
  <si>
    <t>47057</t>
  </si>
  <si>
    <t>13007</t>
  </si>
  <si>
    <t>37029</t>
  </si>
  <si>
    <t>47091</t>
  </si>
  <si>
    <t>45055</t>
  </si>
  <si>
    <t>45059</t>
  </si>
  <si>
    <t>45069</t>
  </si>
  <si>
    <t>45073</t>
  </si>
  <si>
    <t>45083</t>
  </si>
  <si>
    <t>45089</t>
  </si>
  <si>
    <t>12079</t>
  </si>
  <si>
    <t>12113</t>
  </si>
  <si>
    <t>13001</t>
  </si>
  <si>
    <t>13079</t>
  </si>
  <si>
    <t>13135</t>
  </si>
  <si>
    <t>13311</t>
  </si>
  <si>
    <t>47107</t>
  </si>
  <si>
    <t>47117</t>
  </si>
  <si>
    <t>47123</t>
  </si>
  <si>
    <t>47143</t>
  </si>
  <si>
    <t>47151</t>
  </si>
  <si>
    <t>47155</t>
  </si>
  <si>
    <t>47157</t>
  </si>
  <si>
    <t>47165</t>
  </si>
  <si>
    <t>47167</t>
  </si>
  <si>
    <t>47185</t>
  </si>
  <si>
    <t>47189</t>
  </si>
  <si>
    <t>47013</t>
  </si>
  <si>
    <t>47021</t>
  </si>
  <si>
    <t>47031</t>
  </si>
  <si>
    <t>47035</t>
  </si>
  <si>
    <t>47037</t>
  </si>
  <si>
    <t>47041</t>
  </si>
  <si>
    <t>47065</t>
  </si>
  <si>
    <t>47089</t>
  </si>
  <si>
    <t>01041</t>
  </si>
  <si>
    <t>45009</t>
  </si>
  <si>
    <t>45057</t>
  </si>
  <si>
    <t>45087</t>
  </si>
  <si>
    <t>47025</t>
  </si>
  <si>
    <t>47053</t>
  </si>
  <si>
    <t>47135</t>
  </si>
  <si>
    <t>47163</t>
  </si>
  <si>
    <t>51005</t>
  </si>
  <si>
    <t>51029</t>
  </si>
  <si>
    <t>51089</t>
  </si>
  <si>
    <t>51141</t>
  </si>
  <si>
    <t>51193</t>
  </si>
  <si>
    <t>13261</t>
  </si>
  <si>
    <t>37105</t>
  </si>
  <si>
    <t>37125</t>
  </si>
  <si>
    <t>28051</t>
  </si>
  <si>
    <t>45015</t>
  </si>
  <si>
    <t>45067</t>
  </si>
  <si>
    <t>47009</t>
  </si>
  <si>
    <t>47129</t>
  </si>
  <si>
    <t>12057</t>
  </si>
  <si>
    <t>12089</t>
  </si>
  <si>
    <t>13025</t>
  </si>
  <si>
    <t>28017</t>
  </si>
  <si>
    <t>13075</t>
  </si>
  <si>
    <t>13303</t>
  </si>
  <si>
    <t>12075</t>
  </si>
  <si>
    <t>28089</t>
  </si>
  <si>
    <t>37021</t>
  </si>
  <si>
    <t>37107</t>
  </si>
  <si>
    <t>37145</t>
  </si>
  <si>
    <t>37193</t>
  </si>
  <si>
    <t>28109</t>
  </si>
  <si>
    <t>37015</t>
  </si>
  <si>
    <t>37101</t>
  </si>
  <si>
    <t>37131</t>
  </si>
  <si>
    <t>37159</t>
  </si>
  <si>
    <t>37183</t>
  </si>
  <si>
    <t>13201</t>
  </si>
  <si>
    <t>13265</t>
  </si>
  <si>
    <t>45003</t>
  </si>
  <si>
    <t>45007</t>
  </si>
  <si>
    <t>45017</t>
  </si>
  <si>
    <t>45035</t>
  </si>
  <si>
    <t>45041</t>
  </si>
  <si>
    <t>45045</t>
  </si>
  <si>
    <t>45051</t>
  </si>
  <si>
    <t>37051</t>
  </si>
  <si>
    <t>37139</t>
  </si>
  <si>
    <t>45061</t>
  </si>
  <si>
    <t>47045</t>
  </si>
  <si>
    <t>47127</t>
  </si>
  <si>
    <t>51081</t>
  </si>
  <si>
    <t>51105</t>
  </si>
  <si>
    <t>51195</t>
  </si>
  <si>
    <t>01009</t>
  </si>
  <si>
    <t>01047</t>
  </si>
  <si>
    <t>12045</t>
  </si>
  <si>
    <t>12105</t>
  </si>
  <si>
    <t>12121</t>
  </si>
  <si>
    <t>51113</t>
  </si>
  <si>
    <t>01039</t>
  </si>
  <si>
    <t>01061</t>
  </si>
  <si>
    <t>01075</t>
  </si>
  <si>
    <t>01013</t>
  </si>
  <si>
    <t>01015</t>
  </si>
  <si>
    <t>47145</t>
  </si>
  <si>
    <t>47183</t>
  </si>
  <si>
    <t>51103</t>
  </si>
  <si>
    <t>51157</t>
  </si>
  <si>
    <t>01073</t>
  </si>
  <si>
    <t>01129</t>
  </si>
  <si>
    <t>45021</t>
  </si>
  <si>
    <t>28021</t>
  </si>
  <si>
    <t>28053</t>
  </si>
  <si>
    <t>28137</t>
  </si>
  <si>
    <t>37019</t>
  </si>
  <si>
    <t>37047</t>
  </si>
  <si>
    <t>37079</t>
  </si>
  <si>
    <t>37147</t>
  </si>
  <si>
    <t>37173</t>
  </si>
  <si>
    <t>45065</t>
  </si>
  <si>
    <t>47055</t>
  </si>
  <si>
    <t>47085</t>
  </si>
  <si>
    <t>13107</t>
  </si>
  <si>
    <t>47119</t>
  </si>
  <si>
    <t>47147</t>
  </si>
  <si>
    <t>51003</t>
  </si>
  <si>
    <t>51031</t>
  </si>
  <si>
    <t>51059</t>
  </si>
  <si>
    <t>51121</t>
  </si>
  <si>
    <t>51155</t>
  </si>
  <si>
    <t>13215</t>
  </si>
  <si>
    <t>13301</t>
  </si>
  <si>
    <t>12029</t>
  </si>
  <si>
    <t>47105</t>
  </si>
  <si>
    <t>13309</t>
  </si>
  <si>
    <t>12007</t>
  </si>
  <si>
    <t>13031</t>
  </si>
  <si>
    <t>28049</t>
  </si>
  <si>
    <t>37031</t>
  </si>
  <si>
    <t>37113</t>
  </si>
  <si>
    <t>47093</t>
  </si>
  <si>
    <t>01071</t>
  </si>
  <si>
    <t>13019</t>
  </si>
  <si>
    <t>01021</t>
  </si>
  <si>
    <t>01027</t>
  </si>
  <si>
    <t>01029</t>
  </si>
  <si>
    <t>01093</t>
  </si>
  <si>
    <t>01103</t>
  </si>
  <si>
    <t>01133</t>
  </si>
  <si>
    <t>51093</t>
  </si>
  <si>
    <t>51171</t>
  </si>
  <si>
    <t>01059</t>
  </si>
  <si>
    <t>01097</t>
  </si>
  <si>
    <t>51027</t>
  </si>
  <si>
    <t>51101</t>
  </si>
  <si>
    <t>51147</t>
  </si>
  <si>
    <t>51191</t>
  </si>
  <si>
    <t>13113</t>
  </si>
  <si>
    <t>13151</t>
  </si>
  <si>
    <t>13191</t>
  </si>
  <si>
    <t>12115</t>
  </si>
  <si>
    <t>01037</t>
  </si>
  <si>
    <t>01017</t>
  </si>
  <si>
    <t>13063</t>
  </si>
  <si>
    <t>13159</t>
  </si>
  <si>
    <t>13003</t>
  </si>
  <si>
    <t>12035</t>
  </si>
  <si>
    <t>12059</t>
  </si>
  <si>
    <t>12087</t>
  </si>
  <si>
    <t>12109</t>
  </si>
  <si>
    <t>12111</t>
  </si>
  <si>
    <t>13117</t>
  </si>
  <si>
    <t>13169</t>
  </si>
  <si>
    <t>13197</t>
  </si>
  <si>
    <t>13059</t>
  </si>
  <si>
    <t>13069</t>
  </si>
  <si>
    <t>13083</t>
  </si>
  <si>
    <t>13145</t>
  </si>
  <si>
    <t>13023</t>
  </si>
  <si>
    <t>13037</t>
  </si>
  <si>
    <t>13053</t>
  </si>
  <si>
    <t>13093</t>
  </si>
  <si>
    <t>13111</t>
  </si>
  <si>
    <t>13243</t>
  </si>
  <si>
    <t>13257</t>
  </si>
  <si>
    <t>13287</t>
  </si>
  <si>
    <t>13295</t>
  </si>
  <si>
    <t>13233</t>
  </si>
  <si>
    <t>13239</t>
  </si>
  <si>
    <t>51720</t>
  </si>
  <si>
    <t>51740</t>
  </si>
  <si>
    <t>51810</t>
  </si>
  <si>
    <t>47115</t>
  </si>
  <si>
    <t>47125</t>
  </si>
  <si>
    <t>51153</t>
  </si>
  <si>
    <t>51075</t>
  </si>
  <si>
    <t>45001</t>
  </si>
  <si>
    <t>51181</t>
  </si>
  <si>
    <t>28013</t>
  </si>
  <si>
    <t>37001</t>
  </si>
  <si>
    <t>13205</t>
  </si>
  <si>
    <t>13315</t>
  </si>
  <si>
    <t>47101</t>
  </si>
  <si>
    <t>47087</t>
  </si>
  <si>
    <t>28023</t>
  </si>
  <si>
    <t>13273</t>
  </si>
  <si>
    <t>45081</t>
  </si>
  <si>
    <t>12031</t>
  </si>
  <si>
    <t>12119</t>
  </si>
  <si>
    <t>13073</t>
  </si>
  <si>
    <t>51079</t>
  </si>
  <si>
    <t>51011</t>
  </si>
  <si>
    <t>51025</t>
  </si>
  <si>
    <t>51043</t>
  </si>
  <si>
    <t>51135</t>
  </si>
  <si>
    <t>37189</t>
  </si>
  <si>
    <t>51630</t>
  </si>
  <si>
    <t>47139</t>
  </si>
  <si>
    <t>47153</t>
  </si>
  <si>
    <t>13223</t>
  </si>
  <si>
    <t>47169</t>
  </si>
  <si>
    <t>47177</t>
  </si>
  <si>
    <t>51049</t>
  </si>
  <si>
    <t>51685</t>
  </si>
  <si>
    <t>28047</t>
  </si>
  <si>
    <t>51540</t>
  </si>
  <si>
    <t>51570</t>
  </si>
  <si>
    <t>51610</t>
  </si>
  <si>
    <t>01057</t>
  </si>
  <si>
    <t>01111</t>
  </si>
  <si>
    <t>28153</t>
  </si>
  <si>
    <t>28159</t>
  </si>
  <si>
    <t>28161</t>
  </si>
  <si>
    <t>28115</t>
  </si>
  <si>
    <t>28129</t>
  </si>
  <si>
    <t>51790</t>
  </si>
  <si>
    <t>37121</t>
  </si>
  <si>
    <t>37141</t>
  </si>
  <si>
    <t>13047</t>
  </si>
  <si>
    <t>47039</t>
  </si>
  <si>
    <t>28067</t>
  </si>
  <si>
    <t>28071</t>
  </si>
  <si>
    <t>28085</t>
  </si>
  <si>
    <t>51830</t>
  </si>
  <si>
    <t>28133</t>
  </si>
  <si>
    <t>13235</t>
  </si>
  <si>
    <t>13249</t>
  </si>
  <si>
    <t>47131</t>
  </si>
  <si>
    <t>13065</t>
  </si>
  <si>
    <t>13161</t>
  </si>
  <si>
    <t>12099</t>
  </si>
  <si>
    <t>12067</t>
  </si>
  <si>
    <t>01053</t>
  </si>
  <si>
    <t>01067</t>
  </si>
  <si>
    <t>13011</t>
  </si>
  <si>
    <t>45011</t>
  </si>
  <si>
    <t>47181</t>
  </si>
  <si>
    <t>13207</t>
  </si>
  <si>
    <t>13057</t>
  </si>
  <si>
    <t>13085</t>
  </si>
  <si>
    <t>13225</t>
  </si>
  <si>
    <t>13253</t>
  </si>
  <si>
    <t>13277</t>
  </si>
  <si>
    <t>13015</t>
  </si>
  <si>
    <t>47075</t>
  </si>
  <si>
    <t>12019</t>
  </si>
  <si>
    <t>12049</t>
  </si>
  <si>
    <t>13095</t>
  </si>
  <si>
    <t>13049</t>
  </si>
  <si>
    <t>13177</t>
  </si>
  <si>
    <t>45037</t>
  </si>
  <si>
    <t>13167</t>
  </si>
  <si>
    <t>13043</t>
  </si>
  <si>
    <t>37087</t>
  </si>
  <si>
    <t>37155</t>
  </si>
  <si>
    <t>45053</t>
  </si>
  <si>
    <t>47161</t>
  </si>
  <si>
    <t>13187</t>
  </si>
  <si>
    <t>12001</t>
  </si>
  <si>
    <t>12027</t>
  </si>
  <si>
    <t>13099</t>
  </si>
  <si>
    <t>28037</t>
  </si>
  <si>
    <t>28041</t>
  </si>
  <si>
    <t>13089</t>
  </si>
  <si>
    <t>12061</t>
  </si>
  <si>
    <t>13285</t>
  </si>
  <si>
    <t>45039</t>
  </si>
  <si>
    <t>13115</t>
  </si>
  <si>
    <t>13125</t>
  </si>
  <si>
    <t>13255</t>
  </si>
  <si>
    <t>13259</t>
  </si>
  <si>
    <t>51173</t>
  </si>
  <si>
    <t>01077</t>
  </si>
  <si>
    <t>01083</t>
  </si>
  <si>
    <t>13067</t>
  </si>
  <si>
    <t>13081</t>
  </si>
  <si>
    <t>37097</t>
  </si>
  <si>
    <t>37169</t>
  </si>
  <si>
    <t>51510</t>
  </si>
  <si>
    <t>51013</t>
  </si>
  <si>
    <t>13165</t>
  </si>
  <si>
    <t>13299</t>
  </si>
  <si>
    <t>12021</t>
  </si>
  <si>
    <t>12051</t>
  </si>
  <si>
    <t>13307</t>
  </si>
  <si>
    <t>47109</t>
  </si>
  <si>
    <t>47113</t>
  </si>
  <si>
    <t>01125</t>
  </si>
  <si>
    <t>28091</t>
  </si>
  <si>
    <t>51045</t>
  </si>
  <si>
    <t>51580</t>
  </si>
  <si>
    <t>51600</t>
  </si>
  <si>
    <t>13035</t>
  </si>
  <si>
    <t>28095</t>
  </si>
  <si>
    <t>47133</t>
  </si>
  <si>
    <t>28105</t>
  </si>
  <si>
    <t>13193</t>
  </si>
  <si>
    <t>13293</t>
  </si>
  <si>
    <t>47043</t>
  </si>
  <si>
    <t>45023</t>
  </si>
  <si>
    <t>13055</t>
  </si>
  <si>
    <t>13321</t>
  </si>
  <si>
    <t>13101</t>
  </si>
  <si>
    <t>51197</t>
  </si>
  <si>
    <t>37179</t>
  </si>
  <si>
    <t>13109</t>
  </si>
  <si>
    <t>37025</t>
  </si>
  <si>
    <t>37035</t>
  </si>
  <si>
    <t>13211</t>
  </si>
  <si>
    <t>51115</t>
  </si>
  <si>
    <t>51169</t>
  </si>
  <si>
    <t>28117</t>
  </si>
  <si>
    <t>28125</t>
  </si>
  <si>
    <t>51650</t>
  </si>
  <si>
    <t>37143</t>
  </si>
  <si>
    <t>37191</t>
  </si>
  <si>
    <t>28059</t>
  </si>
  <si>
    <t>45085</t>
  </si>
  <si>
    <t>12005</t>
  </si>
  <si>
    <t>37033</t>
  </si>
  <si>
    <t>37185</t>
  </si>
  <si>
    <t>37187</t>
  </si>
  <si>
    <t>28107</t>
  </si>
  <si>
    <t>37109</t>
  </si>
  <si>
    <t>37197</t>
  </si>
  <si>
    <t>51680</t>
  </si>
  <si>
    <t>51683</t>
  </si>
  <si>
    <t>13005</t>
  </si>
  <si>
    <t>13045</t>
  </si>
  <si>
    <t>13087</t>
  </si>
  <si>
    <t>28065</t>
  </si>
  <si>
    <t>28069</t>
  </si>
  <si>
    <t>13061</t>
  </si>
  <si>
    <t>28039</t>
  </si>
  <si>
    <t>37081</t>
  </si>
  <si>
    <t>37119</t>
  </si>
  <si>
    <t>37171</t>
  </si>
  <si>
    <t>28005</t>
  </si>
  <si>
    <t>28113</t>
  </si>
  <si>
    <t>51550</t>
  </si>
  <si>
    <t>51065</t>
  </si>
  <si>
    <t>51520</t>
  </si>
  <si>
    <t>28063</t>
  </si>
  <si>
    <t>28127</t>
  </si>
  <si>
    <t>01007</t>
  </si>
  <si>
    <t>01019</t>
  </si>
  <si>
    <t>28015</t>
  </si>
  <si>
    <t>01085</t>
  </si>
  <si>
    <t>28135</t>
  </si>
  <si>
    <t>28145</t>
  </si>
  <si>
    <t>28019</t>
  </si>
  <si>
    <t>37181</t>
  </si>
  <si>
    <t>28073</t>
  </si>
  <si>
    <t>28025</t>
  </si>
  <si>
    <t>28155</t>
  </si>
  <si>
    <t>28031</t>
  </si>
  <si>
    <t>28035</t>
  </si>
  <si>
    <t>37005</t>
  </si>
  <si>
    <t>28099</t>
  </si>
  <si>
    <t>28147</t>
  </si>
  <si>
    <t>51750</t>
  </si>
  <si>
    <t>37041</t>
  </si>
  <si>
    <t>37061</t>
  </si>
  <si>
    <t>01045</t>
  </si>
  <si>
    <t>12063</t>
  </si>
  <si>
    <t>01105</t>
  </si>
  <si>
    <t>47095</t>
  </si>
  <si>
    <t>47099</t>
  </si>
  <si>
    <t>12101</t>
  </si>
  <si>
    <t>47179</t>
  </si>
  <si>
    <t>37003</t>
  </si>
  <si>
    <t>47061</t>
  </si>
  <si>
    <t>47069</t>
  </si>
  <si>
    <t>47071</t>
  </si>
  <si>
    <t>12081</t>
  </si>
  <si>
    <t>28101</t>
  </si>
  <si>
    <t>47103</t>
  </si>
  <si>
    <t>13199</t>
  </si>
  <si>
    <t>47027</t>
  </si>
  <si>
    <t>47047</t>
  </si>
  <si>
    <t>13091</t>
  </si>
  <si>
    <t>37071</t>
  </si>
  <si>
    <t>12011</t>
  </si>
  <si>
    <t>13119</t>
  </si>
  <si>
    <t>47023</t>
  </si>
  <si>
    <t>12015</t>
  </si>
  <si>
    <t>47083</t>
  </si>
  <si>
    <t>28077</t>
  </si>
  <si>
    <t>13129</t>
  </si>
  <si>
    <t>28097</t>
  </si>
  <si>
    <t>28111</t>
  </si>
  <si>
    <t>37073</t>
  </si>
  <si>
    <t>51760</t>
  </si>
  <si>
    <t>51021</t>
  </si>
  <si>
    <t>37157</t>
  </si>
  <si>
    <t>37195</t>
  </si>
  <si>
    <t>37151</t>
  </si>
  <si>
    <t>12003</t>
  </si>
  <si>
    <t>51840</t>
  </si>
  <si>
    <t>13175</t>
  </si>
  <si>
    <t>13247</t>
  </si>
  <si>
    <t>12043</t>
  </si>
  <si>
    <t>13147</t>
  </si>
  <si>
    <t>12103</t>
  </si>
  <si>
    <t>13017</t>
  </si>
  <si>
    <t>51183</t>
  </si>
  <si>
    <t>13071</t>
  </si>
  <si>
    <t>13033</t>
  </si>
  <si>
    <t>51590</t>
  </si>
  <si>
    <t>13297</t>
  </si>
  <si>
    <t>01011</t>
  </si>
  <si>
    <t>37067</t>
  </si>
  <si>
    <t>13231</t>
  </si>
  <si>
    <t>51820</t>
  </si>
  <si>
    <t>28045</t>
  </si>
  <si>
    <t>28079</t>
  </si>
  <si>
    <t>01003</t>
  </si>
  <si>
    <t>01109</t>
  </si>
  <si>
    <t>47171</t>
  </si>
  <si>
    <t>28139</t>
  </si>
  <si>
    <t>12085</t>
  </si>
  <si>
    <t>28009</t>
  </si>
  <si>
    <t>01127</t>
  </si>
  <si>
    <t>28131</t>
  </si>
  <si>
    <t>51800</t>
  </si>
  <si>
    <t>47007</t>
  </si>
  <si>
    <t>51035</t>
  </si>
  <si>
    <t>01031</t>
  </si>
  <si>
    <t>01123</t>
  </si>
  <si>
    <t>47011</t>
  </si>
  <si>
    <t>51670</t>
  </si>
  <si>
    <t>28119</t>
  </si>
  <si>
    <t>12091</t>
  </si>
  <si>
    <t>51530</t>
  </si>
  <si>
    <t>28057</t>
  </si>
  <si>
    <t>47051</t>
  </si>
  <si>
    <t>28081</t>
  </si>
  <si>
    <t>51071</t>
  </si>
  <si>
    <t>51770</t>
  </si>
  <si>
    <t>51775</t>
  </si>
  <si>
    <t>13275</t>
  </si>
  <si>
    <t>13227</t>
  </si>
  <si>
    <t>51620</t>
  </si>
  <si>
    <t>13281</t>
  </si>
  <si>
    <t>47137</t>
  </si>
  <si>
    <t>51710</t>
  </si>
  <si>
    <t>51735</t>
  </si>
  <si>
    <t>51660</t>
  </si>
  <si>
    <t>47017</t>
  </si>
  <si>
    <t>51640</t>
  </si>
  <si>
    <t>51700</t>
  </si>
  <si>
    <t>51077</t>
  </si>
  <si>
    <t>12017</t>
  </si>
  <si>
    <t>37045</t>
  </si>
  <si>
    <t>28061</t>
  </si>
  <si>
    <t>51009</t>
  </si>
  <si>
    <t>51047</t>
  </si>
  <si>
    <t>12083</t>
  </si>
  <si>
    <t>13127</t>
  </si>
  <si>
    <t>51119</t>
  </si>
  <si>
    <t>51139</t>
  </si>
  <si>
    <t>51730</t>
  </si>
  <si>
    <t>37129</t>
  </si>
  <si>
    <t>37167</t>
  </si>
  <si>
    <t>45079</t>
  </si>
  <si>
    <t>12125</t>
  </si>
  <si>
    <t>47015</t>
  </si>
  <si>
    <t>47141</t>
  </si>
  <si>
    <t>47175</t>
  </si>
  <si>
    <t>47059</t>
  </si>
  <si>
    <t>01099</t>
  </si>
  <si>
    <t>01079</t>
  </si>
  <si>
    <t>45031</t>
  </si>
  <si>
    <t>13173</t>
  </si>
  <si>
    <t>13131</t>
  </si>
  <si>
    <t>12117</t>
  </si>
  <si>
    <t>13013</t>
  </si>
  <si>
    <t>45049</t>
  </si>
  <si>
    <t>51097</t>
  </si>
  <si>
    <t>13241</t>
  </si>
  <si>
    <t>01025</t>
  </si>
  <si>
    <t>13263</t>
  </si>
  <si>
    <t>47111</t>
  </si>
  <si>
    <t>28093</t>
  </si>
  <si>
    <t>37063</t>
  </si>
  <si>
    <t>51690</t>
  </si>
  <si>
    <t>37135</t>
  </si>
  <si>
    <t>13097</t>
  </si>
  <si>
    <t>13155</t>
  </si>
  <si>
    <t>01081</t>
  </si>
  <si>
    <t>51167</t>
  </si>
  <si>
    <t>51595</t>
  </si>
  <si>
    <t>51678</t>
  </si>
  <si>
    <t>28027</t>
  </si>
  <si>
    <t>51061</t>
  </si>
  <si>
    <t>47079</t>
  </si>
  <si>
    <t>51117</t>
  </si>
  <si>
    <t>13153</t>
  </si>
  <si>
    <t>28003</t>
  </si>
  <si>
    <t>28123</t>
  </si>
  <si>
    <t>45075</t>
  </si>
  <si>
    <t>45013</t>
  </si>
  <si>
    <t>47187</t>
  </si>
  <si>
    <t>47067</t>
  </si>
  <si>
    <t>47033</t>
  </si>
  <si>
    <t>47159</t>
  </si>
  <si>
    <t>13105</t>
  </si>
  <si>
    <t>47077</t>
  </si>
  <si>
    <t>37011</t>
  </si>
  <si>
    <t>37077</t>
  </si>
  <si>
    <t>13163</t>
  </si>
  <si>
    <t>13221</t>
  </si>
  <si>
    <t>51001</t>
  </si>
  <si>
    <t>51109</t>
  </si>
  <si>
    <t>51163</t>
  </si>
  <si>
    <t>01069</t>
  </si>
  <si>
    <t>01121</t>
  </si>
  <si>
    <t>13039</t>
  </si>
  <si>
    <t>45033</t>
  </si>
  <si>
    <t>Autauga</t>
  </si>
  <si>
    <t>Barbour</t>
  </si>
  <si>
    <t>Choctaw</t>
  </si>
  <si>
    <t>Conecuh</t>
  </si>
  <si>
    <t>Elmore</t>
  </si>
  <si>
    <t>Etowah</t>
  </si>
  <si>
    <t>Hale</t>
  </si>
  <si>
    <t>Madison</t>
  </si>
  <si>
    <t>Russell</t>
  </si>
  <si>
    <t>Shelby</t>
  </si>
  <si>
    <t>Brevard</t>
  </si>
  <si>
    <t>Columbia</t>
  </si>
  <si>
    <t>Gadsden</t>
  </si>
  <si>
    <t>Highlands</t>
  </si>
  <si>
    <t>Jefferson</t>
  </si>
  <si>
    <t>Leon</t>
  </si>
  <si>
    <t>Orange</t>
  </si>
  <si>
    <t>Putnam</t>
  </si>
  <si>
    <t>Taylor</t>
  </si>
  <si>
    <t>Volusia</t>
  </si>
  <si>
    <t>Walton</t>
  </si>
  <si>
    <t>Washington</t>
  </si>
  <si>
    <t>Baldwin</t>
  </si>
  <si>
    <t>Brooks</t>
  </si>
  <si>
    <t>Effingham</t>
  </si>
  <si>
    <t>Fulton</t>
  </si>
  <si>
    <t>Hancock</t>
  </si>
  <si>
    <t>Heard</t>
  </si>
  <si>
    <t>Liberty</t>
  </si>
  <si>
    <t>Long</t>
  </si>
  <si>
    <t>McDuffie</t>
  </si>
  <si>
    <t>Montgomery</t>
  </si>
  <si>
    <t>Pierce</t>
  </si>
  <si>
    <t>Tattnall</t>
  </si>
  <si>
    <t>Telfair</t>
  </si>
  <si>
    <t>Union</t>
  </si>
  <si>
    <t>Wayne</t>
  </si>
  <si>
    <t>Wilkinson</t>
  </si>
  <si>
    <t>Anson</t>
  </si>
  <si>
    <t>Caldwell</t>
  </si>
  <si>
    <t>Cherokee</t>
  </si>
  <si>
    <t>Craven</t>
  </si>
  <si>
    <t>Dare</t>
  </si>
  <si>
    <t>Davie</t>
  </si>
  <si>
    <t>Franklin</t>
  </si>
  <si>
    <t>Halifax</t>
  </si>
  <si>
    <t>Hertford</t>
  </si>
  <si>
    <t>Hoke</t>
  </si>
  <si>
    <t>Jackson</t>
  </si>
  <si>
    <t>McDowell</t>
  </si>
  <si>
    <t>Martin</t>
  </si>
  <si>
    <t>Nash</t>
  </si>
  <si>
    <t>Scotland</t>
  </si>
  <si>
    <t>Transylvania</t>
  </si>
  <si>
    <t>Yancey</t>
  </si>
  <si>
    <t>Allendale</t>
  </si>
  <si>
    <t>Charleston</t>
  </si>
  <si>
    <t>Chesterfield</t>
  </si>
  <si>
    <t>Georgetown</t>
  </si>
  <si>
    <t>Lexington</t>
  </si>
  <si>
    <t>Pickens</t>
  </si>
  <si>
    <t>York</t>
  </si>
  <si>
    <t>Anderson</t>
  </si>
  <si>
    <t>Bedford</t>
  </si>
  <si>
    <t>Benton</t>
  </si>
  <si>
    <t>Carter</t>
  </si>
  <si>
    <t>Cocke</t>
  </si>
  <si>
    <t>Fentress</t>
  </si>
  <si>
    <t>Hamblen</t>
  </si>
  <si>
    <t>Hawkins</t>
  </si>
  <si>
    <t>Hickman</t>
  </si>
  <si>
    <t>Lauderdale</t>
  </si>
  <si>
    <t>Meigs</t>
  </si>
  <si>
    <t>Rutherford</t>
  </si>
  <si>
    <t>Treutlen</t>
  </si>
  <si>
    <t>Twiggs</t>
  </si>
  <si>
    <t>Whitfield</t>
  </si>
  <si>
    <t>Wilkes</t>
  </si>
  <si>
    <t>Augusta</t>
  </si>
  <si>
    <t>Charlotte</t>
  </si>
  <si>
    <t>Dickenson</t>
  </si>
  <si>
    <t>Dinwiddie</t>
  </si>
  <si>
    <t>Frederick</t>
  </si>
  <si>
    <t>Gloucester</t>
  </si>
  <si>
    <t>Hanover</t>
  </si>
  <si>
    <t>King George</t>
  </si>
  <si>
    <t>Nelson</t>
  </si>
  <si>
    <t>Northampton</t>
  </si>
  <si>
    <t>Powhatan</t>
  </si>
  <si>
    <t>Prince George</t>
  </si>
  <si>
    <t>Roanoke</t>
  </si>
  <si>
    <t>Spotsylvania</t>
  </si>
  <si>
    <t>Tazewell</t>
  </si>
  <si>
    <t>Attala</t>
  </si>
  <si>
    <t>DeSoto</t>
  </si>
  <si>
    <t>Issaquena</t>
  </si>
  <si>
    <t>Tunica</t>
  </si>
  <si>
    <t>Yazoo</t>
  </si>
  <si>
    <t>Chatham</t>
  </si>
  <si>
    <t>Coweta</t>
  </si>
  <si>
    <t>Gilmer</t>
  </si>
  <si>
    <t>Greene</t>
  </si>
  <si>
    <t>Habersham</t>
  </si>
  <si>
    <t>Hall</t>
  </si>
  <si>
    <t>Haralson</t>
  </si>
  <si>
    <t>Lamar</t>
  </si>
  <si>
    <t>Lincoln</t>
  </si>
  <si>
    <t>Lowndes</t>
  </si>
  <si>
    <t>Murray</t>
  </si>
  <si>
    <t>Newton</t>
  </si>
  <si>
    <t>Richmond</t>
  </si>
  <si>
    <t>Screven</t>
  </si>
  <si>
    <t>Toombs</t>
  </si>
  <si>
    <t>Warren</t>
  </si>
  <si>
    <t>DeKalb</t>
  </si>
  <si>
    <t>Macon</t>
  </si>
  <si>
    <t>Marengo</t>
  </si>
  <si>
    <t>Marshall</t>
  </si>
  <si>
    <t>St. Clair</t>
  </si>
  <si>
    <t>Sumter</t>
  </si>
  <si>
    <t>Wilcox</t>
  </si>
  <si>
    <t>Miami-Dade</t>
  </si>
  <si>
    <t>Okeechobee</t>
  </si>
  <si>
    <t>Osceola</t>
  </si>
  <si>
    <t>Bibb</t>
  </si>
  <si>
    <t>Bryan</t>
  </si>
  <si>
    <t>Adams</t>
  </si>
  <si>
    <t>Bolivar</t>
  </si>
  <si>
    <t>Copiah</t>
  </si>
  <si>
    <t>Grenada</t>
  </si>
  <si>
    <t>Leflore</t>
  </si>
  <si>
    <t>Noxubee</t>
  </si>
  <si>
    <t>Rankin</t>
  </si>
  <si>
    <t>Ashe</t>
  </si>
  <si>
    <t>Beaufort</t>
  </si>
  <si>
    <t>Bladen</t>
  </si>
  <si>
    <t>Burke</t>
  </si>
  <si>
    <t>Clay</t>
  </si>
  <si>
    <t>Currituck</t>
  </si>
  <si>
    <t>Davidson</t>
  </si>
  <si>
    <t>Edgecombe</t>
  </si>
  <si>
    <t>Graham</t>
  </si>
  <si>
    <t>Harnett</t>
  </si>
  <si>
    <t>Henderson</t>
  </si>
  <si>
    <t>Hyde</t>
  </si>
  <si>
    <t>Jones</t>
  </si>
  <si>
    <t>Tishomingo</t>
  </si>
  <si>
    <t>Amelia</t>
  </si>
  <si>
    <t>Bath</t>
  </si>
  <si>
    <t>Botetourt</t>
  </si>
  <si>
    <t>Caroline</t>
  </si>
  <si>
    <t>Charles City</t>
  </si>
  <si>
    <t>Essex</t>
  </si>
  <si>
    <t>Highland</t>
  </si>
  <si>
    <t>James City</t>
  </si>
  <si>
    <t>Loudoun</t>
  </si>
  <si>
    <t>Lunenburg</t>
  </si>
  <si>
    <t>New Kent</t>
  </si>
  <si>
    <t>Northumberland</t>
  </si>
  <si>
    <t>Pittsylvania</t>
  </si>
  <si>
    <t>Rockingham</t>
  </si>
  <si>
    <t>Southampton</t>
  </si>
  <si>
    <t>Stafford</t>
  </si>
  <si>
    <t>Onslow</t>
  </si>
  <si>
    <t>Pamlico</t>
  </si>
  <si>
    <t>Polk</t>
  </si>
  <si>
    <t>Sampson</t>
  </si>
  <si>
    <t>Tyrrell</t>
  </si>
  <si>
    <t>Escambia</t>
  </si>
  <si>
    <t>Gilchrist</t>
  </si>
  <si>
    <t>Hamilton</t>
  </si>
  <si>
    <t>Hernando</t>
  </si>
  <si>
    <t>Lee</t>
  </si>
  <si>
    <t>Floyd</t>
  </si>
  <si>
    <t>Henrico</t>
  </si>
  <si>
    <t>Clarendon</t>
  </si>
  <si>
    <t>Greenwood</t>
  </si>
  <si>
    <t>Cullman</t>
  </si>
  <si>
    <t>Colleton</t>
  </si>
  <si>
    <t>Newberry</t>
  </si>
  <si>
    <t>Colbert</t>
  </si>
  <si>
    <t>Calhoun</t>
  </si>
  <si>
    <t>Lake</t>
  </si>
  <si>
    <t>Wakulla</t>
  </si>
  <si>
    <t>Oconee</t>
  </si>
  <si>
    <t>Grainger</t>
  </si>
  <si>
    <t>Baker</t>
  </si>
  <si>
    <t>Camden</t>
  </si>
  <si>
    <t>Johnson</t>
  </si>
  <si>
    <t>Kershaw</t>
  </si>
  <si>
    <t>Laurens</t>
  </si>
  <si>
    <t>Marlboro</t>
  </si>
  <si>
    <t>Spartanburg</t>
  </si>
  <si>
    <t>Williamsburg</t>
  </si>
  <si>
    <t>Santa Rosa</t>
  </si>
  <si>
    <t>Appling</t>
  </si>
  <si>
    <t>Crawford</t>
  </si>
  <si>
    <t>Gwinnett</t>
  </si>
  <si>
    <t>White</t>
  </si>
  <si>
    <t>McMinn</t>
  </si>
  <si>
    <t>Monroe</t>
  </si>
  <si>
    <t>Rhea</t>
  </si>
  <si>
    <t>Scott</t>
  </si>
  <si>
    <t>Sevier</t>
  </si>
  <si>
    <t>Sumner</t>
  </si>
  <si>
    <t>Tipton</t>
  </si>
  <si>
    <t>Wilson</t>
  </si>
  <si>
    <t>Campbell</t>
  </si>
  <si>
    <t>Cheatham</t>
  </si>
  <si>
    <t>Coffee</t>
  </si>
  <si>
    <t>Cumberland</t>
  </si>
  <si>
    <t>Crenshaw</t>
  </si>
  <si>
    <t>Bamberg</t>
  </si>
  <si>
    <t>Lancaster</t>
  </si>
  <si>
    <t>Claiborne</t>
  </si>
  <si>
    <t>Gibson</t>
  </si>
  <si>
    <t>Perry</t>
  </si>
  <si>
    <t>Sullivan</t>
  </si>
  <si>
    <t>Alleghany</t>
  </si>
  <si>
    <t>Buckingham</t>
  </si>
  <si>
    <t>Henry</t>
  </si>
  <si>
    <t>Patrick</t>
  </si>
  <si>
    <t>Westmoreland</t>
  </si>
  <si>
    <t>Moore</t>
  </si>
  <si>
    <t>Holmes</t>
  </si>
  <si>
    <t>Berkeley</t>
  </si>
  <si>
    <t>Marion</t>
  </si>
  <si>
    <t>Blount</t>
  </si>
  <si>
    <t>Morgan</t>
  </si>
  <si>
    <t>Hillsborough</t>
  </si>
  <si>
    <t>Nassau</t>
  </si>
  <si>
    <t>Brantley</t>
  </si>
  <si>
    <t>Chickasaw</t>
  </si>
  <si>
    <t>Cook</t>
  </si>
  <si>
    <t>Levy</t>
  </si>
  <si>
    <t>Buncombe</t>
  </si>
  <si>
    <t>Lenoir</t>
  </si>
  <si>
    <t>Person</t>
  </si>
  <si>
    <t>Pearl River</t>
  </si>
  <si>
    <t>Bertie</t>
  </si>
  <si>
    <t>Johnston</t>
  </si>
  <si>
    <t>Rowan</t>
  </si>
  <si>
    <t>Wake</t>
  </si>
  <si>
    <t>Miller</t>
  </si>
  <si>
    <t>Taliaferro</t>
  </si>
  <si>
    <t>Aiken</t>
  </si>
  <si>
    <t>Dorchester</t>
  </si>
  <si>
    <t>Florence</t>
  </si>
  <si>
    <t>Greenville</t>
  </si>
  <si>
    <t>Horry</t>
  </si>
  <si>
    <t>Pasquotank</t>
  </si>
  <si>
    <t>Dyer</t>
  </si>
  <si>
    <t>Greensville</t>
  </si>
  <si>
    <t>Wise</t>
  </si>
  <si>
    <t>Dallas</t>
  </si>
  <si>
    <t>Gulf</t>
  </si>
  <si>
    <t>Suwannee</t>
  </si>
  <si>
    <t>Covington</t>
  </si>
  <si>
    <t>Geneva</t>
  </si>
  <si>
    <t>Butler</t>
  </si>
  <si>
    <t>Roane</t>
  </si>
  <si>
    <t>Weakley</t>
  </si>
  <si>
    <t>Rappahannock</t>
  </si>
  <si>
    <t>Humphreys</t>
  </si>
  <si>
    <t>Tate</t>
  </si>
  <si>
    <t>Brunswick</t>
  </si>
  <si>
    <t>Columbus</t>
  </si>
  <si>
    <t>Pitt</t>
  </si>
  <si>
    <t>Swain</t>
  </si>
  <si>
    <t>McCormick</t>
  </si>
  <si>
    <t>Giles</t>
  </si>
  <si>
    <t>Emanuel</t>
  </si>
  <si>
    <t>Maury</t>
  </si>
  <si>
    <t>Robertson</t>
  </si>
  <si>
    <t>Albemarle</t>
  </si>
  <si>
    <t>Fairfax</t>
  </si>
  <si>
    <t>Pulaski</t>
  </si>
  <si>
    <t>Muscogee</t>
  </si>
  <si>
    <t>Dixie</t>
  </si>
  <si>
    <t>Loudon</t>
  </si>
  <si>
    <t>Wheeler</t>
  </si>
  <si>
    <t>Bradford</t>
  </si>
  <si>
    <t>Bulloch</t>
  </si>
  <si>
    <t>Hinds</t>
  </si>
  <si>
    <t>Carteret</t>
  </si>
  <si>
    <t>Knox</t>
  </si>
  <si>
    <t>Berrien</t>
  </si>
  <si>
    <t>Chilton</t>
  </si>
  <si>
    <t>Cleburne</t>
  </si>
  <si>
    <t>Winston</t>
  </si>
  <si>
    <t>Isle of Wight</t>
  </si>
  <si>
    <t>Shenandoah</t>
  </si>
  <si>
    <t>Mobile</t>
  </si>
  <si>
    <t>Buchanan</t>
  </si>
  <si>
    <t>King William</t>
  </si>
  <si>
    <t>Prince Edward</t>
  </si>
  <si>
    <t>Fayette</t>
  </si>
  <si>
    <t>McIntosh</t>
  </si>
  <si>
    <t>Sarasota</t>
  </si>
  <si>
    <t>Coosa</t>
  </si>
  <si>
    <t>Chambers</t>
  </si>
  <si>
    <t>Clayton</t>
  </si>
  <si>
    <t>Jasper</t>
  </si>
  <si>
    <t>Atkinson</t>
  </si>
  <si>
    <t>Flagler</t>
  </si>
  <si>
    <t>St. Johns</t>
  </si>
  <si>
    <t>St. Lucie</t>
  </si>
  <si>
    <t>Forsyth</t>
  </si>
  <si>
    <t>Clarke</t>
  </si>
  <si>
    <t>Dade</t>
  </si>
  <si>
    <t>Harris</t>
  </si>
  <si>
    <t>Bleckley</t>
  </si>
  <si>
    <t>Chattahoochee</t>
  </si>
  <si>
    <t>Dooly</t>
  </si>
  <si>
    <t>Fannin</t>
  </si>
  <si>
    <t>Randolph</t>
  </si>
  <si>
    <t>Stephens</t>
  </si>
  <si>
    <t>Turner</t>
  </si>
  <si>
    <t>Walker</t>
  </si>
  <si>
    <t>Quitman</t>
  </si>
  <si>
    <t>Norton</t>
  </si>
  <si>
    <t>Portsmouth</t>
  </si>
  <si>
    <t>Virginia Beach</t>
  </si>
  <si>
    <t>Prince William</t>
  </si>
  <si>
    <t>Goochland</t>
  </si>
  <si>
    <t>Abbeville</t>
  </si>
  <si>
    <t>Surry</t>
  </si>
  <si>
    <t>Alamance</t>
  </si>
  <si>
    <t>Mitchell</t>
  </si>
  <si>
    <t>Lewis</t>
  </si>
  <si>
    <t>Terrell</t>
  </si>
  <si>
    <t>Saluda</t>
  </si>
  <si>
    <t>Duval</t>
  </si>
  <si>
    <t>Appomattox</t>
  </si>
  <si>
    <t>Nottoway</t>
  </si>
  <si>
    <t>Watauga</t>
  </si>
  <si>
    <t>Fredericksburg</t>
  </si>
  <si>
    <t>Sequatchie</t>
  </si>
  <si>
    <t>Paulding</t>
  </si>
  <si>
    <t>Trousdale</t>
  </si>
  <si>
    <t>Manassas Park</t>
  </si>
  <si>
    <t>Harrison</t>
  </si>
  <si>
    <t>Charlottesville</t>
  </si>
  <si>
    <t>Colonial Heights</t>
  </si>
  <si>
    <t>Falls Church</t>
  </si>
  <si>
    <t>Yalobusha</t>
  </si>
  <si>
    <t>Pontotoc</t>
  </si>
  <si>
    <t>Smith</t>
  </si>
  <si>
    <t>Staunton</t>
  </si>
  <si>
    <t>Pender</t>
  </si>
  <si>
    <t>Catoosa</t>
  </si>
  <si>
    <t>Decatur</t>
  </si>
  <si>
    <t>Lafayette</t>
  </si>
  <si>
    <t>Sunflower</t>
  </si>
  <si>
    <t>Schley</t>
  </si>
  <si>
    <t>Obion</t>
  </si>
  <si>
    <t>Clinch</t>
  </si>
  <si>
    <t>Jeff Davis</t>
  </si>
  <si>
    <t>Palm Beach</t>
  </si>
  <si>
    <t>Banks</t>
  </si>
  <si>
    <t>Barnwell</t>
  </si>
  <si>
    <t>Dawson</t>
  </si>
  <si>
    <t>Peach</t>
  </si>
  <si>
    <t>Seminole</t>
  </si>
  <si>
    <t>Tift</t>
  </si>
  <si>
    <t>Bartow</t>
  </si>
  <si>
    <t>Haywood</t>
  </si>
  <si>
    <t>Hardee</t>
  </si>
  <si>
    <t>Dougherty</t>
  </si>
  <si>
    <t>Charlton</t>
  </si>
  <si>
    <t>Edgefield</t>
  </si>
  <si>
    <t>Candler</t>
  </si>
  <si>
    <t>Robeson</t>
  </si>
  <si>
    <t>Stewart</t>
  </si>
  <si>
    <t>Lumpkin</t>
  </si>
  <si>
    <t>Alachua</t>
  </si>
  <si>
    <t>Early</t>
  </si>
  <si>
    <t>Indian River</t>
  </si>
  <si>
    <t>Troup</t>
  </si>
  <si>
    <t>Fairfield</t>
  </si>
  <si>
    <t>Glascock</t>
  </si>
  <si>
    <t>Spalding</t>
  </si>
  <si>
    <t>Smyth</t>
  </si>
  <si>
    <t>Limestone</t>
  </si>
  <si>
    <t>Cobb</t>
  </si>
  <si>
    <t>Crisp</t>
  </si>
  <si>
    <t>Iredell</t>
  </si>
  <si>
    <t>Stokes</t>
  </si>
  <si>
    <t>Alexandria</t>
  </si>
  <si>
    <t>Arlington</t>
  </si>
  <si>
    <t>Jenkins</t>
  </si>
  <si>
    <t>Ware</t>
  </si>
  <si>
    <t>Collier</t>
  </si>
  <si>
    <t>Hendry</t>
  </si>
  <si>
    <t>Webster</t>
  </si>
  <si>
    <t>McNairy</t>
  </si>
  <si>
    <t>Tuscaloosa</t>
  </si>
  <si>
    <t>Craig</t>
  </si>
  <si>
    <t>Butts</t>
  </si>
  <si>
    <t>Overton</t>
  </si>
  <si>
    <t>Oktibbeha</t>
  </si>
  <si>
    <t>Upson</t>
  </si>
  <si>
    <t>Dickson</t>
  </si>
  <si>
    <t>Chester</t>
  </si>
  <si>
    <t>Chattooga</t>
  </si>
  <si>
    <t>Worth</t>
  </si>
  <si>
    <t>Echols</t>
  </si>
  <si>
    <t>Wythe</t>
  </si>
  <si>
    <t>Evans</t>
  </si>
  <si>
    <t>Cabarrus</t>
  </si>
  <si>
    <t>Catawba</t>
  </si>
  <si>
    <t>Mathews</t>
  </si>
  <si>
    <t>Prentiss</t>
  </si>
  <si>
    <t>Sharkey</t>
  </si>
  <si>
    <t>Hampton</t>
  </si>
  <si>
    <t>Perquimans</t>
  </si>
  <si>
    <t>Bay</t>
  </si>
  <si>
    <t>Caswell</t>
  </si>
  <si>
    <t>Panola</t>
  </si>
  <si>
    <t>Yadkin</t>
  </si>
  <si>
    <t>Lynchburg</t>
  </si>
  <si>
    <t>Manassas</t>
  </si>
  <si>
    <t>Bacon</t>
  </si>
  <si>
    <t>Carroll</t>
  </si>
  <si>
    <t>Jefferson Davis</t>
  </si>
  <si>
    <t>Kemper</t>
  </si>
  <si>
    <t>George</t>
  </si>
  <si>
    <t>Guilford</t>
  </si>
  <si>
    <t>Mecklenburg</t>
  </si>
  <si>
    <t>Amite</t>
  </si>
  <si>
    <t>Pike</t>
  </si>
  <si>
    <t>Chesapeake</t>
  </si>
  <si>
    <t>Fluvanna</t>
  </si>
  <si>
    <t>Bristol</t>
  </si>
  <si>
    <t>Simpson</t>
  </si>
  <si>
    <t>Tallahatchie</t>
  </si>
  <si>
    <t>Vance</t>
  </si>
  <si>
    <t>Forrest</t>
  </si>
  <si>
    <t>Neshoba</t>
  </si>
  <si>
    <t>Walthall</t>
  </si>
  <si>
    <t>Radford</t>
  </si>
  <si>
    <t>Chowan</t>
  </si>
  <si>
    <t>Duplin</t>
  </si>
  <si>
    <t>Dale</t>
  </si>
  <si>
    <t>Lawrence</t>
  </si>
  <si>
    <t>Pasco</t>
  </si>
  <si>
    <t>Alexander</t>
  </si>
  <si>
    <t>Grundy</t>
  </si>
  <si>
    <t>Hardeman</t>
  </si>
  <si>
    <t>Hardin</t>
  </si>
  <si>
    <t>Manatee</t>
  </si>
  <si>
    <t>Meriwether</t>
  </si>
  <si>
    <t>Dodge</t>
  </si>
  <si>
    <t>Gaston</t>
  </si>
  <si>
    <t>Broward</t>
  </si>
  <si>
    <t>Houston</t>
  </si>
  <si>
    <t>Gordon</t>
  </si>
  <si>
    <t>Gates</t>
  </si>
  <si>
    <t>Bland</t>
  </si>
  <si>
    <t>Winchester</t>
  </si>
  <si>
    <t>Rockdale</t>
  </si>
  <si>
    <t>Glades</t>
  </si>
  <si>
    <t>Hart</t>
  </si>
  <si>
    <t>Pinellas</t>
  </si>
  <si>
    <t>Ben Hill</t>
  </si>
  <si>
    <t>Sussex</t>
  </si>
  <si>
    <t>Colquitt</t>
  </si>
  <si>
    <t>Danville</t>
  </si>
  <si>
    <t>Bullock</t>
  </si>
  <si>
    <t>Waynesboro</t>
  </si>
  <si>
    <t>Leake</t>
  </si>
  <si>
    <t>Unicoi</t>
  </si>
  <si>
    <t>Tippah</t>
  </si>
  <si>
    <t>Stone</t>
  </si>
  <si>
    <t>Suffolk</t>
  </si>
  <si>
    <t>Bledsoe</t>
  </si>
  <si>
    <t>Tallapoosa</t>
  </si>
  <si>
    <t>Bradley</t>
  </si>
  <si>
    <t>Hopewell</t>
  </si>
  <si>
    <t>Okaloosa</t>
  </si>
  <si>
    <t>Buena Vista</t>
  </si>
  <si>
    <t>Itawamba</t>
  </si>
  <si>
    <t>Salem</t>
  </si>
  <si>
    <t>Thomas</t>
  </si>
  <si>
    <t>Towns</t>
  </si>
  <si>
    <t>Pickett</t>
  </si>
  <si>
    <t>Norfolk</t>
  </si>
  <si>
    <t>Poquoson</t>
  </si>
  <si>
    <t>Harrisonburg</t>
  </si>
  <si>
    <t>Galax</t>
  </si>
  <si>
    <t>Newport News</t>
  </si>
  <si>
    <t>Grayson</t>
  </si>
  <si>
    <t>Citrus</t>
  </si>
  <si>
    <t>Cleveland</t>
  </si>
  <si>
    <t>Amherst</t>
  </si>
  <si>
    <t>Culpeper</t>
  </si>
  <si>
    <t>Glynn</t>
  </si>
  <si>
    <t>Middlesex</t>
  </si>
  <si>
    <t>Page</t>
  </si>
  <si>
    <t>Petersburg</t>
  </si>
  <si>
    <t>New Hanover</t>
  </si>
  <si>
    <t>Stanly</t>
  </si>
  <si>
    <t>Richland</t>
  </si>
  <si>
    <t>Cannon</t>
  </si>
  <si>
    <t>Van Buren</t>
  </si>
  <si>
    <t>Darlington</t>
  </si>
  <si>
    <t>Lanier</t>
  </si>
  <si>
    <t>Grady</t>
  </si>
  <si>
    <t>Barrow</t>
  </si>
  <si>
    <t>King and Queen</t>
  </si>
  <si>
    <t>Rabun</t>
  </si>
  <si>
    <t>Talbot</t>
  </si>
  <si>
    <t>Durham</t>
  </si>
  <si>
    <t>Martinsville</t>
  </si>
  <si>
    <t>Douglas</t>
  </si>
  <si>
    <t>Irwin</t>
  </si>
  <si>
    <t>Emporia</t>
  </si>
  <si>
    <t>Coahoma</t>
  </si>
  <si>
    <t>Fauquier</t>
  </si>
  <si>
    <t>Alcorn</t>
  </si>
  <si>
    <t>Orangeburg</t>
  </si>
  <si>
    <t>Williamson</t>
  </si>
  <si>
    <t>Crockett</t>
  </si>
  <si>
    <t>Elbert</t>
  </si>
  <si>
    <t>Avery</t>
  </si>
  <si>
    <t>Granville</t>
  </si>
  <si>
    <t>Oglethorpe</t>
  </si>
  <si>
    <t>Accomack</t>
  </si>
  <si>
    <t>Louisa</t>
  </si>
  <si>
    <t>Rockbridge</t>
  </si>
  <si>
    <t>Talladega</t>
  </si>
  <si>
    <t>Dillon</t>
  </si>
  <si>
    <t>Total carbon stock change (tonne CO2)</t>
  </si>
  <si>
    <t>FIPS_County</t>
  </si>
  <si>
    <t>County_NAME</t>
  </si>
  <si>
    <t>State_NAME</t>
  </si>
  <si>
    <t>MISSISSIPPI</t>
  </si>
  <si>
    <t>ALABAMA</t>
  </si>
  <si>
    <t>NORTH CAROLINA</t>
  </si>
  <si>
    <t>FLORIDA</t>
  </si>
  <si>
    <t>GEORGIA</t>
  </si>
  <si>
    <t>SOUTH CAROLINA</t>
  </si>
  <si>
    <t>TENNESSEE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</si>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</sst>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0"/>
  <sheetViews>
    <sheetView tabSelected="1" workbookViewId="0">
      <selection sqref="A1:D1"/>
    </sheetView>
  </sheetViews>
  <sheetFormatPr defaultRowHeight="14.5" x14ac:dyDescent="0.35"/>
  <cols>
    <col min="1" max="1" width="13.6328125" customWidth="1"/>
    <col min="2" max="3" width="15.453125" customWidth="1"/>
    <col min="4" max="4" width="38.36328125" bestFit="1" customWidth="1"/>
  </cols>
  <sheetData>
    <row r="1" spans="1:4" x14ac:dyDescent="0.35">
      <c r="A1" s="1" t="s">
        <v>1282</v>
      </c>
      <c r="B1" s="1" t="s">
        <v>1283</v>
      </c>
      <c r="C1" s="1" t="s">
        <v>1284</v>
      </c>
      <c r="D1" s="1" t="s">
        <v>1281</v>
      </c>
    </row>
    <row r="2" spans="1:4" x14ac:dyDescent="0.35">
      <c r="A2" t="s">
        <v>0</v>
      </c>
      <c r="B2" t="s">
        <v>749</v>
      </c>
      <c r="C2" t="s">
        <v>1286</v>
      </c>
      <c r="D2">
        <f>(2127623.485*(44/12))/(0.4725284745/0.49)</f>
        <v>8089735.1186328679</v>
      </c>
    </row>
    <row r="3" spans="1:4" x14ac:dyDescent="0.35">
      <c r="A3" t="s">
        <v>646</v>
      </c>
      <c r="B3" t="s">
        <v>771</v>
      </c>
      <c r="C3" t="s">
        <v>1286</v>
      </c>
      <c r="D3">
        <f>(2347242.884*(44/12))/(0.4725284745/0.49)</f>
        <v>8924780.7821861394</v>
      </c>
    </row>
    <row r="4" spans="1:4" x14ac:dyDescent="0.35">
      <c r="A4" t="s">
        <v>1</v>
      </c>
      <c r="B4" t="s">
        <v>750</v>
      </c>
      <c r="C4" t="s">
        <v>1286</v>
      </c>
      <c r="D4">
        <f>(3167185.281*(44/12))/(0.4725284745/0.49)</f>
        <v>12042398.561380239</v>
      </c>
    </row>
    <row r="5" spans="1:4" x14ac:dyDescent="0.35">
      <c r="A5" t="s">
        <v>574</v>
      </c>
      <c r="B5" t="s">
        <v>873</v>
      </c>
      <c r="C5" t="s">
        <v>1286</v>
      </c>
      <c r="D5">
        <f>(1755385.22*(44/12))/(0.4725284745/0.49)</f>
        <v>6674395.8980895933</v>
      </c>
    </row>
    <row r="6" spans="1:4" x14ac:dyDescent="0.35">
      <c r="A6" t="s">
        <v>303</v>
      </c>
      <c r="B6" t="s">
        <v>976</v>
      </c>
      <c r="C6" t="s">
        <v>1286</v>
      </c>
      <c r="D6">
        <f>(1774090.266*(44/12))/(0.4725284745/0.49)</f>
        <v>6745516.972184075</v>
      </c>
    </row>
    <row r="7" spans="1:4" x14ac:dyDescent="0.35">
      <c r="A7" t="s">
        <v>640</v>
      </c>
      <c r="B7" t="s">
        <v>1217</v>
      </c>
      <c r="C7" t="s">
        <v>1286</v>
      </c>
      <c r="D7">
        <f>(2612412.255*(44/12))/(0.4725284745/0.49)</f>
        <v>9933018.3712558448</v>
      </c>
    </row>
    <row r="8" spans="1:4" x14ac:dyDescent="0.35">
      <c r="A8" t="s">
        <v>312</v>
      </c>
      <c r="B8" t="s">
        <v>1008</v>
      </c>
      <c r="C8" t="s">
        <v>1286</v>
      </c>
      <c r="D8">
        <f>(2017290.484*(44/12))/(0.4725284745/0.49)</f>
        <v>7670222.5689611137</v>
      </c>
    </row>
    <row r="9" spans="1:4" x14ac:dyDescent="0.35">
      <c r="A9" t="s">
        <v>313</v>
      </c>
      <c r="B9" t="s">
        <v>930</v>
      </c>
      <c r="C9" t="s">
        <v>1286</v>
      </c>
      <c r="D9">
        <f>(1130987.535*(44/12))/(0.4725284745/0.49)</f>
        <v>4300286.0445608972</v>
      </c>
    </row>
    <row r="10" spans="1:4" x14ac:dyDescent="0.35">
      <c r="A10" t="s">
        <v>372</v>
      </c>
      <c r="B10" t="s">
        <v>1049</v>
      </c>
      <c r="C10" t="s">
        <v>1286</v>
      </c>
      <c r="D10">
        <f>(1465533.872*(44/12))/(0.4725284745/0.49)</f>
        <v>5572311.5088026999</v>
      </c>
    </row>
    <row r="11" spans="1:4" x14ac:dyDescent="0.35">
      <c r="A11" t="s">
        <v>575</v>
      </c>
      <c r="B11" t="s">
        <v>789</v>
      </c>
      <c r="C11" t="s">
        <v>1286</v>
      </c>
      <c r="D11">
        <f>(1595283.347*(44/12))/(0.4725284745/0.49)</f>
        <v>6065650.1525673307</v>
      </c>
    </row>
    <row r="12" spans="1:4" x14ac:dyDescent="0.35">
      <c r="A12" t="s">
        <v>353</v>
      </c>
      <c r="B12" t="s">
        <v>1036</v>
      </c>
      <c r="C12" t="s">
        <v>1286</v>
      </c>
      <c r="D12">
        <f>(1907012.084*(44/12))/(0.4725284745/0.49)</f>
        <v>7250917.6253955737</v>
      </c>
    </row>
    <row r="13" spans="1:4" x14ac:dyDescent="0.35">
      <c r="A13" t="s">
        <v>2</v>
      </c>
      <c r="B13" t="s">
        <v>751</v>
      </c>
      <c r="C13" t="s">
        <v>1286</v>
      </c>
      <c r="D13">
        <f>(1828655.358*(44/12))/(0.4725284745/0.49)</f>
        <v>6952986.5475651873</v>
      </c>
    </row>
    <row r="14" spans="1:4" x14ac:dyDescent="0.35">
      <c r="A14" t="s">
        <v>710</v>
      </c>
      <c r="B14" t="s">
        <v>1057</v>
      </c>
      <c r="C14" t="s">
        <v>1286</v>
      </c>
      <c r="D14">
        <f>(3027129.643*(44/12))/(0.4725284745/0.49)</f>
        <v>11509873.412415206</v>
      </c>
    </row>
    <row r="15" spans="1:4" x14ac:dyDescent="0.35">
      <c r="A15" t="s">
        <v>354</v>
      </c>
      <c r="B15" t="s">
        <v>886</v>
      </c>
      <c r="C15" t="s">
        <v>1286</v>
      </c>
      <c r="D15">
        <f>(970654.5485*(44/12))/(0.4725284745/0.49)</f>
        <v>3690661.5500445003</v>
      </c>
    </row>
    <row r="16" spans="1:4" x14ac:dyDescent="0.35">
      <c r="A16" t="s">
        <v>355</v>
      </c>
      <c r="B16" t="s">
        <v>1037</v>
      </c>
      <c r="C16" t="s">
        <v>1286</v>
      </c>
      <c r="D16">
        <f>(1102934.895*(44/12))/(0.4725284745/0.49)</f>
        <v>4193623.1746601332</v>
      </c>
    </row>
    <row r="17" spans="1:4" x14ac:dyDescent="0.35">
      <c r="A17" t="s">
        <v>657</v>
      </c>
      <c r="B17" t="s">
        <v>958</v>
      </c>
      <c r="C17" t="s">
        <v>1286</v>
      </c>
      <c r="D17">
        <f>(2242628.923*(44/12))/(0.4725284745/0.49)</f>
        <v>8527013.3951613661</v>
      </c>
    </row>
    <row r="18" spans="1:4" x14ac:dyDescent="0.35">
      <c r="A18" t="s">
        <v>207</v>
      </c>
      <c r="B18" t="s">
        <v>929</v>
      </c>
      <c r="C18" t="s">
        <v>1286</v>
      </c>
      <c r="D18">
        <f>(1317251.24*(44/12))/(0.4725284745/0.49)</f>
        <v>5008505.3541748691</v>
      </c>
    </row>
    <row r="19" spans="1:4" x14ac:dyDescent="0.35">
      <c r="A19" t="s">
        <v>3</v>
      </c>
      <c r="B19" t="s">
        <v>752</v>
      </c>
      <c r="C19" t="s">
        <v>1286</v>
      </c>
      <c r="D19">
        <f>(3730592.171*(44/12))/(0.4725284745/0.49)</f>
        <v>14184606.774556043</v>
      </c>
    </row>
    <row r="20" spans="1:4" x14ac:dyDescent="0.35">
      <c r="A20" t="s">
        <v>371</v>
      </c>
      <c r="B20" t="s">
        <v>1048</v>
      </c>
      <c r="C20" t="s">
        <v>1286</v>
      </c>
      <c r="D20">
        <f>(1343218.469*(44/12))/(0.4725284745/0.49)</f>
        <v>5107238.9909559479</v>
      </c>
    </row>
    <row r="21" spans="1:4" x14ac:dyDescent="0.35">
      <c r="A21" t="s">
        <v>309</v>
      </c>
      <c r="B21" t="s">
        <v>1006</v>
      </c>
      <c r="C21" t="s">
        <v>1286</v>
      </c>
      <c r="D21">
        <f>(3599268.158*(44/12))/(0.4725284745/0.49)</f>
        <v>13685281.359427013</v>
      </c>
    </row>
    <row r="22" spans="1:4" x14ac:dyDescent="0.35">
      <c r="A22" t="s">
        <v>247</v>
      </c>
      <c r="B22" t="s">
        <v>960</v>
      </c>
      <c r="C22" t="s">
        <v>1286</v>
      </c>
      <c r="D22">
        <f>(1626166.554*(44/12))/(0.4725284745/0.49)</f>
        <v>6183075.5175368795</v>
      </c>
    </row>
    <row r="23" spans="1:4" x14ac:dyDescent="0.35">
      <c r="A23" t="s">
        <v>204</v>
      </c>
      <c r="B23" t="s">
        <v>926</v>
      </c>
      <c r="C23" t="s">
        <v>1286</v>
      </c>
      <c r="D23">
        <f>(2592513.879*(44/12))/(0.4725284745/0.49)</f>
        <v>9857359.9701027125</v>
      </c>
    </row>
    <row r="24" spans="1:4" x14ac:dyDescent="0.35">
      <c r="A24" t="s">
        <v>593</v>
      </c>
      <c r="B24" t="s">
        <v>1192</v>
      </c>
      <c r="C24" t="s">
        <v>1286</v>
      </c>
      <c r="D24">
        <f>(2259542.26*(44/12))/(0.4725284745/0.49)</f>
        <v>8591321.961628506</v>
      </c>
    </row>
    <row r="25" spans="1:4" x14ac:dyDescent="0.35">
      <c r="A25" t="s">
        <v>304</v>
      </c>
      <c r="B25" t="s">
        <v>1003</v>
      </c>
      <c r="C25" t="s">
        <v>1286</v>
      </c>
      <c r="D25">
        <f>(1936264.535*(44/12))/(0.4725284745/0.49)</f>
        <v>7362142.4646724286</v>
      </c>
    </row>
    <row r="26" spans="1:4" x14ac:dyDescent="0.35">
      <c r="A26" t="s">
        <v>125</v>
      </c>
      <c r="B26" t="s">
        <v>863</v>
      </c>
      <c r="C26" t="s">
        <v>1286</v>
      </c>
      <c r="D26">
        <f>(2364142.196*(44/12))/(0.4725284745/0.49)</f>
        <v>8989036.022237286</v>
      </c>
    </row>
    <row r="27" spans="1:4" x14ac:dyDescent="0.35">
      <c r="A27" t="s">
        <v>4</v>
      </c>
      <c r="B27" t="s">
        <v>753</v>
      </c>
      <c r="C27" t="s">
        <v>1286</v>
      </c>
      <c r="D27">
        <f>(1468463.498*(44/12))/(0.4725284745/0.49)</f>
        <v>5583450.6499635987</v>
      </c>
    </row>
    <row r="28" spans="1:4" x14ac:dyDescent="0.35">
      <c r="A28" t="s">
        <v>462</v>
      </c>
      <c r="B28" t="s">
        <v>917</v>
      </c>
      <c r="C28" t="s">
        <v>1286</v>
      </c>
      <c r="D28">
        <f>(3788211.289*(44/12))/(0.4725284745/0.49)</f>
        <v>14403688.489753999</v>
      </c>
    </row>
    <row r="29" spans="1:4" x14ac:dyDescent="0.35">
      <c r="A29" t="s">
        <v>5</v>
      </c>
      <c r="B29" t="s">
        <v>754</v>
      </c>
      <c r="C29" t="s">
        <v>1286</v>
      </c>
      <c r="D29">
        <f>(1369597.758*(44/12))/(0.4725284745/0.49)</f>
        <v>5207539.3787512369</v>
      </c>
    </row>
    <row r="30" spans="1:4" x14ac:dyDescent="0.35">
      <c r="A30" t="s">
        <v>438</v>
      </c>
      <c r="B30" t="s">
        <v>1045</v>
      </c>
      <c r="C30" t="s">
        <v>1286</v>
      </c>
      <c r="D30">
        <f>(737836.4853*(44/12))/(0.4725284745/0.49)</f>
        <v>2805431.3975294624</v>
      </c>
    </row>
    <row r="31" spans="1:4" x14ac:dyDescent="0.35">
      <c r="A31" t="s">
        <v>361</v>
      </c>
      <c r="B31" t="s">
        <v>793</v>
      </c>
      <c r="C31" t="s">
        <v>1286</v>
      </c>
      <c r="D31">
        <f>(1821565.947*(44/12))/(0.4725284745/0.49)</f>
        <v>6926030.9054877907</v>
      </c>
    </row>
    <row r="32" spans="1:4" x14ac:dyDescent="0.35">
      <c r="A32" t="s">
        <v>310</v>
      </c>
      <c r="B32" t="s">
        <v>1007</v>
      </c>
      <c r="C32" t="s">
        <v>1286</v>
      </c>
      <c r="D32">
        <f>(2108730.107*(44/12))/(0.4725284745/0.49)</f>
        <v>8017897.9610747937</v>
      </c>
    </row>
    <row r="33" spans="1:4" x14ac:dyDescent="0.35">
      <c r="A33" t="s">
        <v>126</v>
      </c>
      <c r="B33" t="s">
        <v>850</v>
      </c>
      <c r="C33" t="s">
        <v>1286</v>
      </c>
      <c r="D33">
        <f>(642527.4524*(44/12))/(0.4725284745/0.49)</f>
        <v>2443043.5803193762</v>
      </c>
    </row>
    <row r="34" spans="1:4" x14ac:dyDescent="0.35">
      <c r="A34" t="s">
        <v>6</v>
      </c>
      <c r="B34" t="s">
        <v>755</v>
      </c>
      <c r="C34" t="s">
        <v>1286</v>
      </c>
      <c r="D34">
        <f>(1104426.683*(44/12))/(0.4725284745/0.49)</f>
        <v>4199295.3106645709</v>
      </c>
    </row>
    <row r="35" spans="1:4" x14ac:dyDescent="0.35">
      <c r="A35" t="s">
        <v>463</v>
      </c>
      <c r="B35" t="s">
        <v>969</v>
      </c>
      <c r="C35" t="s">
        <v>1286</v>
      </c>
      <c r="D35">
        <f>(2530612.937*(44/12))/(0.4725284745/0.49)</f>
        <v>9621997.7324209549</v>
      </c>
    </row>
    <row r="36" spans="1:4" x14ac:dyDescent="0.35">
      <c r="A36" t="s">
        <v>745</v>
      </c>
      <c r="B36" t="s">
        <v>1204</v>
      </c>
      <c r="C36" t="s">
        <v>1286</v>
      </c>
      <c r="D36">
        <f>(1700981.864*(44/12))/(0.4725284745/0.49)</f>
        <v>6467541.2817970468</v>
      </c>
    </row>
    <row r="37" spans="1:4" x14ac:dyDescent="0.35">
      <c r="A37" t="s">
        <v>351</v>
      </c>
      <c r="B37" t="s">
        <v>797</v>
      </c>
      <c r="C37" t="s">
        <v>1286</v>
      </c>
      <c r="D37">
        <f>(2018346.319*(44/12))/(0.4725284745/0.49)</f>
        <v>7674237.1070310306</v>
      </c>
    </row>
    <row r="38" spans="1:4" x14ac:dyDescent="0.35">
      <c r="A38" t="s">
        <v>318</v>
      </c>
      <c r="B38" t="s">
        <v>763</v>
      </c>
      <c r="C38" t="s">
        <v>1286</v>
      </c>
      <c r="D38">
        <f>(1699567.559*(44/12))/(0.4725284745/0.49)</f>
        <v>6462163.754754493</v>
      </c>
    </row>
    <row r="39" spans="1:4" x14ac:dyDescent="0.35">
      <c r="A39" t="s">
        <v>311</v>
      </c>
      <c r="B39" t="s">
        <v>854</v>
      </c>
      <c r="C39" t="s">
        <v>1286</v>
      </c>
      <c r="D39">
        <f>(1695981.484*(44/12))/(0.4725284745/0.49)</f>
        <v>6448528.6369481338</v>
      </c>
    </row>
    <row r="40" spans="1:4" x14ac:dyDescent="0.35">
      <c r="A40" t="s">
        <v>502</v>
      </c>
      <c r="B40" t="s">
        <v>820</v>
      </c>
      <c r="C40" t="s">
        <v>1286</v>
      </c>
      <c r="D40">
        <f>(989637.0087*(44/12))/(0.4725284745/0.49)</f>
        <v>3762837.4195066625</v>
      </c>
    </row>
    <row r="41" spans="1:4" x14ac:dyDescent="0.35">
      <c r="A41" t="s">
        <v>701</v>
      </c>
      <c r="B41" t="s">
        <v>1193</v>
      </c>
      <c r="C41" t="s">
        <v>1286</v>
      </c>
      <c r="D41">
        <f>(707611.6586*(44/12))/(0.4725284745/0.49)</f>
        <v>2690509.3524714843</v>
      </c>
    </row>
    <row r="42" spans="1:4" x14ac:dyDescent="0.35">
      <c r="A42" t="s">
        <v>719</v>
      </c>
      <c r="B42" t="s">
        <v>921</v>
      </c>
      <c r="C42" t="s">
        <v>1286</v>
      </c>
      <c r="D42">
        <f>(1591811.697*(44/12))/(0.4725284745/0.49)</f>
        <v>6052450.1060729185</v>
      </c>
    </row>
    <row r="43" spans="1:4" x14ac:dyDescent="0.35">
      <c r="A43" t="s">
        <v>503</v>
      </c>
      <c r="B43" t="s">
        <v>1132</v>
      </c>
      <c r="C43" t="s">
        <v>1286</v>
      </c>
      <c r="D43">
        <f>(767242.6525*(44/12))/(0.4725284745/0.49)</f>
        <v>2917240.7026905348</v>
      </c>
    </row>
    <row r="44" spans="1:4" x14ac:dyDescent="0.35">
      <c r="A44" t="s">
        <v>577</v>
      </c>
      <c r="B44" t="s">
        <v>856</v>
      </c>
      <c r="C44" t="s">
        <v>1286</v>
      </c>
      <c r="D44">
        <f>(1343116.992*(44/12))/(0.4725284745/0.49)</f>
        <v>5106853.1510475148</v>
      </c>
    </row>
    <row r="45" spans="1:4" x14ac:dyDescent="0.35">
      <c r="A45" t="s">
        <v>127</v>
      </c>
      <c r="B45" t="s">
        <v>864</v>
      </c>
      <c r="C45" t="s">
        <v>1286</v>
      </c>
      <c r="D45">
        <f>(2377624.659*(44/12))/(0.4725284745/0.49)</f>
        <v>9040299.5823482368</v>
      </c>
    </row>
    <row r="46" spans="1:4" x14ac:dyDescent="0.35">
      <c r="A46" t="s">
        <v>7</v>
      </c>
      <c r="B46" t="s">
        <v>756</v>
      </c>
      <c r="C46" t="s">
        <v>1286</v>
      </c>
      <c r="D46">
        <f>(517256.7367*(44/12))/(0.4725284745/0.49)</f>
        <v>1966734.2543135283</v>
      </c>
    </row>
    <row r="47" spans="1:4" x14ac:dyDescent="0.35">
      <c r="A47" t="s">
        <v>128</v>
      </c>
      <c r="B47" t="s">
        <v>865</v>
      </c>
      <c r="C47" t="s">
        <v>1286</v>
      </c>
      <c r="D47">
        <f>(2368390.841*(44/12))/(0.4725284745/0.49)</f>
        <v>9005190.3902001418</v>
      </c>
    </row>
    <row r="48" spans="1:4" x14ac:dyDescent="0.35">
      <c r="A48" t="s">
        <v>356</v>
      </c>
      <c r="B48" t="s">
        <v>975</v>
      </c>
      <c r="C48" t="s">
        <v>1286</v>
      </c>
      <c r="D48">
        <f>(1668004.848*(44/12))/(0.4725284745/0.49)</f>
        <v>6342154.7524962956</v>
      </c>
    </row>
    <row r="49" spans="1:4" x14ac:dyDescent="0.35">
      <c r="A49" t="s">
        <v>129</v>
      </c>
      <c r="B49" t="s">
        <v>866</v>
      </c>
      <c r="C49" t="s">
        <v>1286</v>
      </c>
      <c r="D49">
        <f>(1117506.088*(44/12))/(0.4725284745/0.49)</f>
        <v>4249026.3475257857</v>
      </c>
    </row>
    <row r="50" spans="1:4" x14ac:dyDescent="0.35">
      <c r="A50" t="s">
        <v>362</v>
      </c>
      <c r="B50" t="s">
        <v>1041</v>
      </c>
      <c r="C50" t="s">
        <v>1286</v>
      </c>
      <c r="D50">
        <f>(611208.8739*(44/12))/(0.4725284745/0.49)</f>
        <v>2323962.828417867</v>
      </c>
    </row>
    <row r="51" spans="1:4" x14ac:dyDescent="0.35">
      <c r="A51" t="s">
        <v>700</v>
      </c>
      <c r="B51" t="s">
        <v>949</v>
      </c>
      <c r="C51" t="s">
        <v>1286</v>
      </c>
      <c r="D51">
        <f>(3119232.507*(44/12))/(0.4725284745/0.49)</f>
        <v>11860070.605988422</v>
      </c>
    </row>
    <row r="52" spans="1:4" x14ac:dyDescent="0.35">
      <c r="A52" t="s">
        <v>130</v>
      </c>
      <c r="B52" t="s">
        <v>780</v>
      </c>
      <c r="C52" t="s">
        <v>1286</v>
      </c>
      <c r="D52">
        <f>(1208515.329*(44/12))/(0.4725284745/0.49)</f>
        <v>4595065.3239839831</v>
      </c>
    </row>
    <row r="53" spans="1:4" x14ac:dyDescent="0.35">
      <c r="A53" t="s">
        <v>357</v>
      </c>
      <c r="B53" t="s">
        <v>977</v>
      </c>
      <c r="C53" t="s">
        <v>1286</v>
      </c>
      <c r="D53">
        <f>(971120.0042*(44/12))/(0.4725284745/0.49)</f>
        <v>3692431.3243250549</v>
      </c>
    </row>
    <row r="54" spans="1:4" x14ac:dyDescent="0.35">
      <c r="A54" t="s">
        <v>595</v>
      </c>
      <c r="B54" t="s">
        <v>965</v>
      </c>
      <c r="C54" t="s">
        <v>1286</v>
      </c>
      <c r="D54">
        <f>(1250403.779*(44/12))/(0.4725284745/0.49)</f>
        <v>4754335.264092816</v>
      </c>
    </row>
    <row r="55" spans="1:4" x14ac:dyDescent="0.35">
      <c r="A55" t="s">
        <v>131</v>
      </c>
      <c r="B55" t="s">
        <v>809</v>
      </c>
      <c r="C55" t="s">
        <v>1286</v>
      </c>
      <c r="D55">
        <f>(2355903.393*(44/12))/(0.4725284745/0.49)</f>
        <v>8957710.1159223355</v>
      </c>
    </row>
    <row r="56" spans="1:4" x14ac:dyDescent="0.35">
      <c r="A56" t="s">
        <v>647</v>
      </c>
      <c r="B56" t="s">
        <v>1179</v>
      </c>
      <c r="C56" t="s">
        <v>1286</v>
      </c>
      <c r="D56">
        <f>(1829774.975*(44/12))/(0.4725284745/0.49)</f>
        <v>6957243.6001067553</v>
      </c>
    </row>
    <row r="57" spans="1:4" x14ac:dyDescent="0.35">
      <c r="A57" t="s">
        <v>439</v>
      </c>
      <c r="B57" t="s">
        <v>1064</v>
      </c>
      <c r="C57" t="s">
        <v>1286</v>
      </c>
      <c r="D57">
        <f>(2750455.673*(44/12))/(0.4725284745/0.49)</f>
        <v>10457892.576849002</v>
      </c>
    </row>
    <row r="58" spans="1:4" x14ac:dyDescent="0.35">
      <c r="A58" t="s">
        <v>8</v>
      </c>
      <c r="B58" t="s">
        <v>757</v>
      </c>
      <c r="C58" t="s">
        <v>1286</v>
      </c>
      <c r="D58">
        <f>(2468123.862*(44/12))/(0.4725284745/0.49)</f>
        <v>9384399.271921549</v>
      </c>
    </row>
    <row r="59" spans="1:4" x14ac:dyDescent="0.35">
      <c r="A59" t="s">
        <v>132</v>
      </c>
      <c r="B59" t="s">
        <v>867</v>
      </c>
      <c r="C59" t="s">
        <v>1286</v>
      </c>
      <c r="D59">
        <f>(2118038.313*(44/12))/(0.4725284745/0.49)</f>
        <v>8053289.9942519749</v>
      </c>
    </row>
    <row r="60" spans="1:4" x14ac:dyDescent="0.35">
      <c r="A60" t="s">
        <v>9</v>
      </c>
      <c r="B60" t="s">
        <v>758</v>
      </c>
      <c r="C60" t="s">
        <v>1286</v>
      </c>
      <c r="D60">
        <f>(1821626.556*(44/12))/(0.4725284745/0.49)</f>
        <v>6926261.3554519238</v>
      </c>
    </row>
    <row r="61" spans="1:4" x14ac:dyDescent="0.35">
      <c r="A61" t="s">
        <v>133</v>
      </c>
      <c r="B61" t="s">
        <v>868</v>
      </c>
      <c r="C61" t="s">
        <v>1286</v>
      </c>
      <c r="D61">
        <f>(1427270.762*(44/12))/(0.4725284745/0.49)</f>
        <v>5426825.981453808</v>
      </c>
    </row>
    <row r="62" spans="1:4" x14ac:dyDescent="0.35">
      <c r="A62" t="s">
        <v>746</v>
      </c>
      <c r="B62" t="s">
        <v>1279</v>
      </c>
      <c r="C62" t="s">
        <v>1286</v>
      </c>
      <c r="D62">
        <f>(1800411.029*(44/12))/(0.4725284745/0.49)</f>
        <v>6845594.8300811509</v>
      </c>
    </row>
    <row r="63" spans="1:4" x14ac:dyDescent="0.35">
      <c r="A63" t="s">
        <v>658</v>
      </c>
      <c r="B63" t="s">
        <v>1225</v>
      </c>
      <c r="C63" t="s">
        <v>1286</v>
      </c>
      <c r="D63">
        <f>(1860109.519*(44/12))/(0.4725284745/0.49)</f>
        <v>7072582.8166714357</v>
      </c>
    </row>
    <row r="64" spans="1:4" x14ac:dyDescent="0.35">
      <c r="A64" t="s">
        <v>517</v>
      </c>
      <c r="B64" t="s">
        <v>1145</v>
      </c>
      <c r="C64" t="s">
        <v>1286</v>
      </c>
      <c r="D64">
        <f>(2007255.63*(44/12))/(0.4725284745/0.49)</f>
        <v>7632067.6456927452</v>
      </c>
    </row>
    <row r="65" spans="1:4" x14ac:dyDescent="0.35">
      <c r="A65" t="s">
        <v>652</v>
      </c>
      <c r="B65" t="s">
        <v>1067</v>
      </c>
      <c r="C65" t="s">
        <v>1286</v>
      </c>
      <c r="D65">
        <f>(2398159.734*(44/12))/(0.4725284745/0.49)</f>
        <v>9118378.8659068421</v>
      </c>
    </row>
    <row r="66" spans="1:4" x14ac:dyDescent="0.35">
      <c r="A66" t="s">
        <v>319</v>
      </c>
      <c r="B66" t="s">
        <v>770</v>
      </c>
      <c r="C66" t="s">
        <v>1286</v>
      </c>
      <c r="D66">
        <f>(1061873.739*(44/12))/(0.4725284745/0.49)</f>
        <v>4037498.8048894815</v>
      </c>
    </row>
    <row r="67" spans="1:4" x14ac:dyDescent="0.35">
      <c r="A67" t="s">
        <v>134</v>
      </c>
      <c r="B67" t="s">
        <v>869</v>
      </c>
      <c r="C67" t="s">
        <v>1286</v>
      </c>
      <c r="D67">
        <f>(2533038.165*(44/12))/(0.4725284745/0.49)</f>
        <v>9631219.031330565</v>
      </c>
    </row>
    <row r="68" spans="1:4" x14ac:dyDescent="0.35">
      <c r="A68" t="s">
        <v>358</v>
      </c>
      <c r="B68" t="s">
        <v>1038</v>
      </c>
      <c r="C68" t="s">
        <v>1286</v>
      </c>
      <c r="D68">
        <f>(1714516.394*(44/12))/(0.4725284745/0.49)</f>
        <v>6519002.8131380538</v>
      </c>
    </row>
    <row r="69" spans="1:4" x14ac:dyDescent="0.35">
      <c r="A69" t="s">
        <v>488</v>
      </c>
      <c r="B69" t="s">
        <v>1124</v>
      </c>
      <c r="C69" t="s">
        <v>1288</v>
      </c>
      <c r="D69">
        <f>(0*(44/12))/(0.4725284745/0.49)</f>
        <v>0</v>
      </c>
    </row>
    <row r="70" spans="1:4" x14ac:dyDescent="0.35">
      <c r="A70" t="s">
        <v>627</v>
      </c>
      <c r="B70" t="s">
        <v>935</v>
      </c>
      <c r="C70" t="s">
        <v>1288</v>
      </c>
      <c r="D70">
        <f>(87349.94356*(44/12))/(0.4725284745/0.49)</f>
        <v>332125.44936160598</v>
      </c>
    </row>
    <row r="71" spans="1:4" x14ac:dyDescent="0.35">
      <c r="A71" t="s">
        <v>548</v>
      </c>
      <c r="B71" t="s">
        <v>1165</v>
      </c>
      <c r="C71" t="s">
        <v>1288</v>
      </c>
      <c r="D71">
        <f>(20370.26797*(44/12))/(0.4725284745/0.49)</f>
        <v>77452.647676932043</v>
      </c>
    </row>
    <row r="72" spans="1:4" x14ac:dyDescent="0.35">
      <c r="A72" t="s">
        <v>345</v>
      </c>
      <c r="B72" t="s">
        <v>1030</v>
      </c>
      <c r="C72" t="s">
        <v>1288</v>
      </c>
      <c r="D72">
        <f>(10207.28093*(44/12))/(0.4725284745/0.49)</f>
        <v>38810.531838612682</v>
      </c>
    </row>
    <row r="73" spans="1:4" x14ac:dyDescent="0.35">
      <c r="A73" t="s">
        <v>10</v>
      </c>
      <c r="B73" t="s">
        <v>759</v>
      </c>
      <c r="C73" t="s">
        <v>1288</v>
      </c>
      <c r="D73">
        <f>(0*(44/12))/(0.4725284745/0.49)</f>
        <v>0</v>
      </c>
    </row>
    <row r="74" spans="1:4" x14ac:dyDescent="0.35">
      <c r="A74" t="s">
        <v>612</v>
      </c>
      <c r="B74" t="s">
        <v>1203</v>
      </c>
      <c r="C74" t="s">
        <v>1288</v>
      </c>
      <c r="D74">
        <f>(0*(44/12))/(0.4725284745/0.49)</f>
        <v>0</v>
      </c>
    </row>
    <row r="75" spans="1:4" x14ac:dyDescent="0.35">
      <c r="A75" t="s">
        <v>208</v>
      </c>
      <c r="B75" t="s">
        <v>930</v>
      </c>
      <c r="C75" t="s">
        <v>1288</v>
      </c>
      <c r="D75">
        <f>(343853.1018*(44/12))/(0.4725284745/0.49)</f>
        <v>1307412.0176306961</v>
      </c>
    </row>
    <row r="76" spans="1:4" x14ac:dyDescent="0.35">
      <c r="A76" t="s">
        <v>615</v>
      </c>
      <c r="B76" t="s">
        <v>828</v>
      </c>
      <c r="C76" t="s">
        <v>1288</v>
      </c>
      <c r="D76">
        <f>(0*(44/12))/(0.4725284745/0.49)</f>
        <v>0</v>
      </c>
    </row>
    <row r="77" spans="1:4" x14ac:dyDescent="0.35">
      <c r="A77" t="s">
        <v>682</v>
      </c>
      <c r="B77" t="s">
        <v>1241</v>
      </c>
      <c r="C77" t="s">
        <v>1288</v>
      </c>
      <c r="D77">
        <f>(0*(44/12))/(0.4725284745/0.49)</f>
        <v>0</v>
      </c>
    </row>
    <row r="78" spans="1:4" x14ac:dyDescent="0.35">
      <c r="A78" t="s">
        <v>475</v>
      </c>
      <c r="B78" t="s">
        <v>886</v>
      </c>
      <c r="C78" t="s">
        <v>1288</v>
      </c>
      <c r="D78">
        <f>(21984.57093*(44/12))/(0.4725284745/0.49)</f>
        <v>83590.614962823791</v>
      </c>
    </row>
    <row r="79" spans="1:4" x14ac:dyDescent="0.35">
      <c r="A79" t="s">
        <v>512</v>
      </c>
      <c r="B79" t="s">
        <v>1141</v>
      </c>
      <c r="C79" t="s">
        <v>1288</v>
      </c>
      <c r="D79">
        <f>(0*(44/12))/(0.4725284745/0.49)</f>
        <v>0</v>
      </c>
    </row>
    <row r="80" spans="1:4" x14ac:dyDescent="0.35">
      <c r="A80" t="s">
        <v>11</v>
      </c>
      <c r="B80" t="s">
        <v>760</v>
      </c>
      <c r="C80" t="s">
        <v>1288</v>
      </c>
      <c r="D80">
        <f>(16701.08488*(44/12))/(0.4725284745/0.49)</f>
        <v>63501.532966489322</v>
      </c>
    </row>
    <row r="81" spans="1:4" x14ac:dyDescent="0.35">
      <c r="A81" t="s">
        <v>489</v>
      </c>
      <c r="B81" t="s">
        <v>843</v>
      </c>
      <c r="C81" t="s">
        <v>1288</v>
      </c>
      <c r="D81">
        <f>(0*(44/12))/(0.4725284745/0.49)</f>
        <v>0</v>
      </c>
    </row>
    <row r="82" spans="1:4" x14ac:dyDescent="0.35">
      <c r="A82" t="s">
        <v>342</v>
      </c>
      <c r="B82" t="s">
        <v>1027</v>
      </c>
      <c r="C82" t="s">
        <v>1288</v>
      </c>
      <c r="D82">
        <f>(0*(44/12))/(0.4725284745/0.49)</f>
        <v>0</v>
      </c>
    </row>
    <row r="83" spans="1:4" x14ac:dyDescent="0.35">
      <c r="A83" t="s">
        <v>417</v>
      </c>
      <c r="B83" t="s">
        <v>1081</v>
      </c>
      <c r="C83" t="s">
        <v>1288</v>
      </c>
      <c r="D83">
        <f>(11435.38601*(44/12))/(0.4725284745/0.49)</f>
        <v>43480.082097429942</v>
      </c>
    </row>
    <row r="84" spans="1:4" x14ac:dyDescent="0.35">
      <c r="A84" t="s">
        <v>194</v>
      </c>
      <c r="B84" t="s">
        <v>917</v>
      </c>
      <c r="C84" t="s">
        <v>1288</v>
      </c>
      <c r="D84">
        <f>(192181.6725*(44/12))/(0.4725284745/0.49)</f>
        <v>730720.84235846391</v>
      </c>
    </row>
    <row r="85" spans="1:4" x14ac:dyDescent="0.35">
      <c r="A85" t="s">
        <v>376</v>
      </c>
      <c r="B85" t="s">
        <v>1053</v>
      </c>
      <c r="C85" t="s">
        <v>1288</v>
      </c>
      <c r="D85">
        <f>(0*(44/12))/(0.4725284745/0.49)</f>
        <v>0</v>
      </c>
    </row>
    <row r="86" spans="1:4" x14ac:dyDescent="0.35">
      <c r="A86" t="s">
        <v>195</v>
      </c>
      <c r="B86" t="s">
        <v>793</v>
      </c>
      <c r="C86" t="s">
        <v>1288</v>
      </c>
      <c r="D86">
        <f>(664.977984*(44/12))/(0.4725284745/0.49)</f>
        <v>2528.4058895798876</v>
      </c>
    </row>
    <row r="87" spans="1:4" x14ac:dyDescent="0.35">
      <c r="A87" t="s">
        <v>12</v>
      </c>
      <c r="B87" t="s">
        <v>761</v>
      </c>
      <c r="C87" t="s">
        <v>1288</v>
      </c>
      <c r="D87">
        <f>(243087.4603*(44/12))/(0.4725284745/0.49)</f>
        <v>924276.86493984319</v>
      </c>
    </row>
    <row r="88" spans="1:4" x14ac:dyDescent="0.35">
      <c r="A88" t="s">
        <v>196</v>
      </c>
      <c r="B88" t="s">
        <v>918</v>
      </c>
      <c r="C88" t="s">
        <v>1288</v>
      </c>
      <c r="D88">
        <f>(0*(44/12))/(0.4725284745/0.49)</f>
        <v>0</v>
      </c>
    </row>
    <row r="89" spans="1:4" x14ac:dyDescent="0.35">
      <c r="A89" t="s">
        <v>631</v>
      </c>
      <c r="B89" t="s">
        <v>1210</v>
      </c>
      <c r="C89" t="s">
        <v>1288</v>
      </c>
      <c r="D89">
        <f>(0*(44/12))/(0.4725284745/0.49)</f>
        <v>0</v>
      </c>
    </row>
    <row r="90" spans="1:4" x14ac:dyDescent="0.35">
      <c r="A90" t="s">
        <v>305</v>
      </c>
      <c r="B90" t="s">
        <v>1004</v>
      </c>
      <c r="C90" t="s">
        <v>1288</v>
      </c>
      <c r="D90">
        <f>(17765.70554*(44/12))/(0.4725284745/0.49)</f>
        <v>67549.476224280588</v>
      </c>
    </row>
    <row r="91" spans="1:4" x14ac:dyDescent="0.35">
      <c r="A91" t="s">
        <v>197</v>
      </c>
      <c r="B91" t="s">
        <v>919</v>
      </c>
      <c r="C91" t="s">
        <v>1288</v>
      </c>
      <c r="D91">
        <f>(4722.591856*(44/12))/(0.4725284745/0.49)</f>
        <v>17956.427656396536</v>
      </c>
    </row>
    <row r="92" spans="1:4" x14ac:dyDescent="0.35">
      <c r="A92" t="s">
        <v>476</v>
      </c>
      <c r="B92" t="s">
        <v>1116</v>
      </c>
      <c r="C92" t="s">
        <v>1288</v>
      </c>
      <c r="D92">
        <f>(0*(44/12))/(0.4725284745/0.49)</f>
        <v>0</v>
      </c>
    </row>
    <row r="93" spans="1:4" x14ac:dyDescent="0.35">
      <c r="A93" t="s">
        <v>513</v>
      </c>
      <c r="B93" t="s">
        <v>1142</v>
      </c>
      <c r="C93" t="s">
        <v>1288</v>
      </c>
      <c r="D93">
        <f>(0*(44/12))/(0.4725284745/0.49)</f>
        <v>0</v>
      </c>
    </row>
    <row r="94" spans="1:4" x14ac:dyDescent="0.35">
      <c r="A94" t="s">
        <v>198</v>
      </c>
      <c r="B94" t="s">
        <v>920</v>
      </c>
      <c r="C94" t="s">
        <v>1288</v>
      </c>
      <c r="D94">
        <f>(0*(44/12))/(0.4725284745/0.49)</f>
        <v>0</v>
      </c>
    </row>
    <row r="95" spans="1:4" x14ac:dyDescent="0.35">
      <c r="A95" t="s">
        <v>13</v>
      </c>
      <c r="B95" t="s">
        <v>762</v>
      </c>
      <c r="C95" t="s">
        <v>1288</v>
      </c>
      <c r="D95">
        <f>(0*(44/12))/(0.4725284745/0.49)</f>
        <v>0</v>
      </c>
    </row>
    <row r="96" spans="1:4" x14ac:dyDescent="0.35">
      <c r="A96" t="s">
        <v>268</v>
      </c>
      <c r="B96" t="s">
        <v>978</v>
      </c>
      <c r="C96" t="s">
        <v>1288</v>
      </c>
      <c r="D96">
        <f>(0*(44/12))/(0.4725284745/0.49)</f>
        <v>0</v>
      </c>
    </row>
    <row r="97" spans="1:4" x14ac:dyDescent="0.35">
      <c r="A97" t="s">
        <v>377</v>
      </c>
      <c r="B97" t="s">
        <v>973</v>
      </c>
      <c r="C97" t="s">
        <v>1288</v>
      </c>
      <c r="D97">
        <f>(451006.9059*(44/12))/(0.4725284745/0.49)</f>
        <v>1714836.4976828501</v>
      </c>
    </row>
    <row r="98" spans="1:4" x14ac:dyDescent="0.35">
      <c r="A98" t="s">
        <v>494</v>
      </c>
      <c r="B98" t="s">
        <v>1126</v>
      </c>
      <c r="C98" t="s">
        <v>1288</v>
      </c>
      <c r="D98">
        <f>(0*(44/12))/(0.4725284745/0.49)</f>
        <v>0</v>
      </c>
    </row>
    <row r="99" spans="1:4" x14ac:dyDescent="0.35">
      <c r="A99" t="s">
        <v>594</v>
      </c>
      <c r="B99" t="s">
        <v>797</v>
      </c>
      <c r="C99" t="s">
        <v>1288</v>
      </c>
      <c r="D99">
        <f>(949376.0788*(44/12))/(0.4725284745/0.49)</f>
        <v>3609755.7014221088</v>
      </c>
    </row>
    <row r="100" spans="1:4" x14ac:dyDescent="0.35">
      <c r="A100" t="s">
        <v>14</v>
      </c>
      <c r="B100" t="s">
        <v>763</v>
      </c>
      <c r="C100" t="s">
        <v>1288</v>
      </c>
      <c r="D100">
        <f>(541014.3127*(44/12))/(0.4725284745/0.49)</f>
        <v>2057066.2600728977</v>
      </c>
    </row>
    <row r="101" spans="1:4" x14ac:dyDescent="0.35">
      <c r="A101" t="s">
        <v>461</v>
      </c>
      <c r="B101" t="s">
        <v>1101</v>
      </c>
      <c r="C101" t="s">
        <v>1288</v>
      </c>
      <c r="D101">
        <f>(63.904199*(44/12))/(0.4725284745/0.49)</f>
        <v>242.97910157651953</v>
      </c>
    </row>
    <row r="102" spans="1:4" x14ac:dyDescent="0.35">
      <c r="A102" t="s">
        <v>209</v>
      </c>
      <c r="B102" t="s">
        <v>931</v>
      </c>
      <c r="C102" t="s">
        <v>1288</v>
      </c>
      <c r="D102">
        <f>(0*(44/12))/(0.4725284745/0.49)</f>
        <v>0</v>
      </c>
    </row>
    <row r="103" spans="1:4" x14ac:dyDescent="0.35">
      <c r="A103" t="s">
        <v>199</v>
      </c>
      <c r="B103" t="s">
        <v>921</v>
      </c>
      <c r="C103" t="s">
        <v>1288</v>
      </c>
      <c r="D103">
        <f>(0*(44/12))/(0.4725284745/0.49)</f>
        <v>0</v>
      </c>
    </row>
    <row r="104" spans="1:4" x14ac:dyDescent="0.35">
      <c r="A104" t="s">
        <v>15</v>
      </c>
      <c r="B104" t="s">
        <v>764</v>
      </c>
      <c r="C104" t="s">
        <v>1288</v>
      </c>
      <c r="D104">
        <f>(376438.28*(44/12))/(0.4725284745/0.49)</f>
        <v>1431308.6855749544</v>
      </c>
    </row>
    <row r="105" spans="1:4" x14ac:dyDescent="0.35">
      <c r="A105" t="s">
        <v>274</v>
      </c>
      <c r="B105" t="s">
        <v>983</v>
      </c>
      <c r="C105" t="s">
        <v>1288</v>
      </c>
      <c r="D105">
        <f>(0*(44/12))/(0.4725284745/0.49)</f>
        <v>0</v>
      </c>
    </row>
    <row r="106" spans="1:4" x14ac:dyDescent="0.35">
      <c r="A106" t="s">
        <v>96</v>
      </c>
      <c r="B106" t="s">
        <v>777</v>
      </c>
      <c r="C106" t="s">
        <v>1288</v>
      </c>
      <c r="D106">
        <f>(249433.0696*(44/12))/(0.4725284745/0.49)</f>
        <v>948404.39444177167</v>
      </c>
    </row>
    <row r="107" spans="1:4" x14ac:dyDescent="0.35">
      <c r="A107" t="s">
        <v>222</v>
      </c>
      <c r="B107" t="s">
        <v>756</v>
      </c>
      <c r="C107" t="s">
        <v>1288</v>
      </c>
      <c r="D107">
        <f>(503229.9221*(44/12))/(0.4725284745/0.49)</f>
        <v>1913400.9387752425</v>
      </c>
    </row>
    <row r="108" spans="1:4" x14ac:dyDescent="0.35">
      <c r="A108" t="s">
        <v>604</v>
      </c>
      <c r="B108" t="s">
        <v>1199</v>
      </c>
      <c r="C108" t="s">
        <v>1288</v>
      </c>
      <c r="D108">
        <f>(0*(44/12))/(0.4725284745/0.49)</f>
        <v>0</v>
      </c>
    </row>
    <row r="109" spans="1:4" x14ac:dyDescent="0.35">
      <c r="A109" t="s">
        <v>687</v>
      </c>
      <c r="B109" t="s">
        <v>975</v>
      </c>
      <c r="C109" t="s">
        <v>1288</v>
      </c>
      <c r="D109">
        <f>(0*(44/12))/(0.4725284745/0.49)</f>
        <v>0</v>
      </c>
    </row>
    <row r="110" spans="1:4" x14ac:dyDescent="0.35">
      <c r="A110" t="s">
        <v>650</v>
      </c>
      <c r="B110" t="s">
        <v>799</v>
      </c>
      <c r="C110" t="s">
        <v>1288</v>
      </c>
      <c r="D110">
        <f>(0*(44/12))/(0.4725284745/0.49)</f>
        <v>0</v>
      </c>
    </row>
    <row r="111" spans="1:4" x14ac:dyDescent="0.35">
      <c r="A111" t="s">
        <v>135</v>
      </c>
      <c r="B111" t="s">
        <v>870</v>
      </c>
      <c r="C111" t="s">
        <v>1288</v>
      </c>
      <c r="D111">
        <f>(0*(44/12))/(0.4725284745/0.49)</f>
        <v>0</v>
      </c>
    </row>
    <row r="112" spans="1:4" x14ac:dyDescent="0.35">
      <c r="A112" t="s">
        <v>378</v>
      </c>
      <c r="B112" t="s">
        <v>949</v>
      </c>
      <c r="C112" t="s">
        <v>1288</v>
      </c>
      <c r="D112">
        <f>(0*(44/12))/(0.4725284745/0.49)</f>
        <v>0</v>
      </c>
    </row>
    <row r="113" spans="1:4" x14ac:dyDescent="0.35">
      <c r="A113" t="s">
        <v>269</v>
      </c>
      <c r="B113" t="s">
        <v>979</v>
      </c>
      <c r="C113" t="s">
        <v>1288</v>
      </c>
      <c r="D113">
        <f>(4134.138692*(44/12))/(0.4725284745/0.49)</f>
        <v>15718.987498378436</v>
      </c>
    </row>
    <row r="114" spans="1:4" x14ac:dyDescent="0.35">
      <c r="A114" t="s">
        <v>662</v>
      </c>
      <c r="B114" t="s">
        <v>1228</v>
      </c>
      <c r="C114" t="s">
        <v>1288</v>
      </c>
      <c r="D114">
        <f>(632062.0461*(44/12))/(0.4725284745/0.49)</f>
        <v>2403251.5938740536</v>
      </c>
    </row>
    <row r="115" spans="1:4" x14ac:dyDescent="0.35">
      <c r="A115" t="s">
        <v>136</v>
      </c>
      <c r="B115" t="s">
        <v>871</v>
      </c>
      <c r="C115" t="s">
        <v>1288</v>
      </c>
      <c r="D115">
        <f t="shared" ref="D115:D124" si="0">(0*(44/12))/(0.4725284745/0.49)</f>
        <v>0</v>
      </c>
    </row>
    <row r="116" spans="1:4" x14ac:dyDescent="0.35">
      <c r="A116" t="s">
        <v>16</v>
      </c>
      <c r="B116" t="s">
        <v>765</v>
      </c>
      <c r="C116" t="s">
        <v>1288</v>
      </c>
      <c r="D116">
        <f t="shared" si="0"/>
        <v>0</v>
      </c>
    </row>
    <row r="117" spans="1:4" x14ac:dyDescent="0.35">
      <c r="A117" t="s">
        <v>137</v>
      </c>
      <c r="B117" t="s">
        <v>872</v>
      </c>
      <c r="C117" t="s">
        <v>1288</v>
      </c>
      <c r="D117">
        <f t="shared" si="0"/>
        <v>0</v>
      </c>
    </row>
    <row r="118" spans="1:4" x14ac:dyDescent="0.35">
      <c r="A118" t="s">
        <v>460</v>
      </c>
      <c r="B118" t="s">
        <v>1107</v>
      </c>
      <c r="C118" t="s">
        <v>1288</v>
      </c>
      <c r="D118">
        <f t="shared" si="0"/>
        <v>0</v>
      </c>
    </row>
    <row r="119" spans="1:4" x14ac:dyDescent="0.35">
      <c r="A119" t="s">
        <v>598</v>
      </c>
      <c r="B119" t="s">
        <v>1194</v>
      </c>
      <c r="C119" t="s">
        <v>1288</v>
      </c>
      <c r="D119">
        <f t="shared" si="0"/>
        <v>0</v>
      </c>
    </row>
    <row r="120" spans="1:4" x14ac:dyDescent="0.35">
      <c r="A120" t="s">
        <v>633</v>
      </c>
      <c r="B120" t="s">
        <v>1212</v>
      </c>
      <c r="C120" t="s">
        <v>1288</v>
      </c>
      <c r="D120">
        <f t="shared" si="0"/>
        <v>0</v>
      </c>
    </row>
    <row r="121" spans="1:4" x14ac:dyDescent="0.35">
      <c r="A121" t="s">
        <v>306</v>
      </c>
      <c r="B121" t="s">
        <v>914</v>
      </c>
      <c r="C121" t="s">
        <v>1288</v>
      </c>
      <c r="D121">
        <f t="shared" si="0"/>
        <v>0</v>
      </c>
    </row>
    <row r="122" spans="1:4" x14ac:dyDescent="0.35">
      <c r="A122" t="s">
        <v>17</v>
      </c>
      <c r="B122" t="s">
        <v>766</v>
      </c>
      <c r="C122" t="s">
        <v>1288</v>
      </c>
      <c r="D122">
        <f t="shared" si="0"/>
        <v>0</v>
      </c>
    </row>
    <row r="123" spans="1:4" x14ac:dyDescent="0.35">
      <c r="A123" t="s">
        <v>379</v>
      </c>
      <c r="B123" t="s">
        <v>1054</v>
      </c>
      <c r="C123" t="s">
        <v>1288</v>
      </c>
      <c r="D123">
        <f t="shared" si="0"/>
        <v>0</v>
      </c>
    </row>
    <row r="124" spans="1:4" x14ac:dyDescent="0.35">
      <c r="A124" t="s">
        <v>380</v>
      </c>
      <c r="B124" t="s">
        <v>1055</v>
      </c>
      <c r="C124" t="s">
        <v>1288</v>
      </c>
      <c r="D124">
        <f t="shared" si="0"/>
        <v>0</v>
      </c>
    </row>
    <row r="125" spans="1:4" x14ac:dyDescent="0.35">
      <c r="A125" t="s">
        <v>223</v>
      </c>
      <c r="B125" t="s">
        <v>943</v>
      </c>
      <c r="C125" t="s">
        <v>1288</v>
      </c>
      <c r="D125">
        <f>(1365905.49*(44/12))/(0.4725284745/0.49)</f>
        <v>5193500.4896726068</v>
      </c>
    </row>
    <row r="126" spans="1:4" x14ac:dyDescent="0.35">
      <c r="A126" t="s">
        <v>370</v>
      </c>
      <c r="B126" t="s">
        <v>1047</v>
      </c>
      <c r="C126" t="s">
        <v>1288</v>
      </c>
      <c r="D126">
        <f>(0*(44/12))/(0.4725284745/0.49)</f>
        <v>0</v>
      </c>
    </row>
    <row r="127" spans="1:4" x14ac:dyDescent="0.35">
      <c r="A127" t="s">
        <v>705</v>
      </c>
      <c r="B127" t="s">
        <v>1112</v>
      </c>
      <c r="C127" t="s">
        <v>1288</v>
      </c>
      <c r="D127">
        <f>(0*(44/12))/(0.4725284745/0.49)</f>
        <v>0</v>
      </c>
    </row>
    <row r="128" spans="1:4" x14ac:dyDescent="0.35">
      <c r="A128" t="s">
        <v>418</v>
      </c>
      <c r="B128" t="s">
        <v>868</v>
      </c>
      <c r="C128" t="s">
        <v>1288</v>
      </c>
      <c r="D128">
        <f>(0*(44/12))/(0.4725284745/0.49)</f>
        <v>0</v>
      </c>
    </row>
    <row r="129" spans="1:4" x14ac:dyDescent="0.35">
      <c r="A129" t="s">
        <v>307</v>
      </c>
      <c r="B129" t="s">
        <v>1005</v>
      </c>
      <c r="C129" t="s">
        <v>1288</v>
      </c>
      <c r="D129">
        <f>(0*(44/12))/(0.4725284745/0.49)</f>
        <v>0</v>
      </c>
    </row>
    <row r="130" spans="1:4" x14ac:dyDescent="0.35">
      <c r="A130" t="s">
        <v>18</v>
      </c>
      <c r="B130" t="s">
        <v>767</v>
      </c>
      <c r="C130" t="s">
        <v>1288</v>
      </c>
      <c r="D130">
        <f>(66.566874*(44/12))/(0.4725284745/0.49)</f>
        <v>253.10323096730119</v>
      </c>
    </row>
    <row r="131" spans="1:4" x14ac:dyDescent="0.35">
      <c r="A131" t="s">
        <v>695</v>
      </c>
      <c r="B131" t="s">
        <v>784</v>
      </c>
      <c r="C131" t="s">
        <v>1288</v>
      </c>
      <c r="D131">
        <f>(40385.53437*(44/12))/(0.4725284745/0.49)</f>
        <v>153555.49418450971</v>
      </c>
    </row>
    <row r="132" spans="1:4" x14ac:dyDescent="0.35">
      <c r="A132" t="s">
        <v>19</v>
      </c>
      <c r="B132" t="s">
        <v>768</v>
      </c>
      <c r="C132" t="s">
        <v>1288</v>
      </c>
      <c r="D132">
        <f>(0*(44/12))/(0.4725284745/0.49)</f>
        <v>0</v>
      </c>
    </row>
    <row r="133" spans="1:4" x14ac:dyDescent="0.35">
      <c r="A133" t="s">
        <v>210</v>
      </c>
      <c r="B133" t="s">
        <v>932</v>
      </c>
      <c r="C133" t="s">
        <v>1288</v>
      </c>
      <c r="D133">
        <f>(0*(44/12))/(0.4725284745/0.49)</f>
        <v>0</v>
      </c>
    </row>
    <row r="134" spans="1:4" x14ac:dyDescent="0.35">
      <c r="A134" t="s">
        <v>20</v>
      </c>
      <c r="B134" t="s">
        <v>769</v>
      </c>
      <c r="C134" t="s">
        <v>1288</v>
      </c>
      <c r="D134">
        <f>(607319.0805*(44/12))/(0.4725284745/0.49)</f>
        <v>2309172.9003624311</v>
      </c>
    </row>
    <row r="135" spans="1:4" x14ac:dyDescent="0.35">
      <c r="A135" t="s">
        <v>21</v>
      </c>
      <c r="B135" t="s">
        <v>770</v>
      </c>
      <c r="C135" t="s">
        <v>1288</v>
      </c>
      <c r="D135">
        <f>(331914.3239*(44/12))/(0.4725284745/0.49)</f>
        <v>1262017.9187536628</v>
      </c>
    </row>
    <row r="136" spans="1:4" x14ac:dyDescent="0.35">
      <c r="A136" t="s">
        <v>224</v>
      </c>
      <c r="B136" t="s">
        <v>944</v>
      </c>
      <c r="C136" t="s">
        <v>1289</v>
      </c>
      <c r="D136">
        <f>(1850577.988*(44/12))/(0.4725284745/0.49)</f>
        <v>7036341.6482463563</v>
      </c>
    </row>
    <row r="137" spans="1:4" x14ac:dyDescent="0.35">
      <c r="A137" t="s">
        <v>375</v>
      </c>
      <c r="B137" t="s">
        <v>1052</v>
      </c>
      <c r="C137" t="s">
        <v>1289</v>
      </c>
      <c r="D137">
        <f>(1201080.164*(44/12))/(0.4725284745/0.49)</f>
        <v>4566795.0422177855</v>
      </c>
    </row>
    <row r="138" spans="1:4" x14ac:dyDescent="0.35">
      <c r="A138" t="s">
        <v>557</v>
      </c>
      <c r="B138" t="s">
        <v>1171</v>
      </c>
      <c r="C138" t="s">
        <v>1289</v>
      </c>
      <c r="D138">
        <f>(1193111.252*(44/12))/(0.4725284745/0.49)</f>
        <v>4536495.3262585523</v>
      </c>
    </row>
    <row r="139" spans="1:4" x14ac:dyDescent="0.35">
      <c r="A139" t="s">
        <v>213</v>
      </c>
      <c r="B139" t="s">
        <v>935</v>
      </c>
      <c r="C139" t="s">
        <v>1289</v>
      </c>
      <c r="D139">
        <f>(1738760.002*(44/12))/(0.4725284745/0.49)</f>
        <v>6611182.8292088807</v>
      </c>
    </row>
    <row r="140" spans="1:4" x14ac:dyDescent="0.35">
      <c r="A140" t="s">
        <v>22</v>
      </c>
      <c r="B140" t="s">
        <v>771</v>
      </c>
      <c r="C140" t="s">
        <v>1289</v>
      </c>
      <c r="D140">
        <f>(698071.5783*(44/12))/(0.4725284745/0.49)</f>
        <v>2654235.6775559778</v>
      </c>
    </row>
    <row r="141" spans="1:4" x14ac:dyDescent="0.35">
      <c r="A141" t="s">
        <v>464</v>
      </c>
      <c r="B141" t="s">
        <v>1108</v>
      </c>
      <c r="C141" t="s">
        <v>1289</v>
      </c>
      <c r="D141">
        <f>(779172.8309*(44/12))/(0.4725284745/0.49)</f>
        <v>2962602.1042046919</v>
      </c>
    </row>
    <row r="142" spans="1:4" x14ac:dyDescent="0.35">
      <c r="A142" t="s">
        <v>706</v>
      </c>
      <c r="B142" t="s">
        <v>1257</v>
      </c>
      <c r="C142" t="s">
        <v>1289</v>
      </c>
      <c r="D142">
        <f>(553100.7044*(44/12))/(0.4725284745/0.49)</f>
        <v>2103021.6220447756</v>
      </c>
    </row>
    <row r="143" spans="1:4" x14ac:dyDescent="0.35">
      <c r="A143" t="s">
        <v>473</v>
      </c>
      <c r="B143" t="s">
        <v>1114</v>
      </c>
      <c r="C143" t="s">
        <v>1289</v>
      </c>
      <c r="D143">
        <f>(1136495.461*(44/12))/(0.4725284745/0.49)</f>
        <v>4321228.5011126166</v>
      </c>
    </row>
    <row r="144" spans="1:4" x14ac:dyDescent="0.35">
      <c r="A144" t="s">
        <v>634</v>
      </c>
      <c r="B144" t="s">
        <v>1213</v>
      </c>
      <c r="C144" t="s">
        <v>1289</v>
      </c>
      <c r="D144">
        <f>(1043569.219*(44/12))/(0.4725284745/0.49)</f>
        <v>3967900.6267730575</v>
      </c>
    </row>
    <row r="145" spans="1:4" x14ac:dyDescent="0.35">
      <c r="A145" t="s">
        <v>352</v>
      </c>
      <c r="B145" t="s">
        <v>1035</v>
      </c>
      <c r="C145" t="s">
        <v>1289</v>
      </c>
      <c r="D145">
        <f>(2032323.58*(44/12))/(0.4725284745/0.49)</f>
        <v>7727382.0078892764</v>
      </c>
    </row>
    <row r="146" spans="1:4" x14ac:dyDescent="0.35">
      <c r="A146" t="s">
        <v>138</v>
      </c>
      <c r="B146" t="s">
        <v>873</v>
      </c>
      <c r="C146" t="s">
        <v>1289</v>
      </c>
      <c r="D146">
        <f>(624337.0562*(44/12))/(0.4725284745/0.49)</f>
        <v>2373879.3282802119</v>
      </c>
    </row>
    <row r="147" spans="1:4" x14ac:dyDescent="0.35">
      <c r="A147" t="s">
        <v>388</v>
      </c>
      <c r="B147" t="s">
        <v>1060</v>
      </c>
      <c r="C147" t="s">
        <v>1289</v>
      </c>
      <c r="D147">
        <f>(756898.6696*(44/12))/(0.4725284745/0.49)</f>
        <v>2877910.3971535722</v>
      </c>
    </row>
    <row r="148" spans="1:4" x14ac:dyDescent="0.35">
      <c r="A148" t="s">
        <v>270</v>
      </c>
      <c r="B148" t="s">
        <v>980</v>
      </c>
      <c r="C148" t="s">
        <v>1289</v>
      </c>
      <c r="D148">
        <f>(413565.4744*(44/12))/(0.4725284745/0.49)</f>
        <v>1572475.1891934222</v>
      </c>
    </row>
    <row r="149" spans="1:4" x14ac:dyDescent="0.35">
      <c r="A149" t="s">
        <v>23</v>
      </c>
      <c r="B149" t="s">
        <v>772</v>
      </c>
      <c r="C149" t="s">
        <v>1289</v>
      </c>
      <c r="D149">
        <f>(1847048.529*(44/12))/(0.4725284745/0.49)</f>
        <v>7022921.7980598118</v>
      </c>
    </row>
    <row r="150" spans="1:4" x14ac:dyDescent="0.35">
      <c r="A150" t="s">
        <v>139</v>
      </c>
      <c r="B150" t="s">
        <v>874</v>
      </c>
      <c r="C150" t="s">
        <v>1289</v>
      </c>
      <c r="D150">
        <f>(539810.2398*(44/12))/(0.4725284745/0.49)</f>
        <v>2052488.0859301523</v>
      </c>
    </row>
    <row r="151" spans="1:4" x14ac:dyDescent="0.35">
      <c r="A151" t="s">
        <v>346</v>
      </c>
      <c r="B151" t="s">
        <v>1031</v>
      </c>
      <c r="C151" t="s">
        <v>1289</v>
      </c>
      <c r="D151">
        <f>(1607016.773*(44/12))/(0.4725284745/0.49)</f>
        <v>6110263.4542362019</v>
      </c>
    </row>
    <row r="152" spans="1:4" x14ac:dyDescent="0.35">
      <c r="A152" t="s">
        <v>637</v>
      </c>
      <c r="B152" t="s">
        <v>885</v>
      </c>
      <c r="C152" t="s">
        <v>1289</v>
      </c>
      <c r="D152">
        <f>(1582843.279*(44/12))/(0.4725284745/0.49)</f>
        <v>6018350.0284207035</v>
      </c>
    </row>
    <row r="153" spans="1:4" x14ac:dyDescent="0.35">
      <c r="A153" t="s">
        <v>522</v>
      </c>
      <c r="B153" t="s">
        <v>1147</v>
      </c>
      <c r="C153" t="s">
        <v>1289</v>
      </c>
      <c r="D153">
        <f>(517110.4414*(44/12))/(0.4725284745/0.49)</f>
        <v>1966178.0044721232</v>
      </c>
    </row>
    <row r="154" spans="1:4" x14ac:dyDescent="0.35">
      <c r="A154" t="s">
        <v>389</v>
      </c>
      <c r="B154" t="s">
        <v>930</v>
      </c>
      <c r="C154" t="s">
        <v>1289</v>
      </c>
      <c r="D154">
        <f>(1142262.665*(44/12))/(0.4725284745/0.49)</f>
        <v>4343156.794846938</v>
      </c>
    </row>
    <row r="155" spans="1:4" x14ac:dyDescent="0.35">
      <c r="A155" t="s">
        <v>747</v>
      </c>
      <c r="B155" t="s">
        <v>936</v>
      </c>
      <c r="C155" t="s">
        <v>1289</v>
      </c>
      <c r="D155">
        <f>(0*(44/12))/(0.4725284745/0.49)</f>
        <v>0</v>
      </c>
    </row>
    <row r="156" spans="1:4" x14ac:dyDescent="0.35">
      <c r="A156" t="s">
        <v>482</v>
      </c>
      <c r="B156" t="s">
        <v>1120</v>
      </c>
      <c r="C156" t="s">
        <v>1289</v>
      </c>
      <c r="D156">
        <f>(772550.5112*(44/12))/(0.4725284745/0.49)</f>
        <v>2937422.4553515939</v>
      </c>
    </row>
    <row r="157" spans="1:4" x14ac:dyDescent="0.35">
      <c r="A157" t="s">
        <v>558</v>
      </c>
      <c r="B157" t="s">
        <v>1172</v>
      </c>
      <c r="C157" t="s">
        <v>1289</v>
      </c>
      <c r="D157">
        <f>(2127182.674*(44/12))/(0.4725284745/0.49)</f>
        <v>8088059.0494164312</v>
      </c>
    </row>
    <row r="158" spans="1:4" x14ac:dyDescent="0.35">
      <c r="A158" t="s">
        <v>448</v>
      </c>
      <c r="B158" t="s">
        <v>1099</v>
      </c>
      <c r="C158" t="s">
        <v>1289</v>
      </c>
      <c r="D158">
        <f>(449498.6469*(44/12))/(0.4725284745/0.49)</f>
        <v>1709101.73498338</v>
      </c>
    </row>
    <row r="159" spans="1:4" x14ac:dyDescent="0.35">
      <c r="A159" t="s">
        <v>478</v>
      </c>
      <c r="B159" t="s">
        <v>1118</v>
      </c>
      <c r="C159" t="s">
        <v>1289</v>
      </c>
      <c r="D159">
        <f>(587251.049*(44/12))/(0.4725284745/0.49)</f>
        <v>2232869.4282810534</v>
      </c>
    </row>
    <row r="160" spans="1:4" x14ac:dyDescent="0.35">
      <c r="A160" t="s">
        <v>104</v>
      </c>
      <c r="B160" t="s">
        <v>847</v>
      </c>
      <c r="C160" t="s">
        <v>1289</v>
      </c>
      <c r="D160">
        <f>(245426.0081*(44/12))/(0.4725284745/0.49)</f>
        <v>933168.58492584515</v>
      </c>
    </row>
    <row r="161" spans="1:4" x14ac:dyDescent="0.35">
      <c r="A161" t="s">
        <v>390</v>
      </c>
      <c r="B161" t="s">
        <v>1061</v>
      </c>
      <c r="C161" t="s">
        <v>1289</v>
      </c>
      <c r="D161">
        <f>(917613.4902*(44/12))/(0.4725284745/0.49)</f>
        <v>3488986.7165581784</v>
      </c>
    </row>
    <row r="162" spans="1:4" x14ac:dyDescent="0.35">
      <c r="A162" t="s">
        <v>530</v>
      </c>
      <c r="B162" t="s">
        <v>1153</v>
      </c>
      <c r="C162" t="s">
        <v>1289</v>
      </c>
      <c r="D162">
        <f>(566901.6128*(44/12))/(0.4725284745/0.49)</f>
        <v>2155495.9879932767</v>
      </c>
    </row>
    <row r="163" spans="1:4" x14ac:dyDescent="0.35">
      <c r="A163" t="s">
        <v>468</v>
      </c>
      <c r="B163" t="s">
        <v>789</v>
      </c>
      <c r="C163" t="s">
        <v>1289</v>
      </c>
      <c r="D163">
        <f>(789184.3929*(44/12))/(0.4725284745/0.49)</f>
        <v>3000668.465698991</v>
      </c>
    </row>
    <row r="164" spans="1:4" x14ac:dyDescent="0.35">
      <c r="A164" t="s">
        <v>384</v>
      </c>
      <c r="B164" t="s">
        <v>1057</v>
      </c>
      <c r="C164" t="s">
        <v>1289</v>
      </c>
      <c r="D164">
        <f>(238629.2642*(44/12))/(0.4725284745/0.49)</f>
        <v>907325.73340261902</v>
      </c>
    </row>
    <row r="165" spans="1:4" x14ac:dyDescent="0.35">
      <c r="A165" t="s">
        <v>562</v>
      </c>
      <c r="B165" t="s">
        <v>886</v>
      </c>
      <c r="C165" t="s">
        <v>1289</v>
      </c>
      <c r="D165">
        <f>(746986.8381*(44/12))/(0.4725284745/0.49)</f>
        <v>2840223.2349555478</v>
      </c>
    </row>
    <row r="166" spans="1:4" x14ac:dyDescent="0.35">
      <c r="A166" t="s">
        <v>373</v>
      </c>
      <c r="B166" t="s">
        <v>1050</v>
      </c>
      <c r="C166" t="s">
        <v>1289</v>
      </c>
      <c r="D166">
        <f>(248331.5232*(44/12))/(0.4725284745/0.49)</f>
        <v>944216.05065833963</v>
      </c>
    </row>
    <row r="167" spans="1:4" x14ac:dyDescent="0.35">
      <c r="A167" t="s">
        <v>458</v>
      </c>
      <c r="B167" t="s">
        <v>1105</v>
      </c>
      <c r="C167" t="s">
        <v>1289</v>
      </c>
      <c r="D167">
        <f>(1224276.754*(44/12))/(0.4725284745/0.49)</f>
        <v>4654994.0445687706</v>
      </c>
    </row>
    <row r="168" spans="1:4" x14ac:dyDescent="0.35">
      <c r="A168" t="s">
        <v>504</v>
      </c>
      <c r="B168" t="s">
        <v>1133</v>
      </c>
      <c r="C168" t="s">
        <v>1289</v>
      </c>
      <c r="D168">
        <f>(495111.7924*(44/12))/(0.4725284745/0.49)</f>
        <v>1882533.8613084289</v>
      </c>
    </row>
    <row r="169" spans="1:4" x14ac:dyDescent="0.35">
      <c r="A169" t="s">
        <v>385</v>
      </c>
      <c r="B169" t="s">
        <v>958</v>
      </c>
      <c r="C169" t="s">
        <v>1289</v>
      </c>
      <c r="D169">
        <f>(2969332.455*(44/12))/(0.4725284745/0.49)</f>
        <v>11290114.63234053</v>
      </c>
    </row>
    <row r="170" spans="1:4" x14ac:dyDescent="0.35">
      <c r="A170" t="s">
        <v>636</v>
      </c>
      <c r="B170" t="s">
        <v>1215</v>
      </c>
      <c r="C170" t="s">
        <v>1289</v>
      </c>
      <c r="D170">
        <f>(2904708.624*(44/12))/(0.4725284745/0.49)</f>
        <v>11044399.31718866</v>
      </c>
    </row>
    <row r="171" spans="1:4" x14ac:dyDescent="0.35">
      <c r="A171" t="s">
        <v>419</v>
      </c>
      <c r="B171" t="s">
        <v>760</v>
      </c>
      <c r="C171" t="s">
        <v>1289</v>
      </c>
      <c r="D171">
        <f>(756892.4948*(44/12))/(0.4725284745/0.49)</f>
        <v>2877886.9190820227</v>
      </c>
    </row>
    <row r="172" spans="1:4" x14ac:dyDescent="0.35">
      <c r="A172" t="s">
        <v>272</v>
      </c>
      <c r="B172" t="s">
        <v>982</v>
      </c>
      <c r="C172" t="s">
        <v>1289</v>
      </c>
      <c r="D172">
        <f>(795760.2858*(44/12))/(0.4725284745/0.49)</f>
        <v>3025671.5887160781</v>
      </c>
    </row>
    <row r="173" spans="1:4" x14ac:dyDescent="0.35">
      <c r="A173" t="s">
        <v>105</v>
      </c>
      <c r="B173" t="s">
        <v>848</v>
      </c>
      <c r="C173" t="s">
        <v>1289</v>
      </c>
      <c r="D173">
        <f>(1387783.026*(44/12))/(0.4725284745/0.49)</f>
        <v>5276684.1321432367</v>
      </c>
    </row>
    <row r="174" spans="1:4" x14ac:dyDescent="0.35">
      <c r="A174" t="s">
        <v>225</v>
      </c>
      <c r="B174" t="s">
        <v>945</v>
      </c>
      <c r="C174" t="s">
        <v>1289</v>
      </c>
      <c r="D174">
        <f>(1125834.202*(44/12))/(0.4725284745/0.49)</f>
        <v>4280691.8356973352</v>
      </c>
    </row>
    <row r="175" spans="1:4" x14ac:dyDescent="0.35">
      <c r="A175" t="s">
        <v>505</v>
      </c>
      <c r="B175" t="s">
        <v>1134</v>
      </c>
      <c r="C175" t="s">
        <v>1289</v>
      </c>
      <c r="D175">
        <f>(1424533.833*(44/12))/(0.4725284745/0.49)</f>
        <v>5416419.5205341</v>
      </c>
    </row>
    <row r="176" spans="1:4" x14ac:dyDescent="0.35">
      <c r="A176" t="s">
        <v>386</v>
      </c>
      <c r="B176" t="s">
        <v>1058</v>
      </c>
      <c r="C176" t="s">
        <v>1289</v>
      </c>
      <c r="D176">
        <f>(115061.885*(44/12))/(0.4725284745/0.49)</f>
        <v>437492.90156975144</v>
      </c>
    </row>
    <row r="177" spans="1:4" x14ac:dyDescent="0.35">
      <c r="A177" t="s">
        <v>469</v>
      </c>
      <c r="B177" t="s">
        <v>1110</v>
      </c>
      <c r="C177" t="s">
        <v>1289</v>
      </c>
      <c r="D177">
        <f>(199888.9758*(44/12))/(0.4725284745/0.49)</f>
        <v>760025.85925432923</v>
      </c>
    </row>
    <row r="178" spans="1:4" x14ac:dyDescent="0.35">
      <c r="A178" t="s">
        <v>559</v>
      </c>
      <c r="B178" t="s">
        <v>1100</v>
      </c>
      <c r="C178" t="s">
        <v>1289</v>
      </c>
      <c r="D178">
        <f>(2304686.712*(44/12))/(0.4725284745/0.49)</f>
        <v>8762972.0027803294</v>
      </c>
    </row>
    <row r="179" spans="1:4" x14ac:dyDescent="0.35">
      <c r="A179" t="s">
        <v>493</v>
      </c>
      <c r="B179" t="s">
        <v>863</v>
      </c>
      <c r="C179" t="s">
        <v>1289</v>
      </c>
      <c r="D179">
        <f>(348964.6619*(44/12))/(0.4725284745/0.49)</f>
        <v>1326847.3959029811</v>
      </c>
    </row>
    <row r="180" spans="1:4" x14ac:dyDescent="0.35">
      <c r="A180" t="s">
        <v>610</v>
      </c>
      <c r="B180" t="s">
        <v>1201</v>
      </c>
      <c r="C180" t="s">
        <v>1289</v>
      </c>
      <c r="D180">
        <f>(1636803.63*(44/12))/(0.4725284745/0.49)</f>
        <v>6223520.233382252</v>
      </c>
    </row>
    <row r="181" spans="1:4" x14ac:dyDescent="0.35">
      <c r="A181" t="s">
        <v>391</v>
      </c>
      <c r="B181" t="s">
        <v>1062</v>
      </c>
      <c r="C181" t="s">
        <v>1289</v>
      </c>
      <c r="D181">
        <f>(1610947.985*(44/12))/(0.4725284745/0.49)</f>
        <v>6125210.8657492837</v>
      </c>
    </row>
    <row r="182" spans="1:4" x14ac:dyDescent="0.35">
      <c r="A182" t="s">
        <v>477</v>
      </c>
      <c r="B182" t="s">
        <v>1117</v>
      </c>
      <c r="C182" t="s">
        <v>1289</v>
      </c>
      <c r="D182">
        <f>(1567925.677*(44/12))/(0.4725284745/0.49)</f>
        <v>5961629.7253990481</v>
      </c>
    </row>
    <row r="183" spans="1:4" x14ac:dyDescent="0.35">
      <c r="A183" t="s">
        <v>717</v>
      </c>
      <c r="B183" t="s">
        <v>1263</v>
      </c>
      <c r="C183" t="s">
        <v>1289</v>
      </c>
      <c r="D183">
        <f>(556891.0102*(44/12))/(0.4725284745/0.49)</f>
        <v>2117433.2743680328</v>
      </c>
    </row>
    <row r="184" spans="1:4" x14ac:dyDescent="0.35">
      <c r="A184" t="s">
        <v>490</v>
      </c>
      <c r="B184" t="s">
        <v>1125</v>
      </c>
      <c r="C184" t="s">
        <v>1289</v>
      </c>
      <c r="D184">
        <f>(1714748.612*(44/12))/(0.4725284745/0.49)</f>
        <v>6519885.7617062675</v>
      </c>
    </row>
    <row r="185" spans="1:4" x14ac:dyDescent="0.35">
      <c r="A185" t="s">
        <v>532</v>
      </c>
      <c r="B185" t="s">
        <v>1155</v>
      </c>
      <c r="C185" t="s">
        <v>1289</v>
      </c>
      <c r="D185">
        <f>(750043.5785*(44/12))/(0.4725284745/0.49)</f>
        <v>2851845.6955726445</v>
      </c>
    </row>
    <row r="186" spans="1:4" x14ac:dyDescent="0.35">
      <c r="A186" t="s">
        <v>24</v>
      </c>
      <c r="B186" t="s">
        <v>773</v>
      </c>
      <c r="C186" t="s">
        <v>1289</v>
      </c>
      <c r="D186">
        <f>(754967.0349*(44/12))/(0.4725284745/0.49)</f>
        <v>2870565.8584327274</v>
      </c>
    </row>
    <row r="187" spans="1:4" x14ac:dyDescent="0.35">
      <c r="A187" t="s">
        <v>736</v>
      </c>
      <c r="B187" t="s">
        <v>1272</v>
      </c>
      <c r="C187" t="s">
        <v>1289</v>
      </c>
      <c r="D187">
        <f>(875975.3056*(44/12))/(0.4725284745/0.49)</f>
        <v>3330668.345563726</v>
      </c>
    </row>
    <row r="188" spans="1:4" x14ac:dyDescent="0.35">
      <c r="A188" t="s">
        <v>332</v>
      </c>
      <c r="B188" t="s">
        <v>1020</v>
      </c>
      <c r="C188" t="s">
        <v>1289</v>
      </c>
      <c r="D188">
        <f>(1795777.691*(44/12))/(0.4725284745/0.49)</f>
        <v>6827977.7670061514</v>
      </c>
    </row>
    <row r="189" spans="1:4" x14ac:dyDescent="0.35">
      <c r="A189" t="s">
        <v>535</v>
      </c>
      <c r="B189" t="s">
        <v>1157</v>
      </c>
      <c r="C189" t="s">
        <v>1289</v>
      </c>
      <c r="D189">
        <f>(547873.4701*(44/12))/(0.4725284745/0.49)</f>
        <v>2083146.4227023353</v>
      </c>
    </row>
    <row r="190" spans="1:4" x14ac:dyDescent="0.35">
      <c r="A190" t="s">
        <v>392</v>
      </c>
      <c r="B190" t="s">
        <v>1063</v>
      </c>
      <c r="C190" t="s">
        <v>1289</v>
      </c>
      <c r="D190">
        <f>(93863.37308*(44/12))/(0.4725284745/0.49)</f>
        <v>356891.07161675039</v>
      </c>
    </row>
    <row r="191" spans="1:4" x14ac:dyDescent="0.35">
      <c r="A191" t="s">
        <v>367</v>
      </c>
      <c r="B191" t="s">
        <v>1045</v>
      </c>
      <c r="C191" t="s">
        <v>1289</v>
      </c>
      <c r="D191">
        <f>(581266.5223*(44/12))/(0.4725284745/0.49)</f>
        <v>2210114.8214839832</v>
      </c>
    </row>
    <row r="192" spans="1:4" x14ac:dyDescent="0.35">
      <c r="A192" t="s">
        <v>497</v>
      </c>
      <c r="B192" t="s">
        <v>922</v>
      </c>
      <c r="C192" t="s">
        <v>1289</v>
      </c>
      <c r="D192">
        <f>(1127820.197*(44/12))/(0.4725284745/0.49)</f>
        <v>4288243.0653252266</v>
      </c>
    </row>
    <row r="193" spans="1:4" x14ac:dyDescent="0.35">
      <c r="A193" t="s">
        <v>381</v>
      </c>
      <c r="B193" t="s">
        <v>1056</v>
      </c>
      <c r="C193" t="s">
        <v>1289</v>
      </c>
      <c r="D193">
        <f>(816269.563*(44/12))/(0.4725284745/0.49)</f>
        <v>3103652.7828476215</v>
      </c>
    </row>
    <row r="194" spans="1:4" x14ac:dyDescent="0.35">
      <c r="A194" t="s">
        <v>613</v>
      </c>
      <c r="B194" t="s">
        <v>793</v>
      </c>
      <c r="C194" t="s">
        <v>1289</v>
      </c>
      <c r="D194">
        <f>(915210.0726*(44/12))/(0.4725284745/0.49)</f>
        <v>3479848.3460238534</v>
      </c>
    </row>
    <row r="195" spans="1:4" x14ac:dyDescent="0.35">
      <c r="A195" t="s">
        <v>25</v>
      </c>
      <c r="B195" t="s">
        <v>774</v>
      </c>
      <c r="C195" t="s">
        <v>1289</v>
      </c>
      <c r="D195">
        <f>(802108.7656*(44/12))/(0.4725284745/0.49)</f>
        <v>3049810.0325479256</v>
      </c>
    </row>
    <row r="196" spans="1:4" x14ac:dyDescent="0.35">
      <c r="A196" t="s">
        <v>106</v>
      </c>
      <c r="B196" t="s">
        <v>849</v>
      </c>
      <c r="C196" t="s">
        <v>1289</v>
      </c>
      <c r="D196">
        <f>(527043.5948*(44/12))/(0.4725284745/0.49)</f>
        <v>2003946.237651194</v>
      </c>
    </row>
    <row r="197" spans="1:4" x14ac:dyDescent="0.35">
      <c r="A197" t="s">
        <v>498</v>
      </c>
      <c r="B197" t="s">
        <v>1129</v>
      </c>
      <c r="C197" t="s">
        <v>1289</v>
      </c>
      <c r="D197">
        <f>(440004.4995*(44/12))/(0.4725284745/0.49)</f>
        <v>1673002.7079775482</v>
      </c>
    </row>
    <row r="198" spans="1:4" x14ac:dyDescent="0.35">
      <c r="A198" t="s">
        <v>688</v>
      </c>
      <c r="B198" t="s">
        <v>1245</v>
      </c>
      <c r="C198" t="s">
        <v>1289</v>
      </c>
      <c r="D198">
        <f>(0*(44/12))/(0.4725284745/0.49)</f>
        <v>0</v>
      </c>
    </row>
    <row r="199" spans="1:4" x14ac:dyDescent="0.35">
      <c r="A199" t="s">
        <v>618</v>
      </c>
      <c r="B199" t="s">
        <v>1205</v>
      </c>
      <c r="C199" t="s">
        <v>1289</v>
      </c>
      <c r="D199">
        <f>(1418578.092*(44/12))/(0.4725284745/0.49)</f>
        <v>5393774.3638769854</v>
      </c>
    </row>
    <row r="200" spans="1:4" x14ac:dyDescent="0.35">
      <c r="A200" t="s">
        <v>704</v>
      </c>
      <c r="B200" t="s">
        <v>1256</v>
      </c>
      <c r="C200" t="s">
        <v>1289</v>
      </c>
      <c r="D200">
        <f>(1323064.093*(44/12))/(0.4725284745/0.49)</f>
        <v>5030607.2163629299</v>
      </c>
    </row>
    <row r="201" spans="1:4" x14ac:dyDescent="0.35">
      <c r="A201" t="s">
        <v>107</v>
      </c>
      <c r="B201" t="s">
        <v>850</v>
      </c>
      <c r="C201" t="s">
        <v>1289</v>
      </c>
      <c r="D201">
        <f>(929061.3147*(44/12))/(0.4725284745/0.49)</f>
        <v>3532514.0927798199</v>
      </c>
    </row>
    <row r="202" spans="1:4" x14ac:dyDescent="0.35">
      <c r="A202" t="s">
        <v>226</v>
      </c>
      <c r="B202" t="s">
        <v>946</v>
      </c>
      <c r="C202" t="s">
        <v>1289</v>
      </c>
      <c r="D202">
        <f>(711975.1449*(44/12))/(0.4725284745/0.49)</f>
        <v>2707100.3746187994</v>
      </c>
    </row>
    <row r="203" spans="1:4" x14ac:dyDescent="0.35">
      <c r="A203" t="s">
        <v>108</v>
      </c>
      <c r="B203" t="s">
        <v>851</v>
      </c>
      <c r="C203" t="s">
        <v>1289</v>
      </c>
      <c r="D203">
        <f>(267211.7151*(44/12))/(0.4725284745/0.49)</f>
        <v>1016003.0714995565</v>
      </c>
    </row>
    <row r="204" spans="1:4" x14ac:dyDescent="0.35">
      <c r="A204" t="s">
        <v>109</v>
      </c>
      <c r="B204" t="s">
        <v>852</v>
      </c>
      <c r="C204" t="s">
        <v>1289</v>
      </c>
      <c r="D204">
        <f>(1889163.401*(44/12))/(0.4725284745/0.49)</f>
        <v>7183052.6489538206</v>
      </c>
    </row>
    <row r="205" spans="1:4" x14ac:dyDescent="0.35">
      <c r="A205" t="s">
        <v>26</v>
      </c>
      <c r="B205" t="s">
        <v>775</v>
      </c>
      <c r="C205" t="s">
        <v>1289</v>
      </c>
      <c r="D205">
        <f>(1072953.556*(44/12))/(0.4725284745/0.49)</f>
        <v>4079626.9282744923</v>
      </c>
    </row>
    <row r="206" spans="1:4" x14ac:dyDescent="0.35">
      <c r="A206" t="s">
        <v>110</v>
      </c>
      <c r="B206" t="s">
        <v>853</v>
      </c>
      <c r="C206" t="s">
        <v>1289</v>
      </c>
      <c r="D206">
        <f>(1013273.107*(44/12))/(0.4725284745/0.49)</f>
        <v>3852707.5378960394</v>
      </c>
    </row>
    <row r="207" spans="1:4" x14ac:dyDescent="0.35">
      <c r="A207" t="s">
        <v>387</v>
      </c>
      <c r="B207" t="s">
        <v>1059</v>
      </c>
      <c r="C207" t="s">
        <v>1289</v>
      </c>
      <c r="D207">
        <f>(1106565.049*(44/12))/(0.4725284745/0.49)</f>
        <v>4207425.891403432</v>
      </c>
    </row>
    <row r="208" spans="1:4" x14ac:dyDescent="0.35">
      <c r="A208" t="s">
        <v>632</v>
      </c>
      <c r="B208" t="s">
        <v>1211</v>
      </c>
      <c r="C208" t="s">
        <v>1289</v>
      </c>
      <c r="D208">
        <f>(777284.9014*(44/12))/(0.4725284745/0.49)</f>
        <v>2955423.7431434756</v>
      </c>
    </row>
    <row r="209" spans="1:4" x14ac:dyDescent="0.35">
      <c r="A209" t="s">
        <v>27</v>
      </c>
      <c r="B209" t="s">
        <v>776</v>
      </c>
      <c r="C209" t="s">
        <v>1289</v>
      </c>
      <c r="D209">
        <f>(970101.8768*(44/12))/(0.4725284745/0.49)</f>
        <v>3688560.1596001452</v>
      </c>
    </row>
    <row r="210" spans="1:4" x14ac:dyDescent="0.35">
      <c r="A210" t="s">
        <v>368</v>
      </c>
      <c r="B210" t="s">
        <v>969</v>
      </c>
      <c r="C210" t="s">
        <v>1289</v>
      </c>
      <c r="D210">
        <f>(912069.1796*(44/12))/(0.4725284745/0.49)</f>
        <v>3467905.917024971</v>
      </c>
    </row>
    <row r="211" spans="1:4" x14ac:dyDescent="0.35">
      <c r="A211" t="s">
        <v>727</v>
      </c>
      <c r="B211" t="s">
        <v>1204</v>
      </c>
      <c r="C211" t="s">
        <v>1289</v>
      </c>
      <c r="D211">
        <f>(1220222.082*(44/12))/(0.4725284745/0.49)</f>
        <v>4639577.2085053464</v>
      </c>
    </row>
    <row r="212" spans="1:4" x14ac:dyDescent="0.35">
      <c r="A212" t="s">
        <v>718</v>
      </c>
      <c r="B212" t="s">
        <v>1264</v>
      </c>
      <c r="C212" t="s">
        <v>1289</v>
      </c>
      <c r="D212">
        <f>(1527053.356*(44/12))/(0.4725284745/0.49)</f>
        <v>5806223.35161871</v>
      </c>
    </row>
    <row r="213" spans="1:4" x14ac:dyDescent="0.35">
      <c r="A213" t="s">
        <v>111</v>
      </c>
      <c r="B213" t="s">
        <v>797</v>
      </c>
      <c r="C213" t="s">
        <v>1289</v>
      </c>
      <c r="D213">
        <f>(1357555.875*(44/12))/(0.4725284745/0.49)</f>
        <v>5161753.2495388268</v>
      </c>
    </row>
    <row r="214" spans="1:4" x14ac:dyDescent="0.35">
      <c r="A214" t="s">
        <v>374</v>
      </c>
      <c r="B214" t="s">
        <v>1051</v>
      </c>
      <c r="C214" t="s">
        <v>1289</v>
      </c>
      <c r="D214">
        <f>(1024488.124*(44/12))/(0.4725284745/0.49)</f>
        <v>3895349.7241289876</v>
      </c>
    </row>
    <row r="215" spans="1:4" x14ac:dyDescent="0.35">
      <c r="A215" t="s">
        <v>459</v>
      </c>
      <c r="B215" t="s">
        <v>1106</v>
      </c>
      <c r="C215" t="s">
        <v>1289</v>
      </c>
      <c r="D215">
        <f>(1684942.122*(44/12))/(0.4725284745/0.49)</f>
        <v>6406554.333182306</v>
      </c>
    </row>
    <row r="216" spans="1:4" x14ac:dyDescent="0.35">
      <c r="A216" t="s">
        <v>740</v>
      </c>
      <c r="B216" t="s">
        <v>763</v>
      </c>
      <c r="C216" t="s">
        <v>1289</v>
      </c>
      <c r="D216">
        <f>(1239394.712*(44/12))/(0.4725284745/0.49)</f>
        <v>4712476.1491877735</v>
      </c>
    </row>
    <row r="217" spans="1:4" x14ac:dyDescent="0.35">
      <c r="A217" t="s">
        <v>510</v>
      </c>
      <c r="B217" t="s">
        <v>1139</v>
      </c>
      <c r="C217" t="s">
        <v>1289</v>
      </c>
      <c r="D217">
        <f>(715992.2854*(44/12))/(0.4725284745/0.49)</f>
        <v>2722374.5069116815</v>
      </c>
    </row>
    <row r="218" spans="1:4" x14ac:dyDescent="0.35">
      <c r="A218" t="s">
        <v>481</v>
      </c>
      <c r="B218" t="s">
        <v>937</v>
      </c>
      <c r="C218" t="s">
        <v>1289</v>
      </c>
      <c r="D218">
        <f>(1220326.253*(44/12))/(0.4725284745/0.49)</f>
        <v>4639973.2916483385</v>
      </c>
    </row>
    <row r="219" spans="1:4" x14ac:dyDescent="0.35">
      <c r="A219" t="s">
        <v>382</v>
      </c>
      <c r="B219" t="s">
        <v>894</v>
      </c>
      <c r="C219" t="s">
        <v>1289</v>
      </c>
      <c r="D219">
        <f>(1017654.56*(44/12))/(0.4725284745/0.49)</f>
        <v>3869366.8737487546</v>
      </c>
    </row>
    <row r="220" spans="1:4" x14ac:dyDescent="0.35">
      <c r="A220" t="s">
        <v>112</v>
      </c>
      <c r="B220" t="s">
        <v>854</v>
      </c>
      <c r="C220" t="s">
        <v>1289</v>
      </c>
      <c r="D220">
        <f>(524174.8591*(44/12))/(0.4725284745/0.49)</f>
        <v>1993038.6160245389</v>
      </c>
    </row>
    <row r="221" spans="1:4" x14ac:dyDescent="0.35">
      <c r="A221" t="s">
        <v>703</v>
      </c>
      <c r="B221" t="s">
        <v>1255</v>
      </c>
      <c r="C221" t="s">
        <v>1289</v>
      </c>
      <c r="D221">
        <f>(661648.1871*(44/12))/(0.4725284745/0.49)</f>
        <v>2515745.2026163554</v>
      </c>
    </row>
    <row r="222" spans="1:4" x14ac:dyDescent="0.35">
      <c r="A222" t="s">
        <v>629</v>
      </c>
      <c r="B222" t="s">
        <v>939</v>
      </c>
      <c r="C222" t="s">
        <v>1289</v>
      </c>
      <c r="D222">
        <f>(2593935.057*(44/12))/(0.4725284745/0.49)</f>
        <v>9862763.6299407799</v>
      </c>
    </row>
    <row r="223" spans="1:4" x14ac:dyDescent="0.35">
      <c r="A223" t="s">
        <v>479</v>
      </c>
      <c r="B223" t="s">
        <v>921</v>
      </c>
      <c r="C223" t="s">
        <v>1289</v>
      </c>
      <c r="D223">
        <f>(1688641.293*(44/12))/(0.4725284745/0.49)</f>
        <v>6420619.4691236541</v>
      </c>
    </row>
    <row r="224" spans="1:4" x14ac:dyDescent="0.35">
      <c r="A224" t="s">
        <v>28</v>
      </c>
      <c r="B224" t="s">
        <v>777</v>
      </c>
      <c r="C224" t="s">
        <v>1289</v>
      </c>
      <c r="D224">
        <f>(115431.4964*(44/12))/(0.4725284745/0.49)</f>
        <v>438898.25281911832</v>
      </c>
    </row>
    <row r="225" spans="1:4" x14ac:dyDescent="0.35">
      <c r="A225" t="s">
        <v>113</v>
      </c>
      <c r="B225" t="s">
        <v>855</v>
      </c>
      <c r="C225" t="s">
        <v>1289</v>
      </c>
      <c r="D225">
        <f>(548358.3197*(44/12))/(0.4725284745/0.49)</f>
        <v>2084989.9372452172</v>
      </c>
    </row>
    <row r="226" spans="1:4" x14ac:dyDescent="0.35">
      <c r="A226" t="s">
        <v>29</v>
      </c>
      <c r="B226" t="s">
        <v>778</v>
      </c>
      <c r="C226" t="s">
        <v>1289</v>
      </c>
      <c r="D226">
        <f>(2845.282643*(44/12))/(0.4725284745/0.49)</f>
        <v>10818.447475218412</v>
      </c>
    </row>
    <row r="227" spans="1:4" x14ac:dyDescent="0.35">
      <c r="A227" t="s">
        <v>114</v>
      </c>
      <c r="B227" t="s">
        <v>856</v>
      </c>
      <c r="C227" t="s">
        <v>1289</v>
      </c>
      <c r="D227">
        <f>(1238208.765*(44/12))/(0.4725284745/0.49)</f>
        <v>4707966.894067036</v>
      </c>
    </row>
    <row r="228" spans="1:4" x14ac:dyDescent="0.35">
      <c r="A228" t="s">
        <v>487</v>
      </c>
      <c r="B228" t="s">
        <v>1123</v>
      </c>
      <c r="C228" t="s">
        <v>1289</v>
      </c>
      <c r="D228">
        <f>(311288.5031*(44/12))/(0.4725284745/0.49)</f>
        <v>1183593.5978845085</v>
      </c>
    </row>
    <row r="229" spans="1:4" x14ac:dyDescent="0.35">
      <c r="A229" t="s">
        <v>30</v>
      </c>
      <c r="B229" t="s">
        <v>779</v>
      </c>
      <c r="C229" t="s">
        <v>1289</v>
      </c>
      <c r="D229">
        <f>(655345.1254*(44/12))/(0.4725284745/0.49)</f>
        <v>2491779.4493010319</v>
      </c>
    </row>
    <row r="230" spans="1:4" x14ac:dyDescent="0.35">
      <c r="A230" t="s">
        <v>369</v>
      </c>
      <c r="B230" t="s">
        <v>1046</v>
      </c>
      <c r="C230" t="s">
        <v>1289</v>
      </c>
      <c r="D230">
        <f>(0*(44/12))/(0.4725284745/0.49)</f>
        <v>0</v>
      </c>
    </row>
    <row r="231" spans="1:4" x14ac:dyDescent="0.35">
      <c r="A231" t="s">
        <v>526</v>
      </c>
      <c r="B231" t="s">
        <v>864</v>
      </c>
      <c r="C231" t="s">
        <v>1289</v>
      </c>
      <c r="D231">
        <f>(1600789.186*(44/12))/(0.4725284745/0.49)</f>
        <v>6086584.6738441708</v>
      </c>
    </row>
    <row r="232" spans="1:4" x14ac:dyDescent="0.35">
      <c r="A232" t="s">
        <v>115</v>
      </c>
      <c r="B232" t="s">
        <v>756</v>
      </c>
      <c r="C232" t="s">
        <v>1289</v>
      </c>
      <c r="D232">
        <f>(918979.8062*(44/12))/(0.4725284745/0.49)</f>
        <v>3494181.7779053929</v>
      </c>
    </row>
    <row r="233" spans="1:4" x14ac:dyDescent="0.35">
      <c r="A233" t="s">
        <v>383</v>
      </c>
      <c r="B233" t="s">
        <v>975</v>
      </c>
      <c r="C233" t="s">
        <v>1289</v>
      </c>
      <c r="D233">
        <f>(1764279.691*(44/12))/(0.4725284745/0.49)</f>
        <v>6708214.8115005633</v>
      </c>
    </row>
    <row r="234" spans="1:4" x14ac:dyDescent="0.35">
      <c r="A234" t="s">
        <v>607</v>
      </c>
      <c r="B234" t="s">
        <v>1200</v>
      </c>
      <c r="C234" t="s">
        <v>1289</v>
      </c>
      <c r="D234">
        <f>(1460573.005*(44/12))/(0.4725284745/0.49)</f>
        <v>5553449.1018628888</v>
      </c>
    </row>
    <row r="235" spans="1:4" x14ac:dyDescent="0.35">
      <c r="A235" t="s">
        <v>286</v>
      </c>
      <c r="B235" t="s">
        <v>992</v>
      </c>
      <c r="C235" t="s">
        <v>1289</v>
      </c>
      <c r="D235">
        <f>(710126.0891*(44/12))/(0.4725284745/0.49)</f>
        <v>2700069.8206946533</v>
      </c>
    </row>
    <row r="236" spans="1:4" x14ac:dyDescent="0.35">
      <c r="A236" t="s">
        <v>410</v>
      </c>
      <c r="B236" t="s">
        <v>1077</v>
      </c>
      <c r="C236" t="s">
        <v>1289</v>
      </c>
      <c r="D236">
        <f>(2358686.955*(44/12))/(0.4725284745/0.49)</f>
        <v>8968293.886699941</v>
      </c>
    </row>
    <row r="237" spans="1:4" x14ac:dyDescent="0.35">
      <c r="A237" t="s">
        <v>467</v>
      </c>
      <c r="B237" t="s">
        <v>949</v>
      </c>
      <c r="C237" t="s">
        <v>1289</v>
      </c>
      <c r="D237">
        <f>(1154578.488*(44/12))/(0.4725284745/0.49)</f>
        <v>4389984.5096848225</v>
      </c>
    </row>
    <row r="238" spans="1:4" x14ac:dyDescent="0.35">
      <c r="A238" t="s">
        <v>31</v>
      </c>
      <c r="B238" t="s">
        <v>780</v>
      </c>
      <c r="C238" t="s">
        <v>1289</v>
      </c>
      <c r="D238">
        <f>(673481.9448*(44/12))/(0.4725284745/0.49)</f>
        <v>2560739.9894881891</v>
      </c>
    </row>
    <row r="239" spans="1:4" x14ac:dyDescent="0.35">
      <c r="A239" t="s">
        <v>538</v>
      </c>
      <c r="B239" t="s">
        <v>977</v>
      </c>
      <c r="C239" t="s">
        <v>1289</v>
      </c>
      <c r="D239">
        <f>(868632.8257*(44/12))/(0.4725284745/0.49)</f>
        <v>3302750.4747921103</v>
      </c>
    </row>
    <row r="240" spans="1:4" x14ac:dyDescent="0.35">
      <c r="A240" t="s">
        <v>116</v>
      </c>
      <c r="B240" t="s">
        <v>857</v>
      </c>
      <c r="C240" t="s">
        <v>1289</v>
      </c>
      <c r="D240">
        <f>(720912.7875*(44/12))/(0.4725284745/0.49)</f>
        <v>2741083.436814134</v>
      </c>
    </row>
    <row r="241" spans="1:4" x14ac:dyDescent="0.35">
      <c r="A241" t="s">
        <v>340</v>
      </c>
      <c r="B241" t="s">
        <v>1026</v>
      </c>
      <c r="C241" t="s">
        <v>1289</v>
      </c>
      <c r="D241">
        <f>(537920.6164*(44/12))/(0.4725284745/0.49)</f>
        <v>2045303.2842546015</v>
      </c>
    </row>
    <row r="242" spans="1:4" x14ac:dyDescent="0.35">
      <c r="A242" t="s">
        <v>117</v>
      </c>
      <c r="B242" t="s">
        <v>858</v>
      </c>
      <c r="C242" t="s">
        <v>1289</v>
      </c>
      <c r="D242">
        <f>(791531.126*(44/12))/(0.4725284745/0.49)</f>
        <v>3009591.3081600615</v>
      </c>
    </row>
    <row r="243" spans="1:4" x14ac:dyDescent="0.35">
      <c r="A243" t="s">
        <v>211</v>
      </c>
      <c r="B243" t="s">
        <v>933</v>
      </c>
      <c r="C243" t="s">
        <v>1289</v>
      </c>
      <c r="D243">
        <f>(485843.2771*(44/12))/(0.4725284745/0.49)</f>
        <v>1847292.741698398</v>
      </c>
    </row>
    <row r="244" spans="1:4" x14ac:dyDescent="0.35">
      <c r="A244" t="s">
        <v>741</v>
      </c>
      <c r="B244" t="s">
        <v>1275</v>
      </c>
      <c r="C244" t="s">
        <v>1289</v>
      </c>
      <c r="D244">
        <f>(1089480.397*(44/12))/(0.4725284745/0.49)</f>
        <v>4142465.9441907699</v>
      </c>
    </row>
    <row r="245" spans="1:4" x14ac:dyDescent="0.35">
      <c r="A245" t="s">
        <v>429</v>
      </c>
      <c r="B245" t="s">
        <v>1087</v>
      </c>
      <c r="C245" t="s">
        <v>1289</v>
      </c>
      <c r="D245">
        <f>(970654.4959*(44/12))/(0.4725284745/0.49)</f>
        <v>3690661.3500466761</v>
      </c>
    </row>
    <row r="246" spans="1:4" x14ac:dyDescent="0.35">
      <c r="A246" t="s">
        <v>470</v>
      </c>
      <c r="B246" t="s">
        <v>1111</v>
      </c>
      <c r="C246" t="s">
        <v>1289</v>
      </c>
      <c r="D246">
        <f>(607263.6197*(44/12))/(0.4725284745/0.49)</f>
        <v>2308962.0250902642</v>
      </c>
    </row>
    <row r="247" spans="1:4" x14ac:dyDescent="0.35">
      <c r="A247" t="s">
        <v>671</v>
      </c>
      <c r="B247" t="s">
        <v>809</v>
      </c>
      <c r="C247" t="s">
        <v>1289</v>
      </c>
      <c r="D247">
        <f>(514254.3891*(44/12))/(0.4725284745/0.49)</f>
        <v>1955318.608176278</v>
      </c>
    </row>
    <row r="248" spans="1:4" x14ac:dyDescent="0.35">
      <c r="A248" t="s">
        <v>32</v>
      </c>
      <c r="B248" t="s">
        <v>781</v>
      </c>
      <c r="C248" t="s">
        <v>1289</v>
      </c>
      <c r="D248">
        <f>(947979.2776*(44/12))/(0.4725284745/0.49)</f>
        <v>3604444.7280280595</v>
      </c>
    </row>
    <row r="249" spans="1:4" x14ac:dyDescent="0.35">
      <c r="A249" t="s">
        <v>642</v>
      </c>
      <c r="B249" t="s">
        <v>1179</v>
      </c>
      <c r="C249" t="s">
        <v>1289</v>
      </c>
      <c r="D249">
        <f>(666920.6237*(44/12))/(0.4725284745/0.49)</f>
        <v>2535792.2719519269</v>
      </c>
    </row>
    <row r="250" spans="1:4" x14ac:dyDescent="0.35">
      <c r="A250" t="s">
        <v>397</v>
      </c>
      <c r="B250" t="s">
        <v>914</v>
      </c>
      <c r="C250" t="s">
        <v>1289</v>
      </c>
      <c r="D250">
        <f>(844309.2293*(44/12))/(0.4725284745/0.49)</f>
        <v>3210266.3236273038</v>
      </c>
    </row>
    <row r="251" spans="1:4" x14ac:dyDescent="0.35">
      <c r="A251" t="s">
        <v>455</v>
      </c>
      <c r="B251" t="s">
        <v>1025</v>
      </c>
      <c r="C251" t="s">
        <v>1289</v>
      </c>
      <c r="D251">
        <f>(787068.4244*(44/12))/(0.4725284745/0.49)</f>
        <v>2992623.0456305193</v>
      </c>
    </row>
    <row r="252" spans="1:4" x14ac:dyDescent="0.35">
      <c r="A252" t="s">
        <v>118</v>
      </c>
      <c r="B252" t="s">
        <v>766</v>
      </c>
      <c r="C252" t="s">
        <v>1289</v>
      </c>
      <c r="D252">
        <f>(853218.7897*(44/12))/(0.4725284745/0.49)</f>
        <v>3244142.6105585229</v>
      </c>
    </row>
    <row r="253" spans="1:4" x14ac:dyDescent="0.35">
      <c r="A253" t="s">
        <v>398</v>
      </c>
      <c r="B253" t="s">
        <v>1068</v>
      </c>
      <c r="C253" t="s">
        <v>1289</v>
      </c>
      <c r="D253">
        <f>(563884.9856*(44/12))/(0.4725284745/0.49)</f>
        <v>2144026.0473897289</v>
      </c>
    </row>
    <row r="254" spans="1:4" x14ac:dyDescent="0.35">
      <c r="A254" t="s">
        <v>709</v>
      </c>
      <c r="B254" t="s">
        <v>1259</v>
      </c>
      <c r="C254" t="s">
        <v>1289</v>
      </c>
      <c r="D254">
        <f>(155270.5225*(44/12))/(0.4725284745/0.49)</f>
        <v>590375.7913993533</v>
      </c>
    </row>
    <row r="255" spans="1:4" x14ac:dyDescent="0.35">
      <c r="A255" t="s">
        <v>393</v>
      </c>
      <c r="B255" t="s">
        <v>1064</v>
      </c>
      <c r="C255" t="s">
        <v>1289</v>
      </c>
      <c r="D255">
        <f>(1522561.581*(44/12))/(0.4725284745/0.49)</f>
        <v>5789144.5450447667</v>
      </c>
    </row>
    <row r="256" spans="1:4" x14ac:dyDescent="0.35">
      <c r="A256" t="s">
        <v>119</v>
      </c>
      <c r="B256" t="s">
        <v>859</v>
      </c>
      <c r="C256" t="s">
        <v>1289</v>
      </c>
      <c r="D256">
        <f>(643746.4581*(44/12))/(0.4725284745/0.49)</f>
        <v>2447678.5325515871</v>
      </c>
    </row>
    <row r="257" spans="1:4" x14ac:dyDescent="0.35">
      <c r="A257" t="s">
        <v>630</v>
      </c>
      <c r="B257" t="s">
        <v>1209</v>
      </c>
      <c r="C257" t="s">
        <v>1289</v>
      </c>
      <c r="D257">
        <f>(319249.9747*(44/12))/(0.4725284745/0.49)</f>
        <v>1213865.0236572498</v>
      </c>
    </row>
    <row r="258" spans="1:4" x14ac:dyDescent="0.35">
      <c r="A258" t="s">
        <v>456</v>
      </c>
      <c r="B258" t="s">
        <v>1103</v>
      </c>
      <c r="C258" t="s">
        <v>1289</v>
      </c>
      <c r="D258">
        <f>(861798.5532*(44/12))/(0.4725284745/0.49)</f>
        <v>3276764.9305248372</v>
      </c>
    </row>
    <row r="259" spans="1:4" x14ac:dyDescent="0.35">
      <c r="A259" t="s">
        <v>120</v>
      </c>
      <c r="B259" t="s">
        <v>860</v>
      </c>
      <c r="C259" t="s">
        <v>1289</v>
      </c>
      <c r="D259">
        <f>(1302802.167*(44/12))/(0.4725284745/0.49)</f>
        <v>4953566.5108579602</v>
      </c>
    </row>
    <row r="260" spans="1:4" x14ac:dyDescent="0.35">
      <c r="A260" t="s">
        <v>471</v>
      </c>
      <c r="B260" t="s">
        <v>1112</v>
      </c>
      <c r="C260" t="s">
        <v>1289</v>
      </c>
      <c r="D260">
        <f>(688573.0896*(44/12))/(0.4725284745/0.49)</f>
        <v>2618120.1438856353</v>
      </c>
    </row>
    <row r="261" spans="1:4" x14ac:dyDescent="0.35">
      <c r="A261" t="s">
        <v>499</v>
      </c>
      <c r="B261" t="s">
        <v>1130</v>
      </c>
      <c r="C261" t="s">
        <v>1289</v>
      </c>
      <c r="D261">
        <f>(559178.487*(44/12))/(0.4725284745/0.49)</f>
        <v>2126130.8101550182</v>
      </c>
    </row>
    <row r="262" spans="1:4" x14ac:dyDescent="0.35">
      <c r="A262" t="s">
        <v>394</v>
      </c>
      <c r="B262" t="s">
        <v>1065</v>
      </c>
      <c r="C262" t="s">
        <v>1289</v>
      </c>
      <c r="D262">
        <f>(500839.1081*(44/12))/(0.4725284745/0.49)</f>
        <v>1904310.4901529765</v>
      </c>
    </row>
    <row r="263" spans="1:4" x14ac:dyDescent="0.35">
      <c r="A263" t="s">
        <v>500</v>
      </c>
      <c r="B263" t="s">
        <v>1122</v>
      </c>
      <c r="C263" t="s">
        <v>1289</v>
      </c>
      <c r="D263">
        <f>(1624331.186*(44/12))/(0.4725284745/0.49)</f>
        <v>6176097.0079133995</v>
      </c>
    </row>
    <row r="264" spans="1:4" x14ac:dyDescent="0.35">
      <c r="A264" t="s">
        <v>260</v>
      </c>
      <c r="B264" t="s">
        <v>868</v>
      </c>
      <c r="C264" t="s">
        <v>1289</v>
      </c>
      <c r="D264">
        <f>(2186981.182*(44/12))/(0.4725284745/0.49)</f>
        <v>8315427.3284469899</v>
      </c>
    </row>
    <row r="265" spans="1:4" x14ac:dyDescent="0.35">
      <c r="A265" t="s">
        <v>711</v>
      </c>
      <c r="B265" t="s">
        <v>1260</v>
      </c>
      <c r="C265" t="s">
        <v>1289</v>
      </c>
      <c r="D265">
        <f>(923401.2874*(44/12))/(0.4725284745/0.49)</f>
        <v>3510993.310581258</v>
      </c>
    </row>
    <row r="266" spans="1:4" x14ac:dyDescent="0.35">
      <c r="A266" t="s">
        <v>287</v>
      </c>
      <c r="B266" t="s">
        <v>993</v>
      </c>
      <c r="C266" t="s">
        <v>1289</v>
      </c>
      <c r="D266">
        <f>(449955.3551*(44/12))/(0.4725284745/0.49)</f>
        <v>1710838.249169539</v>
      </c>
    </row>
    <row r="267" spans="1:4" x14ac:dyDescent="0.35">
      <c r="A267" t="s">
        <v>33</v>
      </c>
      <c r="B267" t="s">
        <v>782</v>
      </c>
      <c r="C267" t="s">
        <v>1289</v>
      </c>
      <c r="D267">
        <f>(1254995.043*(44/12))/(0.4725284745/0.49)</f>
        <v>4771792.3517220756</v>
      </c>
    </row>
    <row r="268" spans="1:4" x14ac:dyDescent="0.35">
      <c r="A268" t="s">
        <v>121</v>
      </c>
      <c r="B268" t="s">
        <v>767</v>
      </c>
      <c r="C268" t="s">
        <v>1289</v>
      </c>
      <c r="D268">
        <f>(1598048.92*(44/12))/(0.4725284745/0.49)</f>
        <v>6076165.5248495853</v>
      </c>
    </row>
    <row r="269" spans="1:4" x14ac:dyDescent="0.35">
      <c r="A269" t="s">
        <v>34</v>
      </c>
      <c r="B269" t="s">
        <v>783</v>
      </c>
      <c r="C269" t="s">
        <v>1289</v>
      </c>
      <c r="D269">
        <f>(1320268.148*(44/12))/(0.4725284745/0.49)</f>
        <v>5019976.362447409</v>
      </c>
    </row>
    <row r="270" spans="1:4" x14ac:dyDescent="0.35">
      <c r="A270" t="s">
        <v>415</v>
      </c>
      <c r="B270" t="s">
        <v>1079</v>
      </c>
      <c r="C270" t="s">
        <v>1289</v>
      </c>
      <c r="D270">
        <f>(1474006.097*(44/12))/(0.4725284745/0.49)</f>
        <v>5604524.9415828232</v>
      </c>
    </row>
    <row r="271" spans="1:4" x14ac:dyDescent="0.35">
      <c r="A271" t="s">
        <v>670</v>
      </c>
      <c r="B271" t="s">
        <v>1232</v>
      </c>
      <c r="C271" t="s">
        <v>1289</v>
      </c>
      <c r="D271">
        <f>(2754230.527*(44/12))/(0.4725284745/0.49)</f>
        <v>10472245.477720235</v>
      </c>
    </row>
    <row r="272" spans="1:4" x14ac:dyDescent="0.35">
      <c r="A272" t="s">
        <v>472</v>
      </c>
      <c r="B272" t="s">
        <v>1113</v>
      </c>
      <c r="C272" t="s">
        <v>1289</v>
      </c>
      <c r="D272">
        <f>(1387453.217*(44/12))/(0.4725284745/0.49)</f>
        <v>5275430.1191712264</v>
      </c>
    </row>
    <row r="273" spans="1:4" x14ac:dyDescent="0.35">
      <c r="A273" t="s">
        <v>122</v>
      </c>
      <c r="B273" t="s">
        <v>861</v>
      </c>
      <c r="C273" t="s">
        <v>1289</v>
      </c>
      <c r="D273">
        <f>(1050378.804*(44/12))/(0.4725284745/0.49)</f>
        <v>3993792.3032403411</v>
      </c>
    </row>
    <row r="274" spans="1:4" x14ac:dyDescent="0.35">
      <c r="A274" t="s">
        <v>673</v>
      </c>
      <c r="B274" t="s">
        <v>1233</v>
      </c>
      <c r="C274" t="s">
        <v>1289</v>
      </c>
      <c r="D274">
        <f>(128933.7116*(44/12))/(0.4725284745/0.49)</f>
        <v>490236.91553498816</v>
      </c>
    </row>
    <row r="275" spans="1:4" x14ac:dyDescent="0.35">
      <c r="A275" t="s">
        <v>75</v>
      </c>
      <c r="B275" t="s">
        <v>823</v>
      </c>
      <c r="C275" t="s">
        <v>1289</v>
      </c>
      <c r="D275">
        <f>(586744.2684*(44/12))/(0.4725284745/0.49)</f>
        <v>2230942.5268127406</v>
      </c>
    </row>
    <row r="276" spans="1:4" x14ac:dyDescent="0.35">
      <c r="A276" t="s">
        <v>495</v>
      </c>
      <c r="B276" t="s">
        <v>1127</v>
      </c>
      <c r="C276" t="s">
        <v>1289</v>
      </c>
      <c r="D276">
        <f>(1120536.919*(44/12))/(0.4725284745/0.49)</f>
        <v>4260550.2943858393</v>
      </c>
    </row>
    <row r="277" spans="1:4" x14ac:dyDescent="0.35">
      <c r="A277" t="s">
        <v>395</v>
      </c>
      <c r="B277" t="s">
        <v>1066</v>
      </c>
      <c r="C277" t="s">
        <v>1289</v>
      </c>
      <c r="D277">
        <f>(1593982.249*(44/12))/(0.4725284745/0.49)</f>
        <v>6060703.0657084063</v>
      </c>
    </row>
    <row r="278" spans="1:4" x14ac:dyDescent="0.35">
      <c r="A278" t="s">
        <v>76</v>
      </c>
      <c r="B278" t="s">
        <v>824</v>
      </c>
      <c r="C278" t="s">
        <v>1289</v>
      </c>
      <c r="D278">
        <f>(895144.0825*(44/12))/(0.4725284745/0.49)</f>
        <v>3403552.6358352117</v>
      </c>
    </row>
    <row r="279" spans="1:4" x14ac:dyDescent="0.35">
      <c r="A279" t="s">
        <v>35</v>
      </c>
      <c r="B279" t="s">
        <v>784</v>
      </c>
      <c r="C279" t="s">
        <v>1289</v>
      </c>
      <c r="D279">
        <f>(94921.9071*(44/12))/(0.4725284745/0.49)</f>
        <v>360915.87200847088</v>
      </c>
    </row>
    <row r="280" spans="1:4" x14ac:dyDescent="0.35">
      <c r="A280" t="s">
        <v>527</v>
      </c>
      <c r="B280" t="s">
        <v>1150</v>
      </c>
      <c r="C280" t="s">
        <v>1289</v>
      </c>
      <c r="D280">
        <f>(966891.132*(44/12))/(0.4725284745/0.49)</f>
        <v>3676352.1372932624</v>
      </c>
    </row>
    <row r="281" spans="1:4" x14ac:dyDescent="0.35">
      <c r="A281" t="s">
        <v>396</v>
      </c>
      <c r="B281" t="s">
        <v>1067</v>
      </c>
      <c r="C281" t="s">
        <v>1289</v>
      </c>
      <c r="D281">
        <f>(795454.9553*(44/12))/(0.4725284745/0.49)</f>
        <v>3024510.6488758982</v>
      </c>
    </row>
    <row r="282" spans="1:4" x14ac:dyDescent="0.35">
      <c r="A282" t="s">
        <v>639</v>
      </c>
      <c r="B282" t="s">
        <v>769</v>
      </c>
      <c r="C282" t="s">
        <v>1289</v>
      </c>
      <c r="D282">
        <f>(975955.2749*(44/12))/(0.4725284745/0.49)</f>
        <v>3710816.1839892105</v>
      </c>
    </row>
    <row r="283" spans="1:4" x14ac:dyDescent="0.35">
      <c r="A283" t="s">
        <v>511</v>
      </c>
      <c r="B283" t="s">
        <v>1140</v>
      </c>
      <c r="C283" t="s">
        <v>1289</v>
      </c>
      <c r="D283">
        <f>(1547947.228*(44/12))/(0.4725284745/0.49)</f>
        <v>5885666.8674824303</v>
      </c>
    </row>
    <row r="284" spans="1:4" x14ac:dyDescent="0.35">
      <c r="A284" t="s">
        <v>341</v>
      </c>
      <c r="B284" t="s">
        <v>862</v>
      </c>
      <c r="C284" t="s">
        <v>1289</v>
      </c>
      <c r="D284">
        <f>(660993.2444*(44/12))/(0.4725284745/0.49)</f>
        <v>2513254.9532850068</v>
      </c>
    </row>
    <row r="285" spans="1:4" x14ac:dyDescent="0.35">
      <c r="A285" t="s">
        <v>273</v>
      </c>
      <c r="B285" t="s">
        <v>770</v>
      </c>
      <c r="C285" t="s">
        <v>1289</v>
      </c>
      <c r="D285">
        <f>(2003338.764*(44/12))/(0.4725284745/0.49)</f>
        <v>7617174.7811146975</v>
      </c>
    </row>
    <row r="286" spans="1:4" x14ac:dyDescent="0.35">
      <c r="A286" t="s">
        <v>36</v>
      </c>
      <c r="B286" t="s">
        <v>785</v>
      </c>
      <c r="C286" t="s">
        <v>1289</v>
      </c>
      <c r="D286">
        <f>(452371.204*(44/12))/(0.4725284745/0.49)</f>
        <v>1720023.8864899699</v>
      </c>
    </row>
    <row r="287" spans="1:4" x14ac:dyDescent="0.35">
      <c r="A287" t="s">
        <v>514</v>
      </c>
      <c r="B287" t="s">
        <v>1143</v>
      </c>
      <c r="C287" t="s">
        <v>1289</v>
      </c>
      <c r="D287">
        <f>(840730.0133*(44/12))/(0.4725284745/0.49)</f>
        <v>3196657.2853851016</v>
      </c>
    </row>
    <row r="288" spans="1:4" x14ac:dyDescent="0.35">
      <c r="A288" t="s">
        <v>344</v>
      </c>
      <c r="B288" t="s">
        <v>1029</v>
      </c>
      <c r="C288" t="s">
        <v>1289</v>
      </c>
      <c r="D288">
        <f>(878198.3935*(44/12))/(0.4725284745/0.49)</f>
        <v>3339121.0592996054</v>
      </c>
    </row>
    <row r="289" spans="1:4" x14ac:dyDescent="0.35">
      <c r="A289" t="s">
        <v>227</v>
      </c>
      <c r="B289" t="s">
        <v>947</v>
      </c>
      <c r="C289" t="s">
        <v>1289</v>
      </c>
      <c r="D289">
        <f>(275676.7277*(44/12))/(0.4725284745/0.49)</f>
        <v>1048189.0810039074</v>
      </c>
    </row>
    <row r="290" spans="1:4" x14ac:dyDescent="0.35">
      <c r="A290" t="s">
        <v>77</v>
      </c>
      <c r="B290" t="s">
        <v>825</v>
      </c>
      <c r="C290" t="s">
        <v>1289</v>
      </c>
      <c r="D290">
        <f>(983242.603*(44/12))/(0.4725284745/0.49)</f>
        <v>3738524.3543808204</v>
      </c>
    </row>
    <row r="291" spans="1:4" x14ac:dyDescent="0.35">
      <c r="A291" t="s">
        <v>411</v>
      </c>
      <c r="B291" t="s">
        <v>869</v>
      </c>
      <c r="C291" t="s">
        <v>1289</v>
      </c>
      <c r="D291">
        <f>(1742311.941*(44/12))/(0.4725284745/0.49)</f>
        <v>6624688.1537506161</v>
      </c>
    </row>
    <row r="292" spans="1:4" x14ac:dyDescent="0.35">
      <c r="A292" t="s">
        <v>78</v>
      </c>
      <c r="B292" t="s">
        <v>826</v>
      </c>
      <c r="C292" t="s">
        <v>1289</v>
      </c>
      <c r="D292">
        <f>(1065397.701*(44/12))/(0.4725284745/0.49)</f>
        <v>4050897.7541627483</v>
      </c>
    </row>
    <row r="293" spans="1:4" x14ac:dyDescent="0.35">
      <c r="A293" t="s">
        <v>37</v>
      </c>
      <c r="B293" t="s">
        <v>786</v>
      </c>
      <c r="C293" t="s">
        <v>1289</v>
      </c>
      <c r="D293">
        <f>(929613.2098*(44/12))/(0.4725284745/0.49)</f>
        <v>3534612.5304045915</v>
      </c>
    </row>
    <row r="294" spans="1:4" x14ac:dyDescent="0.35">
      <c r="A294" t="s">
        <v>531</v>
      </c>
      <c r="B294" t="s">
        <v>1154</v>
      </c>
      <c r="C294" t="s">
        <v>1289</v>
      </c>
      <c r="D294">
        <f>(3376299.079*(44/12))/(0.4725284745/0.49)</f>
        <v>12837499.408592075</v>
      </c>
    </row>
    <row r="295" spans="1:4" x14ac:dyDescent="0.35">
      <c r="A295" t="s">
        <v>140</v>
      </c>
      <c r="B295" t="s">
        <v>875</v>
      </c>
      <c r="C295" t="s">
        <v>1285</v>
      </c>
      <c r="D295">
        <f>(0*(44/12))/(0.4725284745/0.49)</f>
        <v>0</v>
      </c>
    </row>
    <row r="296" spans="1:4" x14ac:dyDescent="0.35">
      <c r="A296" t="s">
        <v>728</v>
      </c>
      <c r="B296" t="s">
        <v>1268</v>
      </c>
      <c r="C296" t="s">
        <v>1285</v>
      </c>
      <c r="D296">
        <f>(2268.888155*(44/12))/(0.4725284745/0.49)</f>
        <v>8626.8572974290328</v>
      </c>
    </row>
    <row r="297" spans="1:4" x14ac:dyDescent="0.35">
      <c r="A297" t="s">
        <v>567</v>
      </c>
      <c r="B297" t="s">
        <v>1178</v>
      </c>
      <c r="C297" t="s">
        <v>1285</v>
      </c>
      <c r="D297">
        <f>(0*(44/12))/(0.4725284745/0.49)</f>
        <v>0</v>
      </c>
    </row>
    <row r="298" spans="1:4" x14ac:dyDescent="0.35">
      <c r="A298" t="s">
        <v>97</v>
      </c>
      <c r="B298" t="s">
        <v>842</v>
      </c>
      <c r="C298" t="s">
        <v>1285</v>
      </c>
      <c r="D298">
        <f>(174919.2131*(44/12))/(0.4725284745/0.49)</f>
        <v>665084.82873730664</v>
      </c>
    </row>
    <row r="299" spans="1:4" x14ac:dyDescent="0.35">
      <c r="A299" t="s">
        <v>651</v>
      </c>
      <c r="B299" t="s">
        <v>813</v>
      </c>
      <c r="C299" t="s">
        <v>1285</v>
      </c>
      <c r="D299">
        <f>(3860.608666*(44/12))/(0.4725284745/0.49)</f>
        <v>14678.960692445351</v>
      </c>
    </row>
    <row r="300" spans="1:4" x14ac:dyDescent="0.35">
      <c r="A300" t="s">
        <v>141</v>
      </c>
      <c r="B300" t="s">
        <v>876</v>
      </c>
      <c r="C300" t="s">
        <v>1285</v>
      </c>
      <c r="D300">
        <f>(0*(44/12))/(0.4725284745/0.49)</f>
        <v>0</v>
      </c>
    </row>
    <row r="301" spans="1:4" x14ac:dyDescent="0.35">
      <c r="A301" t="s">
        <v>408</v>
      </c>
      <c r="B301" t="s">
        <v>930</v>
      </c>
      <c r="C301" t="s">
        <v>1285</v>
      </c>
      <c r="D301">
        <f>(0*(44/12))/(0.4725284745/0.49)</f>
        <v>0</v>
      </c>
    </row>
    <row r="302" spans="1:4" x14ac:dyDescent="0.35">
      <c r="A302" t="s">
        <v>576</v>
      </c>
      <c r="B302" t="s">
        <v>1172</v>
      </c>
      <c r="C302" t="s">
        <v>1285</v>
      </c>
      <c r="D302">
        <f>(0*(44/12))/(0.4725284745/0.49)</f>
        <v>0</v>
      </c>
    </row>
    <row r="303" spans="1:4" x14ac:dyDescent="0.35">
      <c r="A303" t="s">
        <v>271</v>
      </c>
      <c r="B303" t="s">
        <v>981</v>
      </c>
      <c r="C303" t="s">
        <v>1285</v>
      </c>
      <c r="D303">
        <f>(0*(44/12))/(0.4725284745/0.49)</f>
        <v>0</v>
      </c>
    </row>
    <row r="304" spans="1:4" x14ac:dyDescent="0.35">
      <c r="A304" t="s">
        <v>580</v>
      </c>
      <c r="B304" t="s">
        <v>751</v>
      </c>
      <c r="C304" t="s">
        <v>1285</v>
      </c>
      <c r="D304">
        <f>(57627.43304*(44/12))/(0.4725284745/0.49)</f>
        <v>219113.33097564121</v>
      </c>
    </row>
    <row r="305" spans="1:4" x14ac:dyDescent="0.35">
      <c r="A305" t="s">
        <v>321</v>
      </c>
      <c r="B305" t="s">
        <v>963</v>
      </c>
      <c r="C305" t="s">
        <v>1285</v>
      </c>
      <c r="D305">
        <f>(0*(44/12))/(0.4725284745/0.49)</f>
        <v>0</v>
      </c>
    </row>
    <row r="306" spans="1:4" x14ac:dyDescent="0.35">
      <c r="A306" t="s">
        <v>414</v>
      </c>
      <c r="B306" t="s">
        <v>1057</v>
      </c>
      <c r="C306" t="s">
        <v>1285</v>
      </c>
      <c r="D306">
        <f>(153613.0742*(44/12))/(0.4725284745/0.49)</f>
        <v>584073.77517591976</v>
      </c>
    </row>
    <row r="307" spans="1:4" x14ac:dyDescent="0.35">
      <c r="A307" t="s">
        <v>583</v>
      </c>
      <c r="B307" t="s">
        <v>886</v>
      </c>
      <c r="C307" t="s">
        <v>1285</v>
      </c>
      <c r="D307">
        <f>(20123.07773*(44/12))/(0.4725284745/0.49)</f>
        <v>76512.771058907543</v>
      </c>
    </row>
    <row r="308" spans="1:4" x14ac:dyDescent="0.35">
      <c r="A308" t="s">
        <v>723</v>
      </c>
      <c r="B308" t="s">
        <v>1266</v>
      </c>
      <c r="C308" t="s">
        <v>1285</v>
      </c>
      <c r="D308">
        <f>(0*(44/12))/(0.4725284745/0.49)</f>
        <v>0</v>
      </c>
    </row>
    <row r="309" spans="1:4" x14ac:dyDescent="0.35">
      <c r="A309" t="s">
        <v>142</v>
      </c>
      <c r="B309" t="s">
        <v>877</v>
      </c>
      <c r="C309" t="s">
        <v>1285</v>
      </c>
      <c r="D309">
        <f>(30097.9285*(44/12))/(0.4725284745/0.49)</f>
        <v>114439.5476460682</v>
      </c>
    </row>
    <row r="310" spans="1:4" x14ac:dyDescent="0.35">
      <c r="A310" t="s">
        <v>585</v>
      </c>
      <c r="B310" t="s">
        <v>1006</v>
      </c>
      <c r="C310" t="s">
        <v>1285</v>
      </c>
      <c r="D310">
        <f>(48528.1292*(44/12))/(0.4725284745/0.49)</f>
        <v>184515.59394720313</v>
      </c>
    </row>
    <row r="311" spans="1:4" x14ac:dyDescent="0.35">
      <c r="A311" t="s">
        <v>98</v>
      </c>
      <c r="B311" t="s">
        <v>843</v>
      </c>
      <c r="C311" t="s">
        <v>1285</v>
      </c>
      <c r="D311">
        <f>(0*(44/12))/(0.4725284745/0.49)</f>
        <v>0</v>
      </c>
    </row>
    <row r="312" spans="1:4" x14ac:dyDescent="0.35">
      <c r="A312" t="s">
        <v>586</v>
      </c>
      <c r="B312" t="s">
        <v>1186</v>
      </c>
      <c r="C312" t="s">
        <v>1285</v>
      </c>
      <c r="D312">
        <f>(71554.67357*(44/12))/(0.4725284745/0.49)</f>
        <v>272068.04200205574</v>
      </c>
    </row>
    <row r="313" spans="1:4" x14ac:dyDescent="0.35">
      <c r="A313" t="s">
        <v>491</v>
      </c>
      <c r="B313" t="s">
        <v>793</v>
      </c>
      <c r="C313" t="s">
        <v>1285</v>
      </c>
      <c r="D313">
        <f>(18342.77496*(44/12))/(0.4725284745/0.49)</f>
        <v>69743.632655517344</v>
      </c>
    </row>
    <row r="314" spans="1:4" x14ac:dyDescent="0.35">
      <c r="A314" t="s">
        <v>563</v>
      </c>
      <c r="B314" t="s">
        <v>1175</v>
      </c>
      <c r="C314" t="s">
        <v>1285</v>
      </c>
      <c r="D314">
        <f>(85800.7595*(44/12))/(0.4725284745/0.49)</f>
        <v>326235.07976202038</v>
      </c>
    </row>
    <row r="315" spans="1:4" x14ac:dyDescent="0.35">
      <c r="A315" t="s">
        <v>492</v>
      </c>
      <c r="B315" t="s">
        <v>850</v>
      </c>
      <c r="C315" t="s">
        <v>1285</v>
      </c>
      <c r="D315">
        <f>(316214.3655*(44/12))/(0.4725284745/0.49)</f>
        <v>1202322.9089340307</v>
      </c>
    </row>
    <row r="316" spans="1:4" x14ac:dyDescent="0.35">
      <c r="A316" t="s">
        <v>143</v>
      </c>
      <c r="B316" t="s">
        <v>878</v>
      </c>
      <c r="C316" t="s">
        <v>1285</v>
      </c>
      <c r="D316">
        <f>(0*(44/12))/(0.4725284745/0.49)</f>
        <v>0</v>
      </c>
    </row>
    <row r="317" spans="1:4" x14ac:dyDescent="0.35">
      <c r="A317" t="s">
        <v>644</v>
      </c>
      <c r="B317" t="s">
        <v>775</v>
      </c>
      <c r="C317" t="s">
        <v>1285</v>
      </c>
      <c r="D317">
        <f>(42807.74614*(44/12))/(0.4725284745/0.49)</f>
        <v>162765.32466376619</v>
      </c>
    </row>
    <row r="318" spans="1:4" x14ac:dyDescent="0.35">
      <c r="A318" t="s">
        <v>434</v>
      </c>
      <c r="B318" t="s">
        <v>1090</v>
      </c>
      <c r="C318" t="s">
        <v>1285</v>
      </c>
      <c r="D318">
        <f>(27758.89568*(44/12))/(0.4725284745/0.49)</f>
        <v>105545.98349762165</v>
      </c>
    </row>
    <row r="319" spans="1:4" x14ac:dyDescent="0.35">
      <c r="A319" t="s">
        <v>347</v>
      </c>
      <c r="B319" t="s">
        <v>1032</v>
      </c>
      <c r="C319" t="s">
        <v>1285</v>
      </c>
      <c r="D319">
        <f>(67.498647*(44/12))/(0.4725284745/0.49)</f>
        <v>256.64605553839488</v>
      </c>
    </row>
    <row r="320" spans="1:4" x14ac:dyDescent="0.35">
      <c r="A320" t="s">
        <v>263</v>
      </c>
      <c r="B320" t="s">
        <v>973</v>
      </c>
      <c r="C320" t="s">
        <v>1285</v>
      </c>
      <c r="D320">
        <f>(0*(44/12))/(0.4725284745/0.49)</f>
        <v>0</v>
      </c>
    </row>
    <row r="321" spans="1:4" x14ac:dyDescent="0.35">
      <c r="A321" t="s">
        <v>322</v>
      </c>
      <c r="B321" t="s">
        <v>1012</v>
      </c>
      <c r="C321" t="s">
        <v>1285</v>
      </c>
      <c r="D321">
        <f>(0*(44/12))/(0.4725284745/0.49)</f>
        <v>0</v>
      </c>
    </row>
    <row r="322" spans="1:4" x14ac:dyDescent="0.35">
      <c r="A322" t="s">
        <v>99</v>
      </c>
      <c r="B322" t="s">
        <v>844</v>
      </c>
      <c r="C322" t="s">
        <v>1285</v>
      </c>
      <c r="D322">
        <f>(0*(44/12))/(0.4725284745/0.49)</f>
        <v>0</v>
      </c>
    </row>
    <row r="323" spans="1:4" x14ac:dyDescent="0.35">
      <c r="A323" t="s">
        <v>664</v>
      </c>
      <c r="B323" t="s">
        <v>1230</v>
      </c>
      <c r="C323" t="s">
        <v>1285</v>
      </c>
      <c r="D323">
        <f>(387401.8823*(44/12))/(0.4725284745/0.49)</f>
        <v>1472994.9327790895</v>
      </c>
    </row>
    <row r="324" spans="1:4" x14ac:dyDescent="0.35">
      <c r="A324" t="s">
        <v>546</v>
      </c>
      <c r="B324" t="s">
        <v>797</v>
      </c>
      <c r="C324" t="s">
        <v>1285</v>
      </c>
      <c r="D324">
        <f>(127056.5405*(44/12))/(0.4725284745/0.49)</f>
        <v>483099.46049258311</v>
      </c>
    </row>
    <row r="325" spans="1:4" x14ac:dyDescent="0.35">
      <c r="A325" t="s">
        <v>684</v>
      </c>
      <c r="B325" t="s">
        <v>1051</v>
      </c>
      <c r="C325" t="s">
        <v>1285</v>
      </c>
      <c r="D325">
        <f>(165578.0726*(44/12))/(0.4725284745/0.49)</f>
        <v>629567.57068686094</v>
      </c>
    </row>
    <row r="326" spans="1:4" x14ac:dyDescent="0.35">
      <c r="A326" t="s">
        <v>572</v>
      </c>
      <c r="B326" t="s">
        <v>763</v>
      </c>
      <c r="C326" t="s">
        <v>1285</v>
      </c>
      <c r="D326">
        <f>(0*(44/12))/(0.4725284745/0.49)</f>
        <v>0</v>
      </c>
    </row>
    <row r="327" spans="1:4" x14ac:dyDescent="0.35">
      <c r="A327" t="s">
        <v>560</v>
      </c>
      <c r="B327" t="s">
        <v>1173</v>
      </c>
      <c r="C327" t="s">
        <v>1285</v>
      </c>
      <c r="D327">
        <f>(840.77559*(44/12))/(0.4725284745/0.49)</f>
        <v>3196.8305789368887</v>
      </c>
    </row>
    <row r="328" spans="1:4" x14ac:dyDescent="0.35">
      <c r="A328" t="s">
        <v>450</v>
      </c>
      <c r="B328" t="s">
        <v>894</v>
      </c>
      <c r="C328" t="s">
        <v>1285</v>
      </c>
      <c r="D328">
        <f>(366007.1416*(44/12))/(0.4725284745/0.49)</f>
        <v>1391646.993909711</v>
      </c>
    </row>
    <row r="329" spans="1:4" x14ac:dyDescent="0.35">
      <c r="A329" t="s">
        <v>561</v>
      </c>
      <c r="B329" t="s">
        <v>1174</v>
      </c>
      <c r="C329" t="s">
        <v>1285</v>
      </c>
      <c r="D329">
        <f>(164453.6176*(44/12))/(0.4725284745/0.49)</f>
        <v>625292.12290817534</v>
      </c>
    </row>
    <row r="330" spans="1:4" x14ac:dyDescent="0.35">
      <c r="A330" t="s">
        <v>451</v>
      </c>
      <c r="B330" t="s">
        <v>1101</v>
      </c>
      <c r="C330" t="s">
        <v>1285</v>
      </c>
      <c r="D330">
        <f>(14364.33999*(44/12))/(0.4725284745/0.49)</f>
        <v>54616.66807700495</v>
      </c>
    </row>
    <row r="331" spans="1:4" x14ac:dyDescent="0.35">
      <c r="A331" t="s">
        <v>582</v>
      </c>
      <c r="B331" t="s">
        <v>854</v>
      </c>
      <c r="C331" t="s">
        <v>1285</v>
      </c>
      <c r="D331">
        <f>(16538.52022*(44/12))/(0.4725284745/0.49)</f>
        <v>62883.423113725315</v>
      </c>
    </row>
    <row r="332" spans="1:4" x14ac:dyDescent="0.35">
      <c r="A332" t="s">
        <v>100</v>
      </c>
      <c r="B332" t="s">
        <v>820</v>
      </c>
      <c r="C332" t="s">
        <v>1285</v>
      </c>
      <c r="D332">
        <f>(80176.69714*(44/12))/(0.4725284745/0.49)</f>
        <v>304851.04489690735</v>
      </c>
    </row>
    <row r="333" spans="1:4" x14ac:dyDescent="0.35">
      <c r="A333" t="s">
        <v>617</v>
      </c>
      <c r="B333" t="s">
        <v>1193</v>
      </c>
      <c r="C333" t="s">
        <v>1285</v>
      </c>
      <c r="D333">
        <f>(876.30925*(44/12))/(0.4725284745/0.49)</f>
        <v>3331.9380823190299</v>
      </c>
    </row>
    <row r="334" spans="1:4" x14ac:dyDescent="0.35">
      <c r="A334" t="s">
        <v>645</v>
      </c>
      <c r="B334" t="s">
        <v>1219</v>
      </c>
      <c r="C334" t="s">
        <v>1285</v>
      </c>
      <c r="D334">
        <f>(107881.8815*(44/12))/(0.4725284745/0.49)</f>
        <v>410192.80506519682</v>
      </c>
    </row>
    <row r="335" spans="1:4" x14ac:dyDescent="0.35">
      <c r="A335" t="s">
        <v>666</v>
      </c>
      <c r="B335" t="s">
        <v>921</v>
      </c>
      <c r="C335" t="s">
        <v>1285</v>
      </c>
      <c r="D335">
        <f>(4566.10505*(44/12))/(0.4725284745/0.49)</f>
        <v>17361.4272632227</v>
      </c>
    </row>
    <row r="336" spans="1:4" x14ac:dyDescent="0.35">
      <c r="A336" t="s">
        <v>144</v>
      </c>
      <c r="B336" t="s">
        <v>879</v>
      </c>
      <c r="C336" t="s">
        <v>1285</v>
      </c>
      <c r="D336">
        <f>(0*(44/12))/(0.4725284745/0.49)</f>
        <v>0</v>
      </c>
    </row>
    <row r="337" spans="1:4" x14ac:dyDescent="0.35">
      <c r="A337" t="s">
        <v>452</v>
      </c>
      <c r="B337" t="s">
        <v>855</v>
      </c>
      <c r="C337" t="s">
        <v>1285</v>
      </c>
      <c r="D337">
        <f>(41393.59605*(44/12))/(0.4725284745/0.49)</f>
        <v>157388.38662621164</v>
      </c>
    </row>
    <row r="338" spans="1:4" x14ac:dyDescent="0.35">
      <c r="A338" t="s">
        <v>145</v>
      </c>
      <c r="B338" t="s">
        <v>856</v>
      </c>
      <c r="C338" t="s">
        <v>1285</v>
      </c>
      <c r="D338">
        <f>(52695.93735*(44/12))/(0.4725284745/0.49)</f>
        <v>200362.60080555207</v>
      </c>
    </row>
    <row r="339" spans="1:4" x14ac:dyDescent="0.35">
      <c r="A339" t="s">
        <v>275</v>
      </c>
      <c r="B339" t="s">
        <v>756</v>
      </c>
      <c r="C339" t="s">
        <v>1285</v>
      </c>
      <c r="D339">
        <f>(0*(44/12))/(0.4725284745/0.49)</f>
        <v>0</v>
      </c>
    </row>
    <row r="340" spans="1:4" x14ac:dyDescent="0.35">
      <c r="A340" t="s">
        <v>518</v>
      </c>
      <c r="B340" t="s">
        <v>975</v>
      </c>
      <c r="C340" t="s">
        <v>1285</v>
      </c>
      <c r="D340">
        <f>(123073.719*(44/12))/(0.4725284745/0.49)</f>
        <v>467955.81727424549</v>
      </c>
    </row>
    <row r="341" spans="1:4" x14ac:dyDescent="0.35">
      <c r="A341" t="s">
        <v>713</v>
      </c>
      <c r="B341" t="s">
        <v>866</v>
      </c>
      <c r="C341" t="s">
        <v>1285</v>
      </c>
      <c r="D341">
        <f>(0*(44/12))/(0.4725284745/0.49)</f>
        <v>0</v>
      </c>
    </row>
    <row r="342" spans="1:4" x14ac:dyDescent="0.35">
      <c r="A342" t="s">
        <v>523</v>
      </c>
      <c r="B342" t="s">
        <v>949</v>
      </c>
      <c r="C342" t="s">
        <v>1285</v>
      </c>
      <c r="D342">
        <f>(89093.55435*(44/12))/(0.4725284745/0.49)</f>
        <v>338755.07605097775</v>
      </c>
    </row>
    <row r="343" spans="1:4" x14ac:dyDescent="0.35">
      <c r="A343" t="s">
        <v>619</v>
      </c>
      <c r="B343" t="s">
        <v>780</v>
      </c>
      <c r="C343" t="s">
        <v>1285</v>
      </c>
      <c r="D343">
        <f>(117.921031*(44/12))/(0.4725284745/0.49)</f>
        <v>448.36406085548322</v>
      </c>
    </row>
    <row r="344" spans="1:4" x14ac:dyDescent="0.35">
      <c r="A344" t="s">
        <v>588</v>
      </c>
      <c r="B344" t="s">
        <v>1187</v>
      </c>
      <c r="C344" t="s">
        <v>1285</v>
      </c>
      <c r="D344">
        <f>(118892.0645*(44/12))/(0.4725284745/0.49)</f>
        <v>452056.16327007889</v>
      </c>
    </row>
    <row r="345" spans="1:4" x14ac:dyDescent="0.35">
      <c r="A345" t="s">
        <v>605</v>
      </c>
      <c r="B345" t="s">
        <v>858</v>
      </c>
      <c r="C345" t="s">
        <v>1285</v>
      </c>
      <c r="D345">
        <f>(134463.8633*(44/12))/(0.4725284745/0.49)</f>
        <v>511263.87953226577</v>
      </c>
    </row>
    <row r="346" spans="1:4" x14ac:dyDescent="0.35">
      <c r="A346" t="s">
        <v>146</v>
      </c>
      <c r="B346" t="s">
        <v>880</v>
      </c>
      <c r="C346" t="s">
        <v>1285</v>
      </c>
      <c r="D346">
        <f>(56500.15646*(44/12))/(0.4725284745/0.49)</f>
        <v>214827.15487261777</v>
      </c>
    </row>
    <row r="347" spans="1:4" x14ac:dyDescent="0.35">
      <c r="A347" t="s">
        <v>525</v>
      </c>
      <c r="B347" t="s">
        <v>1149</v>
      </c>
      <c r="C347" t="s">
        <v>1285</v>
      </c>
      <c r="D347">
        <f>(34456.45261*(44/12))/(0.4725284745/0.49)</f>
        <v>131011.70235608026</v>
      </c>
    </row>
    <row r="348" spans="1:4" x14ac:dyDescent="0.35">
      <c r="A348" t="s">
        <v>552</v>
      </c>
      <c r="B348" t="s">
        <v>1167</v>
      </c>
      <c r="C348" t="s">
        <v>1285</v>
      </c>
      <c r="D348">
        <f>(0*(44/12))/(0.4725284745/0.49)</f>
        <v>0</v>
      </c>
    </row>
    <row r="349" spans="1:4" x14ac:dyDescent="0.35">
      <c r="A349" t="s">
        <v>280</v>
      </c>
      <c r="B349" t="s">
        <v>987</v>
      </c>
      <c r="C349" t="s">
        <v>1285</v>
      </c>
      <c r="D349">
        <f>(34163.59091*(44/12))/(0.4725284745/0.49)</f>
        <v>129898.17188600625</v>
      </c>
    </row>
    <row r="350" spans="1:4" x14ac:dyDescent="0.35">
      <c r="A350" t="s">
        <v>620</v>
      </c>
      <c r="B350" t="s">
        <v>965</v>
      </c>
      <c r="C350" t="s">
        <v>1285</v>
      </c>
      <c r="D350">
        <f>(89744.77972*(44/12))/(0.4725284745/0.49)</f>
        <v>341231.19120150857</v>
      </c>
    </row>
    <row r="351" spans="1:4" x14ac:dyDescent="0.35">
      <c r="A351" t="s">
        <v>568</v>
      </c>
      <c r="B351" t="s">
        <v>1179</v>
      </c>
      <c r="C351" t="s">
        <v>1285</v>
      </c>
      <c r="D351">
        <f>(227448.862*(44/12))/(0.4725284745/0.49)</f>
        <v>864815.16094680678</v>
      </c>
    </row>
    <row r="352" spans="1:4" x14ac:dyDescent="0.35">
      <c r="A352" t="s">
        <v>443</v>
      </c>
      <c r="B352" t="s">
        <v>1095</v>
      </c>
      <c r="C352" t="s">
        <v>1285</v>
      </c>
      <c r="D352">
        <f>(0*(44/12))/(0.4725284745/0.49)</f>
        <v>0</v>
      </c>
    </row>
    <row r="353" spans="1:4" x14ac:dyDescent="0.35">
      <c r="A353" t="s">
        <v>541</v>
      </c>
      <c r="B353" t="s">
        <v>1161</v>
      </c>
      <c r="C353" t="s">
        <v>1285</v>
      </c>
      <c r="D353">
        <f>(89775.28974*(44/12))/(0.4725284745/0.49)</f>
        <v>341347.19761993934</v>
      </c>
    </row>
    <row r="354" spans="1:4" x14ac:dyDescent="0.35">
      <c r="A354" t="s">
        <v>661</v>
      </c>
      <c r="B354" t="s">
        <v>1068</v>
      </c>
      <c r="C354" t="s">
        <v>1285</v>
      </c>
      <c r="D354">
        <f>(0*(44/12))/(0.4725284745/0.49)</f>
        <v>0</v>
      </c>
    </row>
    <row r="355" spans="1:4" x14ac:dyDescent="0.35">
      <c r="A355" t="s">
        <v>147</v>
      </c>
      <c r="B355" t="s">
        <v>881</v>
      </c>
      <c r="C355" t="s">
        <v>1285</v>
      </c>
      <c r="D355">
        <f>(125787.4276*(44/12))/(0.4725284745/0.49)</f>
        <v>478273.98866026779</v>
      </c>
    </row>
    <row r="356" spans="1:4" x14ac:dyDescent="0.35">
      <c r="A356" t="s">
        <v>729</v>
      </c>
      <c r="B356" t="s">
        <v>951</v>
      </c>
      <c r="C356" t="s">
        <v>1285</v>
      </c>
      <c r="D356">
        <f>(54871.20638*(44/12))/(0.4725284745/0.49)</f>
        <v>208633.49572118395</v>
      </c>
    </row>
    <row r="357" spans="1:4" x14ac:dyDescent="0.35">
      <c r="A357" t="s">
        <v>542</v>
      </c>
      <c r="B357" t="s">
        <v>1162</v>
      </c>
      <c r="C357" t="s">
        <v>1285</v>
      </c>
      <c r="D357">
        <f>(0*(44/12))/(0.4725284745/0.49)</f>
        <v>0</v>
      </c>
    </row>
    <row r="358" spans="1:4" x14ac:dyDescent="0.35">
      <c r="A358" t="s">
        <v>573</v>
      </c>
      <c r="B358" t="s">
        <v>1183</v>
      </c>
      <c r="C358" t="s">
        <v>1285</v>
      </c>
      <c r="D358">
        <f>(394406.0776*(44/12))/(0.4725284745/0.49)</f>
        <v>1499626.5643133568</v>
      </c>
    </row>
    <row r="359" spans="1:4" x14ac:dyDescent="0.35">
      <c r="A359" t="s">
        <v>444</v>
      </c>
      <c r="B359" t="s">
        <v>1096</v>
      </c>
      <c r="C359" t="s">
        <v>1285</v>
      </c>
      <c r="D359">
        <f>(488745.3375*(44/12))/(0.4725284745/0.49)</f>
        <v>1858327.0718323663</v>
      </c>
    </row>
    <row r="360" spans="1:4" x14ac:dyDescent="0.35">
      <c r="A360" t="s">
        <v>653</v>
      </c>
      <c r="B360" t="s">
        <v>1222</v>
      </c>
      <c r="C360" t="s">
        <v>1285</v>
      </c>
      <c r="D360">
        <f>(76351.2121*(44/12))/(0.4725284745/0.49)</f>
        <v>290305.63266016822</v>
      </c>
    </row>
    <row r="361" spans="1:4" x14ac:dyDescent="0.35">
      <c r="A361" t="s">
        <v>454</v>
      </c>
      <c r="B361" t="s">
        <v>1102</v>
      </c>
      <c r="C361" t="s">
        <v>1285</v>
      </c>
      <c r="D361">
        <f>(0*(44/12))/(0.4725284745/0.49)</f>
        <v>0</v>
      </c>
    </row>
    <row r="362" spans="1:4" x14ac:dyDescent="0.35">
      <c r="A362" t="s">
        <v>578</v>
      </c>
      <c r="B362" t="s">
        <v>1184</v>
      </c>
      <c r="C362" t="s">
        <v>1285</v>
      </c>
      <c r="D362">
        <f>(0*(44/12))/(0.4725284745/0.49)</f>
        <v>0</v>
      </c>
    </row>
    <row r="363" spans="1:4" x14ac:dyDescent="0.35">
      <c r="A363" t="s">
        <v>323</v>
      </c>
      <c r="B363" t="s">
        <v>1013</v>
      </c>
      <c r="C363" t="s">
        <v>1285</v>
      </c>
      <c r="D363">
        <f>(0*(44/12))/(0.4725284745/0.49)</f>
        <v>0</v>
      </c>
    </row>
    <row r="364" spans="1:4" x14ac:dyDescent="0.35">
      <c r="A364" t="s">
        <v>649</v>
      </c>
      <c r="B364" t="s">
        <v>1221</v>
      </c>
      <c r="C364" t="s">
        <v>1285</v>
      </c>
      <c r="D364">
        <f>(151.322548*(44/12))/(0.4725284745/0.49)</f>
        <v>575.36464483827979</v>
      </c>
    </row>
    <row r="365" spans="1:4" x14ac:dyDescent="0.35">
      <c r="A365" t="s">
        <v>164</v>
      </c>
      <c r="B365" t="s">
        <v>895</v>
      </c>
      <c r="C365" t="s">
        <v>1285</v>
      </c>
      <c r="D365">
        <f>(104902.0353*(44/12))/(0.4725284745/0.49)</f>
        <v>398862.71465107228</v>
      </c>
    </row>
    <row r="366" spans="1:4" x14ac:dyDescent="0.35">
      <c r="A366" t="s">
        <v>101</v>
      </c>
      <c r="B366" t="s">
        <v>845</v>
      </c>
      <c r="C366" t="s">
        <v>1285</v>
      </c>
      <c r="D366">
        <f>(0*(44/12))/(0.4725284745/0.49)</f>
        <v>0</v>
      </c>
    </row>
    <row r="367" spans="1:4" x14ac:dyDescent="0.35">
      <c r="A367" t="s">
        <v>579</v>
      </c>
      <c r="B367" t="s">
        <v>784</v>
      </c>
      <c r="C367" t="s">
        <v>1285</v>
      </c>
      <c r="D367">
        <f>(0*(44/12))/(0.4725284745/0.49)</f>
        <v>0</v>
      </c>
    </row>
    <row r="368" spans="1:4" x14ac:dyDescent="0.35">
      <c r="A368" t="s">
        <v>589</v>
      </c>
      <c r="B368" t="s">
        <v>1188</v>
      </c>
      <c r="C368" t="s">
        <v>1285</v>
      </c>
      <c r="D368">
        <f>(615301.4619*(44/12))/(0.4725284745/0.49)</f>
        <v>2339523.8302131142</v>
      </c>
    </row>
    <row r="369" spans="1:4" x14ac:dyDescent="0.35">
      <c r="A369" t="s">
        <v>123</v>
      </c>
      <c r="B369" t="s">
        <v>862</v>
      </c>
      <c r="C369" t="s">
        <v>1285</v>
      </c>
      <c r="D369">
        <f>(0*(44/12))/(0.4725284745/0.49)</f>
        <v>0</v>
      </c>
    </row>
    <row r="370" spans="1:4" x14ac:dyDescent="0.35">
      <c r="A370" t="s">
        <v>124</v>
      </c>
      <c r="B370" t="s">
        <v>770</v>
      </c>
      <c r="C370" t="s">
        <v>1285</v>
      </c>
      <c r="D370">
        <f>(0*(44/12))/(0.4725284745/0.49)</f>
        <v>0</v>
      </c>
    </row>
    <row r="371" spans="1:4" x14ac:dyDescent="0.35">
      <c r="A371" t="s">
        <v>440</v>
      </c>
      <c r="B371" t="s">
        <v>785</v>
      </c>
      <c r="C371" t="s">
        <v>1285</v>
      </c>
      <c r="D371">
        <f>(577620.2752*(44/12))/(0.4725284745/0.49)</f>
        <v>2196250.9149121479</v>
      </c>
    </row>
    <row r="372" spans="1:4" x14ac:dyDescent="0.35">
      <c r="A372" t="s">
        <v>584</v>
      </c>
      <c r="B372" t="s">
        <v>1143</v>
      </c>
      <c r="C372" t="s">
        <v>1285</v>
      </c>
      <c r="D372">
        <f>(0*(44/12))/(0.4725284745/0.49)</f>
        <v>0</v>
      </c>
    </row>
    <row r="373" spans="1:4" x14ac:dyDescent="0.35">
      <c r="A373" t="s">
        <v>102</v>
      </c>
      <c r="B373" t="s">
        <v>786</v>
      </c>
      <c r="C373" t="s">
        <v>1285</v>
      </c>
      <c r="D373">
        <f>(0*(44/12))/(0.4725284745/0.49)</f>
        <v>0</v>
      </c>
    </row>
    <row r="374" spans="1:4" x14ac:dyDescent="0.35">
      <c r="A374" t="s">
        <v>441</v>
      </c>
      <c r="B374" t="s">
        <v>1038</v>
      </c>
      <c r="C374" t="s">
        <v>1285</v>
      </c>
      <c r="D374">
        <f>(338943.7246*(44/12))/(0.4725284745/0.49)</f>
        <v>1288745.3872680145</v>
      </c>
    </row>
    <row r="375" spans="1:4" x14ac:dyDescent="0.35">
      <c r="A375" t="s">
        <v>442</v>
      </c>
      <c r="B375" t="s">
        <v>1094</v>
      </c>
      <c r="C375" t="s">
        <v>1285</v>
      </c>
      <c r="D375">
        <f>(0*(44/12))/(0.4725284745/0.49)</f>
        <v>0</v>
      </c>
    </row>
    <row r="376" spans="1:4" x14ac:dyDescent="0.35">
      <c r="A376" t="s">
        <v>103</v>
      </c>
      <c r="B376" t="s">
        <v>846</v>
      </c>
      <c r="C376" t="s">
        <v>1285</v>
      </c>
      <c r="D376">
        <f>(0*(44/12))/(0.4725284745/0.49)</f>
        <v>0</v>
      </c>
    </row>
    <row r="377" spans="1:4" x14ac:dyDescent="0.35">
      <c r="A377" t="s">
        <v>409</v>
      </c>
      <c r="B377" t="s">
        <v>1076</v>
      </c>
      <c r="C377" t="s">
        <v>1287</v>
      </c>
      <c r="D377">
        <f>(1028835.464*(44/12))/(0.4725284745/0.49)</f>
        <v>3911879.3541685985</v>
      </c>
    </row>
    <row r="378" spans="1:4" x14ac:dyDescent="0.35">
      <c r="A378" t="s">
        <v>600</v>
      </c>
      <c r="B378" t="s">
        <v>1195</v>
      </c>
      <c r="C378" t="s">
        <v>1287</v>
      </c>
      <c r="D378">
        <f>(336650.0138*(44/12))/(0.4725284745/0.49)</f>
        <v>1280024.1483168721</v>
      </c>
    </row>
    <row r="379" spans="1:4" x14ac:dyDescent="0.35">
      <c r="A379" t="s">
        <v>587</v>
      </c>
      <c r="B379" t="s">
        <v>967</v>
      </c>
      <c r="C379" t="s">
        <v>1287</v>
      </c>
      <c r="D379">
        <f>(0*(44/12))/(0.4725284745/0.49)</f>
        <v>0</v>
      </c>
    </row>
    <row r="380" spans="1:4" x14ac:dyDescent="0.35">
      <c r="A380" t="s">
        <v>38</v>
      </c>
      <c r="B380" t="s">
        <v>787</v>
      </c>
      <c r="C380" t="s">
        <v>1287</v>
      </c>
      <c r="D380">
        <f>(1442177.727*(44/12))/(0.4725284745/0.49)</f>
        <v>5483505.8400485869</v>
      </c>
    </row>
    <row r="381" spans="1:4" x14ac:dyDescent="0.35">
      <c r="A381" t="s">
        <v>148</v>
      </c>
      <c r="B381" t="s">
        <v>882</v>
      </c>
      <c r="C381" t="s">
        <v>1287</v>
      </c>
      <c r="D381">
        <f>(0*(44/12))/(0.4725284745/0.49)</f>
        <v>0</v>
      </c>
    </row>
    <row r="382" spans="1:4" x14ac:dyDescent="0.35">
      <c r="A382" t="s">
        <v>738</v>
      </c>
      <c r="B382" t="s">
        <v>1273</v>
      </c>
      <c r="C382" t="s">
        <v>1287</v>
      </c>
      <c r="D382">
        <f>(0*(44/12))/(0.4725284745/0.49)</f>
        <v>0</v>
      </c>
    </row>
    <row r="383" spans="1:4" x14ac:dyDescent="0.35">
      <c r="A383" t="s">
        <v>149</v>
      </c>
      <c r="B383" t="s">
        <v>883</v>
      </c>
      <c r="C383" t="s">
        <v>1287</v>
      </c>
      <c r="D383">
        <f>(424372.2279*(44/12))/(0.4725284745/0.49)</f>
        <v>1613565.059616317</v>
      </c>
    </row>
    <row r="384" spans="1:4" x14ac:dyDescent="0.35">
      <c r="A384" t="s">
        <v>281</v>
      </c>
      <c r="B384" t="s">
        <v>988</v>
      </c>
      <c r="C384" t="s">
        <v>1287</v>
      </c>
      <c r="D384">
        <f>(1019213.89*(44/12))/(0.4725284745/0.49)</f>
        <v>3875295.8206472415</v>
      </c>
    </row>
    <row r="385" spans="1:4" x14ac:dyDescent="0.35">
      <c r="A385" t="s">
        <v>150</v>
      </c>
      <c r="B385" t="s">
        <v>884</v>
      </c>
      <c r="C385" t="s">
        <v>1287</v>
      </c>
      <c r="D385">
        <f>(1250442.623*(44/12))/(0.4725284745/0.49)</f>
        <v>4754482.9583033575</v>
      </c>
    </row>
    <row r="386" spans="1:4" x14ac:dyDescent="0.35">
      <c r="A386" t="s">
        <v>324</v>
      </c>
      <c r="B386" t="s">
        <v>1014</v>
      </c>
      <c r="C386" t="s">
        <v>1287</v>
      </c>
      <c r="D386">
        <f>(614534.6452*(44/12))/(0.4725284745/0.49)</f>
        <v>2336608.2090840572</v>
      </c>
    </row>
    <row r="387" spans="1:4" x14ac:dyDescent="0.35">
      <c r="A387" t="s">
        <v>276</v>
      </c>
      <c r="B387" t="s">
        <v>984</v>
      </c>
      <c r="C387" t="s">
        <v>1287</v>
      </c>
      <c r="D387">
        <f>(1238.891063*(44/12))/(0.4725284745/0.49)</f>
        <v>4710.5611548142442</v>
      </c>
    </row>
    <row r="388" spans="1:4" x14ac:dyDescent="0.35">
      <c r="A388" t="s">
        <v>151</v>
      </c>
      <c r="B388" t="s">
        <v>885</v>
      </c>
      <c r="C388" t="s">
        <v>1287</v>
      </c>
      <c r="D388">
        <f>(1896.801555*(44/12))/(0.4725284745/0.49)</f>
        <v>7212.0947436152856</v>
      </c>
    </row>
    <row r="389" spans="1:4" x14ac:dyDescent="0.35">
      <c r="A389" t="s">
        <v>536</v>
      </c>
      <c r="B389" t="s">
        <v>1158</v>
      </c>
      <c r="C389" t="s">
        <v>1287</v>
      </c>
      <c r="D389">
        <f>(687511.8034*(44/12))/(0.4725284745/0.49)</f>
        <v>2614084.8790450329</v>
      </c>
    </row>
    <row r="390" spans="1:4" x14ac:dyDescent="0.35">
      <c r="A390" t="s">
        <v>39</v>
      </c>
      <c r="B390" t="s">
        <v>788</v>
      </c>
      <c r="C390" t="s">
        <v>1287</v>
      </c>
      <c r="D390">
        <f>(0*(44/12))/(0.4725284745/0.49)</f>
        <v>0</v>
      </c>
    </row>
    <row r="391" spans="1:4" x14ac:dyDescent="0.35">
      <c r="A391" t="s">
        <v>214</v>
      </c>
      <c r="B391" t="s">
        <v>936</v>
      </c>
      <c r="C391" t="s">
        <v>1287</v>
      </c>
      <c r="D391">
        <f>(2124.756823*(44/12))/(0.4725284745/0.49)</f>
        <v>8078.8353817113011</v>
      </c>
    </row>
    <row r="392" spans="1:4" x14ac:dyDescent="0.35">
      <c r="A392" t="s">
        <v>348</v>
      </c>
      <c r="B392" t="s">
        <v>1033</v>
      </c>
      <c r="C392" t="s">
        <v>1287</v>
      </c>
      <c r="D392">
        <f>(14154.31764*(44/12))/(0.4725284745/0.49)</f>
        <v>53818.112697037046</v>
      </c>
    </row>
    <row r="393" spans="1:4" x14ac:dyDescent="0.35">
      <c r="A393" t="s">
        <v>549</v>
      </c>
      <c r="B393" t="s">
        <v>1166</v>
      </c>
      <c r="C393" t="s">
        <v>1287</v>
      </c>
      <c r="D393">
        <f>(529217.3906*(44/12))/(0.4725284745/0.49)</f>
        <v>2012211.5309927918</v>
      </c>
    </row>
    <row r="394" spans="1:4" x14ac:dyDescent="0.35">
      <c r="A394" t="s">
        <v>537</v>
      </c>
      <c r="B394" t="s">
        <v>1159</v>
      </c>
      <c r="C394" t="s">
        <v>1287</v>
      </c>
      <c r="D394">
        <f>(629253.6644*(44/12))/(0.4725284745/0.49)</f>
        <v>2392573.4526403304</v>
      </c>
    </row>
    <row r="395" spans="1:4" x14ac:dyDescent="0.35">
      <c r="A395" t="s">
        <v>152</v>
      </c>
      <c r="B395" t="s">
        <v>847</v>
      </c>
      <c r="C395" t="s">
        <v>1287</v>
      </c>
      <c r="D395">
        <f>(1619554.301*(44/12))/(0.4725284745/0.49)</f>
        <v>6157934.1446931846</v>
      </c>
    </row>
    <row r="396" spans="1:4" x14ac:dyDescent="0.35">
      <c r="A396" t="s">
        <v>40</v>
      </c>
      <c r="B396" t="s">
        <v>789</v>
      </c>
      <c r="C396" t="s">
        <v>1287</v>
      </c>
      <c r="D396">
        <f>(457.217063*(44/12))/(0.4725284745/0.49)</f>
        <v>1738.4490054119124</v>
      </c>
    </row>
    <row r="397" spans="1:4" x14ac:dyDescent="0.35">
      <c r="A397" t="s">
        <v>591</v>
      </c>
      <c r="B397" t="s">
        <v>1190</v>
      </c>
      <c r="C397" t="s">
        <v>1287</v>
      </c>
      <c r="D397">
        <f>(103283.9669*(44/12))/(0.4725284745/0.49)</f>
        <v>392710.43025859667</v>
      </c>
    </row>
    <row r="398" spans="1:4" x14ac:dyDescent="0.35">
      <c r="A398" t="s">
        <v>153</v>
      </c>
      <c r="B398" t="s">
        <v>886</v>
      </c>
      <c r="C398" t="s">
        <v>1287</v>
      </c>
      <c r="D398">
        <f>(1238.523772*(44/12))/(0.4725284745/0.49)</f>
        <v>4709.1646262825725</v>
      </c>
    </row>
    <row r="399" spans="1:4" x14ac:dyDescent="0.35">
      <c r="A399" t="s">
        <v>683</v>
      </c>
      <c r="B399" t="s">
        <v>1242</v>
      </c>
      <c r="C399" t="s">
        <v>1287</v>
      </c>
      <c r="D399">
        <f>(1081210.176*(44/12))/(0.4725284745/0.49)</f>
        <v>4111020.5790995136</v>
      </c>
    </row>
    <row r="400" spans="1:4" x14ac:dyDescent="0.35">
      <c r="A400" t="s">
        <v>325</v>
      </c>
      <c r="B400" t="s">
        <v>1015</v>
      </c>
      <c r="C400" t="s">
        <v>1287</v>
      </c>
      <c r="D400">
        <f>(1151808.66*(44/12))/(0.4725284745/0.49)</f>
        <v>4379452.9588713702</v>
      </c>
    </row>
    <row r="401" spans="1:4" x14ac:dyDescent="0.35">
      <c r="A401" t="s">
        <v>41</v>
      </c>
      <c r="B401" t="s">
        <v>790</v>
      </c>
      <c r="C401" t="s">
        <v>1287</v>
      </c>
      <c r="D401">
        <f>(344256.5004*(44/12))/(0.4725284745/0.49)</f>
        <v>1308945.8359233756</v>
      </c>
    </row>
    <row r="402" spans="1:4" x14ac:dyDescent="0.35">
      <c r="A402" t="s">
        <v>295</v>
      </c>
      <c r="B402" t="s">
        <v>959</v>
      </c>
      <c r="C402" t="s">
        <v>1287</v>
      </c>
      <c r="D402">
        <f>(844943.9484*(44/12))/(0.4725284745/0.49)</f>
        <v>3212679.6779777971</v>
      </c>
    </row>
    <row r="403" spans="1:4" x14ac:dyDescent="0.35">
      <c r="A403" t="s">
        <v>154</v>
      </c>
      <c r="B403" t="s">
        <v>887</v>
      </c>
      <c r="C403" t="s">
        <v>1287</v>
      </c>
      <c r="D403">
        <f>(67677.64069*(44/12))/(0.4725284745/0.49)</f>
        <v>257326.63250617852</v>
      </c>
    </row>
    <row r="404" spans="1:4" x14ac:dyDescent="0.35">
      <c r="A404" t="s">
        <v>42</v>
      </c>
      <c r="B404" t="s">
        <v>791</v>
      </c>
      <c r="C404" t="s">
        <v>1287</v>
      </c>
      <c r="D404">
        <f>(0*(44/12))/(0.4725284745/0.49)</f>
        <v>0</v>
      </c>
    </row>
    <row r="405" spans="1:4" x14ac:dyDescent="0.35">
      <c r="A405" t="s">
        <v>155</v>
      </c>
      <c r="B405" t="s">
        <v>888</v>
      </c>
      <c r="C405" t="s">
        <v>1287</v>
      </c>
      <c r="D405">
        <f>(1524649.818*(44/12))/(0.4725284745/0.49)</f>
        <v>5797084.5232946901</v>
      </c>
    </row>
    <row r="406" spans="1:4" x14ac:dyDescent="0.35">
      <c r="A406" t="s">
        <v>43</v>
      </c>
      <c r="B406" t="s">
        <v>792</v>
      </c>
      <c r="C406" t="s">
        <v>1287</v>
      </c>
      <c r="D406">
        <f>(252713.5594*(44/12))/(0.4725284745/0.49)</f>
        <v>960877.60397742258</v>
      </c>
    </row>
    <row r="407" spans="1:4" x14ac:dyDescent="0.35">
      <c r="A407" t="s">
        <v>592</v>
      </c>
      <c r="B407" t="s">
        <v>1191</v>
      </c>
      <c r="C407" t="s">
        <v>1287</v>
      </c>
      <c r="D407">
        <f>(1084292.959*(44/12))/(0.4725284745/0.49)</f>
        <v>4122742.0599320233</v>
      </c>
    </row>
    <row r="408" spans="1:4" x14ac:dyDescent="0.35">
      <c r="A408" t="s">
        <v>714</v>
      </c>
      <c r="B408" t="s">
        <v>1261</v>
      </c>
      <c r="C408" t="s">
        <v>1287</v>
      </c>
      <c r="D408">
        <f>(387623.2936*(44/12))/(0.4725284745/0.49)</f>
        <v>1473836.7916803001</v>
      </c>
    </row>
    <row r="409" spans="1:4" x14ac:dyDescent="0.35">
      <c r="A409" t="s">
        <v>156</v>
      </c>
      <c r="B409" t="s">
        <v>889</v>
      </c>
      <c r="C409" t="s">
        <v>1287</v>
      </c>
      <c r="D409">
        <f>(763902.6649*(44/12))/(0.4725284745/0.49)</f>
        <v>2904541.2682398395</v>
      </c>
    </row>
    <row r="410" spans="1:4" x14ac:dyDescent="0.35">
      <c r="A410" t="s">
        <v>641</v>
      </c>
      <c r="B410" t="s">
        <v>1056</v>
      </c>
      <c r="C410" t="s">
        <v>1287</v>
      </c>
      <c r="D410">
        <f>(95015.66127*(44/12))/(0.4725284745/0.49)</f>
        <v>361272.34786376869</v>
      </c>
    </row>
    <row r="411" spans="1:4" x14ac:dyDescent="0.35">
      <c r="A411" t="s">
        <v>44</v>
      </c>
      <c r="B411" t="s">
        <v>793</v>
      </c>
      <c r="C411" t="s">
        <v>1287</v>
      </c>
      <c r="D411">
        <f>(1427470.719*(44/12))/(0.4725284745/0.49)</f>
        <v>5427586.2659573965</v>
      </c>
    </row>
    <row r="412" spans="1:4" x14ac:dyDescent="0.35">
      <c r="A412" t="s">
        <v>611</v>
      </c>
      <c r="B412" t="s">
        <v>1202</v>
      </c>
      <c r="C412" t="s">
        <v>1287</v>
      </c>
      <c r="D412">
        <f>(716438.1855*(44/12))/(0.4725284745/0.49)</f>
        <v>2724069.9261077014</v>
      </c>
    </row>
    <row r="413" spans="1:4" x14ac:dyDescent="0.35">
      <c r="A413" t="s">
        <v>621</v>
      </c>
      <c r="B413" t="s">
        <v>1206</v>
      </c>
      <c r="C413" t="s">
        <v>1287</v>
      </c>
      <c r="D413">
        <f>(1224867.358*(44/12))/(0.4725284745/0.49)</f>
        <v>4657239.6627214607</v>
      </c>
    </row>
    <row r="414" spans="1:4" x14ac:dyDescent="0.35">
      <c r="A414" t="s">
        <v>157</v>
      </c>
      <c r="B414" t="s">
        <v>890</v>
      </c>
      <c r="C414" t="s">
        <v>1287</v>
      </c>
      <c r="D414">
        <f>(0*(44/12))/(0.4725284745/0.49)</f>
        <v>0</v>
      </c>
    </row>
    <row r="415" spans="1:4" x14ac:dyDescent="0.35">
      <c r="A415" t="s">
        <v>739</v>
      </c>
      <c r="B415" t="s">
        <v>1274</v>
      </c>
      <c r="C415" t="s">
        <v>1287</v>
      </c>
      <c r="D415">
        <f>(1201197.059*(44/12))/(0.4725284745/0.49)</f>
        <v>4567239.5050625307</v>
      </c>
    </row>
    <row r="416" spans="1:4" x14ac:dyDescent="0.35">
      <c r="A416" t="s">
        <v>326</v>
      </c>
      <c r="B416" t="s">
        <v>850</v>
      </c>
      <c r="C416" t="s">
        <v>1287</v>
      </c>
      <c r="D416">
        <f>(255574.3397*(44/12))/(0.4725284745/0.49)</f>
        <v>971754.97726398567</v>
      </c>
    </row>
    <row r="417" spans="1:4" x14ac:dyDescent="0.35">
      <c r="A417" t="s">
        <v>564</v>
      </c>
      <c r="B417" t="s">
        <v>1176</v>
      </c>
      <c r="C417" t="s">
        <v>1287</v>
      </c>
      <c r="D417">
        <f>(792943.7367*(44/12))/(0.4725284745/0.49)</f>
        <v>3014962.3930673832</v>
      </c>
    </row>
    <row r="418" spans="1:4" x14ac:dyDescent="0.35">
      <c r="A418" t="s">
        <v>45</v>
      </c>
      <c r="B418" t="s">
        <v>794</v>
      </c>
      <c r="C418" t="s">
        <v>1287</v>
      </c>
      <c r="D418">
        <f>(1103788.316*(44/12))/(0.4725284745/0.49)</f>
        <v>4196868.0861227829</v>
      </c>
    </row>
    <row r="419" spans="1:4" x14ac:dyDescent="0.35">
      <c r="A419" t="s">
        <v>158</v>
      </c>
      <c r="B419" t="s">
        <v>891</v>
      </c>
      <c r="C419" t="s">
        <v>1287</v>
      </c>
      <c r="D419">
        <f>(1243371.658*(44/12))/(0.4725284745/0.49)</f>
        <v>4727597.4523449941</v>
      </c>
    </row>
    <row r="420" spans="1:4" x14ac:dyDescent="0.35">
      <c r="A420" t="s">
        <v>483</v>
      </c>
      <c r="B420" t="s">
        <v>1115</v>
      </c>
      <c r="C420" t="s">
        <v>1287</v>
      </c>
      <c r="D420">
        <f>(0*(44/12))/(0.4725284745/0.49)</f>
        <v>0</v>
      </c>
    </row>
    <row r="421" spans="1:4" x14ac:dyDescent="0.35">
      <c r="A421" t="s">
        <v>159</v>
      </c>
      <c r="B421" t="s">
        <v>892</v>
      </c>
      <c r="C421" t="s">
        <v>1287</v>
      </c>
      <c r="D421">
        <f>(21222.72842*(44/12))/(0.4725284745/0.49)</f>
        <v>80693.906897949972</v>
      </c>
    </row>
    <row r="422" spans="1:4" x14ac:dyDescent="0.35">
      <c r="A422" t="s">
        <v>46</v>
      </c>
      <c r="B422" t="s">
        <v>795</v>
      </c>
      <c r="C422" t="s">
        <v>1287</v>
      </c>
      <c r="D422">
        <f>(510889.3678*(44/12))/(0.4725284745/0.49)</f>
        <v>1942523.9895901058</v>
      </c>
    </row>
    <row r="423" spans="1:4" x14ac:dyDescent="0.35">
      <c r="A423" t="s">
        <v>47</v>
      </c>
      <c r="B423" t="s">
        <v>796</v>
      </c>
      <c r="C423" t="s">
        <v>1287</v>
      </c>
      <c r="D423">
        <f>(564156.7002*(44/12))/(0.4725284745/0.49)</f>
        <v>2145059.1715103085</v>
      </c>
    </row>
    <row r="424" spans="1:4" x14ac:dyDescent="0.35">
      <c r="A424" t="s">
        <v>160</v>
      </c>
      <c r="B424" t="s">
        <v>893</v>
      </c>
      <c r="C424" t="s">
        <v>1287</v>
      </c>
      <c r="D424">
        <f>(5574.775947*(44/12))/(0.4725284745/0.49)</f>
        <v>21196.636094170448</v>
      </c>
    </row>
    <row r="425" spans="1:4" x14ac:dyDescent="0.35">
      <c r="A425" t="s">
        <v>506</v>
      </c>
      <c r="B425" t="s">
        <v>1135</v>
      </c>
      <c r="C425" t="s">
        <v>1287</v>
      </c>
      <c r="D425">
        <f>(469944.762*(44/12))/(0.4725284745/0.49)</f>
        <v>1786842.7716518487</v>
      </c>
    </row>
    <row r="426" spans="1:4" x14ac:dyDescent="0.35">
      <c r="A426" t="s">
        <v>48</v>
      </c>
      <c r="B426" t="s">
        <v>797</v>
      </c>
      <c r="C426" t="s">
        <v>1287</v>
      </c>
      <c r="D426">
        <f>(0*(44/12))/(0.4725284745/0.49)</f>
        <v>0</v>
      </c>
    </row>
    <row r="427" spans="1:4" x14ac:dyDescent="0.35">
      <c r="A427" t="s">
        <v>282</v>
      </c>
      <c r="B427" t="s">
        <v>989</v>
      </c>
      <c r="C427" t="s">
        <v>1287</v>
      </c>
      <c r="D427">
        <f>(1619407.075*(44/12))/(0.4725284745/0.49)</f>
        <v>6157374.3561070124</v>
      </c>
    </row>
    <row r="428" spans="1:4" x14ac:dyDescent="0.35">
      <c r="A428" t="s">
        <v>161</v>
      </c>
      <c r="B428" t="s">
        <v>894</v>
      </c>
      <c r="C428" t="s">
        <v>1287</v>
      </c>
      <c r="D428">
        <f>(224449.2216*(44/12))/(0.4725284745/0.49)</f>
        <v>853409.80823368335</v>
      </c>
    </row>
    <row r="429" spans="1:4" x14ac:dyDescent="0.35">
      <c r="A429" t="s">
        <v>261</v>
      </c>
      <c r="B429" t="s">
        <v>921</v>
      </c>
      <c r="C429" t="s">
        <v>1287</v>
      </c>
      <c r="D429">
        <f>(489139.1348*(44/12))/(0.4725284745/0.49)</f>
        <v>1859824.383678138</v>
      </c>
    </row>
    <row r="430" spans="1:4" x14ac:dyDescent="0.35">
      <c r="A430" t="s">
        <v>277</v>
      </c>
      <c r="B430" t="s">
        <v>985</v>
      </c>
      <c r="C430" t="s">
        <v>1287</v>
      </c>
      <c r="D430">
        <f>(528542.9171*(44/12))/(0.4725284745/0.49)</f>
        <v>2009647.02087246</v>
      </c>
    </row>
    <row r="431" spans="1:4" x14ac:dyDescent="0.35">
      <c r="A431" t="s">
        <v>553</v>
      </c>
      <c r="B431" t="s">
        <v>855</v>
      </c>
      <c r="C431" t="s">
        <v>1287</v>
      </c>
      <c r="D431">
        <f>(659260.1428*(44/12))/(0.4725284745/0.49)</f>
        <v>2506665.2850582162</v>
      </c>
    </row>
    <row r="432" spans="1:4" x14ac:dyDescent="0.35">
      <c r="A432" t="s">
        <v>49</v>
      </c>
      <c r="B432" t="s">
        <v>798</v>
      </c>
      <c r="C432" t="s">
        <v>1287</v>
      </c>
      <c r="D432">
        <f>(5347.162348*(44/12))/(0.4725284745/0.49)</f>
        <v>20331.194563612833</v>
      </c>
    </row>
    <row r="433" spans="1:4" x14ac:dyDescent="0.35">
      <c r="A433" t="s">
        <v>349</v>
      </c>
      <c r="B433" t="s">
        <v>864</v>
      </c>
      <c r="C433" t="s">
        <v>1287</v>
      </c>
      <c r="D433">
        <f>(902.500138*(44/12))/(0.4725284745/0.49)</f>
        <v>3431.5221242961652</v>
      </c>
    </row>
    <row r="434" spans="1:4" x14ac:dyDescent="0.35">
      <c r="A434" t="s">
        <v>162</v>
      </c>
      <c r="B434" t="s">
        <v>756</v>
      </c>
      <c r="C434" t="s">
        <v>1287</v>
      </c>
      <c r="D434">
        <f>(0*(44/12))/(0.4725284745/0.49)</f>
        <v>0</v>
      </c>
    </row>
    <row r="435" spans="1:4" x14ac:dyDescent="0.35">
      <c r="A435" t="s">
        <v>50</v>
      </c>
      <c r="B435" t="s">
        <v>799</v>
      </c>
      <c r="C435" t="s">
        <v>1287</v>
      </c>
      <c r="D435">
        <f>(503721.9228*(44/12))/(0.4725284745/0.49)</f>
        <v>1915271.6435165852</v>
      </c>
    </row>
    <row r="436" spans="1:4" x14ac:dyDescent="0.35">
      <c r="A436" t="s">
        <v>565</v>
      </c>
      <c r="B436" t="s">
        <v>1177</v>
      </c>
      <c r="C436" t="s">
        <v>1287</v>
      </c>
      <c r="D436">
        <f>(458227.6037*(44/12))/(0.4725284745/0.49)</f>
        <v>1742291.3236826181</v>
      </c>
    </row>
    <row r="437" spans="1:4" x14ac:dyDescent="0.35">
      <c r="A437" t="s">
        <v>446</v>
      </c>
      <c r="B437" t="s">
        <v>1077</v>
      </c>
      <c r="C437" t="s">
        <v>1287</v>
      </c>
      <c r="D437">
        <f>(0*(44/12))/(0.4725284745/0.49)</f>
        <v>0</v>
      </c>
    </row>
    <row r="438" spans="1:4" x14ac:dyDescent="0.35">
      <c r="A438" t="s">
        <v>163</v>
      </c>
      <c r="B438" t="s">
        <v>780</v>
      </c>
      <c r="C438" t="s">
        <v>1287</v>
      </c>
      <c r="D438">
        <f>(1218425*(44/12))/(0.4725284745/0.49)</f>
        <v>4632744.2714424888</v>
      </c>
    </row>
    <row r="439" spans="1:4" x14ac:dyDescent="0.35">
      <c r="A439" t="s">
        <v>262</v>
      </c>
      <c r="B439" t="s">
        <v>972</v>
      </c>
      <c r="C439" t="s">
        <v>1287</v>
      </c>
      <c r="D439">
        <f>(1500915.125*(44/12))/(0.4725284745/0.49)</f>
        <v>5706839.5241932301</v>
      </c>
    </row>
    <row r="440" spans="1:4" x14ac:dyDescent="0.35">
      <c r="A440" t="s">
        <v>51</v>
      </c>
      <c r="B440" t="s">
        <v>800</v>
      </c>
      <c r="C440" t="s">
        <v>1287</v>
      </c>
      <c r="D440">
        <f>(1227678.747*(44/12))/(0.4725284745/0.49)</f>
        <v>4667929.2384315347</v>
      </c>
    </row>
    <row r="441" spans="1:4" x14ac:dyDescent="0.35">
      <c r="A441" t="s">
        <v>692</v>
      </c>
      <c r="B441" t="s">
        <v>1249</v>
      </c>
      <c r="C441" t="s">
        <v>1287</v>
      </c>
      <c r="D441">
        <f>(2881.483297*(44/12))/(0.4725284745/0.49)</f>
        <v>10956.091049866809</v>
      </c>
    </row>
    <row r="442" spans="1:4" x14ac:dyDescent="0.35">
      <c r="A442" t="s">
        <v>283</v>
      </c>
      <c r="B442" t="s">
        <v>836</v>
      </c>
      <c r="C442" t="s">
        <v>1287</v>
      </c>
      <c r="D442">
        <f>(816754.3293*(44/12))/(0.4725284745/0.49)</f>
        <v>3105495.9806639119</v>
      </c>
    </row>
    <row r="443" spans="1:4" x14ac:dyDescent="0.35">
      <c r="A443" t="s">
        <v>187</v>
      </c>
      <c r="B443" t="s">
        <v>912</v>
      </c>
      <c r="C443" t="s">
        <v>1287</v>
      </c>
      <c r="D443">
        <f>(615997.9762*(44/12))/(0.4725284745/0.49)</f>
        <v>2342172.1447448274</v>
      </c>
    </row>
    <row r="444" spans="1:4" x14ac:dyDescent="0.35">
      <c r="A444" t="s">
        <v>716</v>
      </c>
      <c r="B444" t="s">
        <v>765</v>
      </c>
      <c r="C444" t="s">
        <v>1287</v>
      </c>
      <c r="D444">
        <f>(793164.4156*(44/12))/(0.4725284745/0.49)</f>
        <v>3015801.4672080181</v>
      </c>
    </row>
    <row r="445" spans="1:4" x14ac:dyDescent="0.35">
      <c r="A445" t="s">
        <v>188</v>
      </c>
      <c r="B445" t="s">
        <v>913</v>
      </c>
      <c r="C445" t="s">
        <v>1287</v>
      </c>
      <c r="D445">
        <f>(0*(44/12))/(0.4725284745/0.49)</f>
        <v>0</v>
      </c>
    </row>
    <row r="446" spans="1:4" x14ac:dyDescent="0.35">
      <c r="A446" t="s">
        <v>296</v>
      </c>
      <c r="B446" t="s">
        <v>999</v>
      </c>
      <c r="C446" t="s">
        <v>1287</v>
      </c>
      <c r="D446">
        <f>(23526.34666*(44/12))/(0.4725284745/0.49)</f>
        <v>89452.816313753516</v>
      </c>
    </row>
    <row r="447" spans="1:4" x14ac:dyDescent="0.35">
      <c r="A447" t="s">
        <v>447</v>
      </c>
      <c r="B447" t="s">
        <v>1098</v>
      </c>
      <c r="C447" t="s">
        <v>1287</v>
      </c>
      <c r="D447">
        <f>(495508.3387*(44/12))/(0.4725284745/0.49)</f>
        <v>1884041.6255119599</v>
      </c>
    </row>
    <row r="448" spans="1:4" x14ac:dyDescent="0.35">
      <c r="A448" t="s">
        <v>544</v>
      </c>
      <c r="B448" t="s">
        <v>1164</v>
      </c>
      <c r="C448" t="s">
        <v>1287</v>
      </c>
      <c r="D448">
        <f>(87960.7252*(44/12))/(0.4725284745/0.49)</f>
        <v>334447.78774420009</v>
      </c>
    </row>
    <row r="449" spans="1:4" x14ac:dyDescent="0.35">
      <c r="A449" t="s">
        <v>278</v>
      </c>
      <c r="B449" t="s">
        <v>986</v>
      </c>
      <c r="C449" t="s">
        <v>1287</v>
      </c>
      <c r="D449">
        <f>(845673.7141*(44/12))/(0.4725284745/0.49)</f>
        <v>3215454.4223126317</v>
      </c>
    </row>
    <row r="450" spans="1:4" x14ac:dyDescent="0.35">
      <c r="A450" t="s">
        <v>327</v>
      </c>
      <c r="B450" t="s">
        <v>1016</v>
      </c>
      <c r="C450" t="s">
        <v>1287</v>
      </c>
      <c r="D450">
        <f>(1368788.745*(44/12))/(0.4725284745/0.49)</f>
        <v>5204463.3171624877</v>
      </c>
    </row>
    <row r="451" spans="1:4" x14ac:dyDescent="0.35">
      <c r="A451" t="s">
        <v>189</v>
      </c>
      <c r="B451" t="s">
        <v>914</v>
      </c>
      <c r="C451" t="s">
        <v>1287</v>
      </c>
      <c r="D451">
        <f>(344741.2099*(44/12))/(0.4725284745/0.49)</f>
        <v>1310788.8177724339</v>
      </c>
    </row>
    <row r="452" spans="1:4" x14ac:dyDescent="0.35">
      <c r="A452" t="s">
        <v>626</v>
      </c>
      <c r="B452" t="s">
        <v>1064</v>
      </c>
      <c r="C452" t="s">
        <v>1287</v>
      </c>
      <c r="D452">
        <f>(2273998.401*(44/12))/(0.4725284745/0.49)</f>
        <v>8646287.6791777331</v>
      </c>
    </row>
    <row r="453" spans="1:4" x14ac:dyDescent="0.35">
      <c r="A453" t="s">
        <v>190</v>
      </c>
      <c r="B453" t="s">
        <v>859</v>
      </c>
      <c r="C453" t="s">
        <v>1287</v>
      </c>
      <c r="D453">
        <f>(1047039.553*(44/12))/(0.4725284745/0.49)</f>
        <v>3981095.6695196289</v>
      </c>
    </row>
    <row r="454" spans="1:4" x14ac:dyDescent="0.35">
      <c r="A454" t="s">
        <v>484</v>
      </c>
      <c r="B454" t="s">
        <v>1121</v>
      </c>
      <c r="C454" t="s">
        <v>1287</v>
      </c>
      <c r="D454">
        <f>(1131569.57*(44/12))/(0.4725284745/0.49)</f>
        <v>4302499.0813190313</v>
      </c>
    </row>
    <row r="455" spans="1:4" x14ac:dyDescent="0.35">
      <c r="A455" t="s">
        <v>624</v>
      </c>
      <c r="B455" t="s">
        <v>909</v>
      </c>
      <c r="C455" t="s">
        <v>1287</v>
      </c>
      <c r="D455">
        <f>(37991.91617*(44/12))/(0.4725284745/0.49)</f>
        <v>144454.38332083693</v>
      </c>
    </row>
    <row r="456" spans="1:4" x14ac:dyDescent="0.35">
      <c r="A456" t="s">
        <v>284</v>
      </c>
      <c r="B456" t="s">
        <v>990</v>
      </c>
      <c r="C456" t="s">
        <v>1287</v>
      </c>
      <c r="D456">
        <f>(1010419.532*(44/12))/(0.4725284745/0.49)</f>
        <v>3841857.5608893451</v>
      </c>
    </row>
    <row r="457" spans="1:4" x14ac:dyDescent="0.35">
      <c r="A457" t="s">
        <v>191</v>
      </c>
      <c r="B457" t="s">
        <v>822</v>
      </c>
      <c r="C457" t="s">
        <v>1287</v>
      </c>
      <c r="D457">
        <f>(1048573.372*(44/12))/(0.4725284745/0.49)</f>
        <v>3986927.6174734873</v>
      </c>
    </row>
    <row r="458" spans="1:4" x14ac:dyDescent="0.35">
      <c r="A458" t="s">
        <v>192</v>
      </c>
      <c r="B458" t="s">
        <v>915</v>
      </c>
      <c r="C458" t="s">
        <v>1287</v>
      </c>
      <c r="D458">
        <f>(1110010.654*(44/12))/(0.4725284745/0.49)</f>
        <v>4220526.9085570564</v>
      </c>
    </row>
    <row r="459" spans="1:4" x14ac:dyDescent="0.35">
      <c r="A459" t="s">
        <v>52</v>
      </c>
      <c r="B459" t="s">
        <v>801</v>
      </c>
      <c r="C459" t="s">
        <v>1287</v>
      </c>
      <c r="D459">
        <f>(839246.783*(44/12))/(0.4725284745/0.49)</f>
        <v>3191017.6878099083</v>
      </c>
    </row>
    <row r="460" spans="1:4" x14ac:dyDescent="0.35">
      <c r="A460" t="s">
        <v>693</v>
      </c>
      <c r="B460" t="s">
        <v>1250</v>
      </c>
      <c r="C460" t="s">
        <v>1287</v>
      </c>
      <c r="D460">
        <f>(1278566.456*(44/12))/(0.4725284745/0.49)</f>
        <v>4861416.5210764101</v>
      </c>
    </row>
    <row r="461" spans="1:4" x14ac:dyDescent="0.35">
      <c r="A461" t="s">
        <v>507</v>
      </c>
      <c r="B461" t="s">
        <v>1136</v>
      </c>
      <c r="C461" t="s">
        <v>1287</v>
      </c>
      <c r="D461">
        <f>(9049.067283*(44/12))/(0.4725284745/0.49)</f>
        <v>34406.725581973369</v>
      </c>
    </row>
    <row r="462" spans="1:4" x14ac:dyDescent="0.35">
      <c r="A462" t="s">
        <v>566</v>
      </c>
      <c r="B462" t="s">
        <v>1075</v>
      </c>
      <c r="C462" t="s">
        <v>1287</v>
      </c>
      <c r="D462">
        <f>(8909.579643*(44/12))/(0.4725284745/0.49)</f>
        <v>33876.360097723584</v>
      </c>
    </row>
    <row r="463" spans="1:4" x14ac:dyDescent="0.35">
      <c r="A463" t="s">
        <v>328</v>
      </c>
      <c r="B463" t="s">
        <v>1017</v>
      </c>
      <c r="C463" t="s">
        <v>1287</v>
      </c>
      <c r="D463">
        <f>(0*(44/12))/(0.4725284745/0.49)</f>
        <v>0</v>
      </c>
    </row>
    <row r="464" spans="1:4" x14ac:dyDescent="0.35">
      <c r="A464" t="s">
        <v>53</v>
      </c>
      <c r="B464" t="s">
        <v>802</v>
      </c>
      <c r="C464" t="s">
        <v>1287</v>
      </c>
      <c r="D464">
        <f>(646.460182*(44/12))/(0.4725284745/0.49)</f>
        <v>2457.9967621118813</v>
      </c>
    </row>
    <row r="465" spans="1:4" x14ac:dyDescent="0.35">
      <c r="A465" t="s">
        <v>193</v>
      </c>
      <c r="B465" t="s">
        <v>916</v>
      </c>
      <c r="C465" t="s">
        <v>1287</v>
      </c>
      <c r="D465">
        <f>(11882.55434*(44/12))/(0.4725284745/0.49)</f>
        <v>45180.323408284537</v>
      </c>
    </row>
    <row r="466" spans="1:4" x14ac:dyDescent="0.35">
      <c r="A466" t="s">
        <v>534</v>
      </c>
      <c r="B466" t="s">
        <v>784</v>
      </c>
      <c r="C466" t="s">
        <v>1287</v>
      </c>
      <c r="D466">
        <f>(1813521.695*(44/12))/(0.4725284745/0.49)</f>
        <v>6895444.7287669918</v>
      </c>
    </row>
    <row r="467" spans="1:4" x14ac:dyDescent="0.35">
      <c r="A467" t="s">
        <v>581</v>
      </c>
      <c r="B467" t="s">
        <v>1185</v>
      </c>
      <c r="C467" t="s">
        <v>1287</v>
      </c>
      <c r="D467">
        <f>(693873.5875*(44/12))/(0.4725284745/0.49)</f>
        <v>2638273.9090185063</v>
      </c>
    </row>
    <row r="468" spans="1:4" x14ac:dyDescent="0.35">
      <c r="A468" t="s">
        <v>285</v>
      </c>
      <c r="B468" t="s">
        <v>991</v>
      </c>
      <c r="C468" t="s">
        <v>1287</v>
      </c>
      <c r="D468">
        <f>(1163257.089*(44/12))/(0.4725284745/0.49)</f>
        <v>4422982.6335470919</v>
      </c>
    </row>
    <row r="469" spans="1:4" x14ac:dyDescent="0.35">
      <c r="A469" t="s">
        <v>550</v>
      </c>
      <c r="B469" t="s">
        <v>862</v>
      </c>
      <c r="C469" t="s">
        <v>1287</v>
      </c>
      <c r="D469">
        <f>(975828.6727*(44/12))/(0.4725284745/0.49)</f>
        <v>3710334.8120403406</v>
      </c>
    </row>
    <row r="470" spans="1:4" x14ac:dyDescent="0.35">
      <c r="A470" t="s">
        <v>551</v>
      </c>
      <c r="B470" t="s">
        <v>770</v>
      </c>
      <c r="C470" t="s">
        <v>1287</v>
      </c>
      <c r="D470">
        <f>(79595.49512*(44/12))/(0.4725284745/0.49)</f>
        <v>302641.17532864853</v>
      </c>
    </row>
    <row r="471" spans="1:4" x14ac:dyDescent="0.35">
      <c r="A471" t="s">
        <v>425</v>
      </c>
      <c r="B471" t="s">
        <v>1084</v>
      </c>
      <c r="C471" t="s">
        <v>1287</v>
      </c>
      <c r="D471">
        <f>(0*(44/12))/(0.4725284745/0.49)</f>
        <v>0</v>
      </c>
    </row>
    <row r="472" spans="1:4" x14ac:dyDescent="0.35">
      <c r="A472" t="s">
        <v>545</v>
      </c>
      <c r="B472" t="s">
        <v>785</v>
      </c>
      <c r="C472" t="s">
        <v>1287</v>
      </c>
      <c r="D472">
        <f>(850893.4969*(44/12))/(0.4725284745/0.49)</f>
        <v>3235301.289263715</v>
      </c>
    </row>
    <row r="473" spans="1:4" x14ac:dyDescent="0.35">
      <c r="A473" t="s">
        <v>279</v>
      </c>
      <c r="B473" t="s">
        <v>826</v>
      </c>
      <c r="C473" t="s">
        <v>1287</v>
      </c>
      <c r="D473">
        <f>(826045.5065*(44/12))/(0.4725284745/0.49)</f>
        <v>3140823.2662565885</v>
      </c>
    </row>
    <row r="474" spans="1:4" x14ac:dyDescent="0.35">
      <c r="A474" t="s">
        <v>625</v>
      </c>
      <c r="B474" t="s">
        <v>955</v>
      </c>
      <c r="C474" t="s">
        <v>1287</v>
      </c>
      <c r="D474">
        <f>(617781.4252*(44/12))/(0.4725284745/0.49)</f>
        <v>2348953.2458697716</v>
      </c>
    </row>
    <row r="475" spans="1:4" x14ac:dyDescent="0.35">
      <c r="A475" t="s">
        <v>554</v>
      </c>
      <c r="B475" t="s">
        <v>1168</v>
      </c>
      <c r="C475" t="s">
        <v>1287</v>
      </c>
      <c r="D475">
        <f>(103502.3021*(44/12))/(0.4725284745/0.49)</f>
        <v>393540.59308934474</v>
      </c>
    </row>
    <row r="476" spans="1:4" x14ac:dyDescent="0.35">
      <c r="A476" t="s">
        <v>54</v>
      </c>
      <c r="B476" t="s">
        <v>803</v>
      </c>
      <c r="C476" t="s">
        <v>1287</v>
      </c>
      <c r="D476">
        <f>(0*(44/12))/(0.4725284745/0.49)</f>
        <v>0</v>
      </c>
    </row>
    <row r="477" spans="1:4" x14ac:dyDescent="0.35">
      <c r="A477" t="s">
        <v>406</v>
      </c>
      <c r="B477" t="s">
        <v>1074</v>
      </c>
      <c r="C477" t="s">
        <v>1290</v>
      </c>
      <c r="D477">
        <f>(960031.6054*(44/12))/(0.4725284745/0.49)</f>
        <v>3650270.5708768172</v>
      </c>
    </row>
    <row r="478" spans="1:4" x14ac:dyDescent="0.35">
      <c r="A478" t="s">
        <v>288</v>
      </c>
      <c r="B478" t="s">
        <v>994</v>
      </c>
      <c r="C478" t="s">
        <v>1290</v>
      </c>
      <c r="D478">
        <f>(2547649.465*(44/12))/(0.4725284745/0.49)</f>
        <v>9686774.7006358784</v>
      </c>
    </row>
    <row r="479" spans="1:4" x14ac:dyDescent="0.35">
      <c r="A479" t="s">
        <v>55</v>
      </c>
      <c r="B479" t="s">
        <v>804</v>
      </c>
      <c r="C479" t="s">
        <v>1290</v>
      </c>
      <c r="D479">
        <f>(746951.7357*(44/12))/(0.4725284745/0.49)</f>
        <v>2840089.7672061874</v>
      </c>
    </row>
    <row r="480" spans="1:4" x14ac:dyDescent="0.35">
      <c r="A480" t="s">
        <v>289</v>
      </c>
      <c r="B480" t="s">
        <v>811</v>
      </c>
      <c r="C480" t="s">
        <v>1290</v>
      </c>
      <c r="D480">
        <f>(1888220.262*(44/12))/(0.4725284745/0.49)</f>
        <v>7179466.6081228927</v>
      </c>
    </row>
    <row r="481" spans="1:4" x14ac:dyDescent="0.35">
      <c r="A481" t="s">
        <v>248</v>
      </c>
      <c r="B481" t="s">
        <v>961</v>
      </c>
      <c r="C481" t="s">
        <v>1290</v>
      </c>
      <c r="D481">
        <f>(740670.6502*(44/12))/(0.4725284745/0.49)</f>
        <v>2816207.5726775415</v>
      </c>
    </row>
    <row r="482" spans="1:4" x14ac:dyDescent="0.35">
      <c r="A482" t="s">
        <v>465</v>
      </c>
      <c r="B482" t="s">
        <v>1109</v>
      </c>
      <c r="C482" t="s">
        <v>1290</v>
      </c>
      <c r="D482">
        <f>(862666.2114*(44/12))/(0.4725284745/0.49)</f>
        <v>3280063.9752388084</v>
      </c>
    </row>
    <row r="483" spans="1:4" x14ac:dyDescent="0.35">
      <c r="A483" t="s">
        <v>731</v>
      </c>
      <c r="B483" t="s">
        <v>883</v>
      </c>
      <c r="C483" t="s">
        <v>1290</v>
      </c>
      <c r="D483">
        <f>(100862.8726*(44/12))/(0.4725284745/0.49)</f>
        <v>383504.84866847249</v>
      </c>
    </row>
    <row r="484" spans="1:4" x14ac:dyDescent="0.35">
      <c r="A484" t="s">
        <v>264</v>
      </c>
      <c r="B484" t="s">
        <v>974</v>
      </c>
      <c r="C484" t="s">
        <v>1290</v>
      </c>
      <c r="D484">
        <f>(717426.8366*(44/12))/(0.4725284745/0.49)</f>
        <v>2727829.0148657132</v>
      </c>
    </row>
    <row r="485" spans="1:4" x14ac:dyDescent="0.35">
      <c r="A485" t="s">
        <v>290</v>
      </c>
      <c r="B485" t="s">
        <v>930</v>
      </c>
      <c r="C485" t="s">
        <v>1290</v>
      </c>
      <c r="D485">
        <f>(560408.3849*(44/12))/(0.4725284745/0.49)</f>
        <v>2130807.1771457512</v>
      </c>
    </row>
    <row r="486" spans="1:4" x14ac:dyDescent="0.35">
      <c r="A486" t="s">
        <v>56</v>
      </c>
      <c r="B486" t="s">
        <v>805</v>
      </c>
      <c r="C486" t="s">
        <v>1290</v>
      </c>
      <c r="D486">
        <f>(405566.683*(44/12))/(0.4725284745/0.49)</f>
        <v>1542061.8645843461</v>
      </c>
    </row>
    <row r="487" spans="1:4" x14ac:dyDescent="0.35">
      <c r="A487" t="s">
        <v>320</v>
      </c>
      <c r="B487" t="s">
        <v>789</v>
      </c>
      <c r="C487" t="s">
        <v>1290</v>
      </c>
      <c r="D487">
        <f>(1321853.576*(44/12))/(0.4725284745/0.49)</f>
        <v>5026004.5402054032</v>
      </c>
    </row>
    <row r="488" spans="1:4" x14ac:dyDescent="0.35">
      <c r="A488" t="s">
        <v>529</v>
      </c>
      <c r="B488" t="s">
        <v>1152</v>
      </c>
      <c r="C488" t="s">
        <v>1290</v>
      </c>
      <c r="D488">
        <f>(1568733.692*(44/12))/(0.4725284745/0.49)</f>
        <v>5964701.9923522789</v>
      </c>
    </row>
    <row r="489" spans="1:4" x14ac:dyDescent="0.35">
      <c r="A489" t="s">
        <v>57</v>
      </c>
      <c r="B489" t="s">
        <v>806</v>
      </c>
      <c r="C489" t="s">
        <v>1290</v>
      </c>
      <c r="D489">
        <f>(2554593.233*(44/12))/(0.4725284745/0.49)</f>
        <v>9713176.5730730221</v>
      </c>
    </row>
    <row r="490" spans="1:4" x14ac:dyDescent="0.35">
      <c r="A490" t="s">
        <v>202</v>
      </c>
      <c r="B490" t="s">
        <v>924</v>
      </c>
      <c r="C490" t="s">
        <v>1290</v>
      </c>
      <c r="D490">
        <f>(811557.379*(44/12))/(0.4725284745/0.49)</f>
        <v>3085735.9283576175</v>
      </c>
    </row>
    <row r="491" spans="1:4" x14ac:dyDescent="0.35">
      <c r="A491" t="s">
        <v>205</v>
      </c>
      <c r="B491" t="s">
        <v>927</v>
      </c>
      <c r="C491" t="s">
        <v>1290</v>
      </c>
      <c r="D491">
        <f>(1610007.462*(44/12))/(0.4725284745/0.49)</f>
        <v>6121634.7715781936</v>
      </c>
    </row>
    <row r="492" spans="1:4" x14ac:dyDescent="0.35">
      <c r="A492" t="s">
        <v>702</v>
      </c>
      <c r="B492" t="s">
        <v>1254</v>
      </c>
      <c r="C492" t="s">
        <v>1290</v>
      </c>
      <c r="D492">
        <f>(589666.2218*(44/12))/(0.4725284745/0.49)</f>
        <v>2242052.4949070206</v>
      </c>
    </row>
    <row r="493" spans="1:4" x14ac:dyDescent="0.35">
      <c r="A493" t="s">
        <v>748</v>
      </c>
      <c r="B493" t="s">
        <v>1280</v>
      </c>
      <c r="C493" t="s">
        <v>1290</v>
      </c>
      <c r="D493">
        <f>(351114.254*(44/12))/(0.4725284745/0.49)</f>
        <v>1335020.6609683016</v>
      </c>
    </row>
    <row r="494" spans="1:4" x14ac:dyDescent="0.35">
      <c r="A494" t="s">
        <v>291</v>
      </c>
      <c r="B494" t="s">
        <v>995</v>
      </c>
      <c r="C494" t="s">
        <v>1290</v>
      </c>
      <c r="D494">
        <f>(871081.9398*(44/12))/(0.4725284745/0.49)</f>
        <v>3312062.5943865739</v>
      </c>
    </row>
    <row r="495" spans="1:4" x14ac:dyDescent="0.35">
      <c r="A495" t="s">
        <v>480</v>
      </c>
      <c r="B495" t="s">
        <v>1119</v>
      </c>
      <c r="C495" t="s">
        <v>1290</v>
      </c>
      <c r="D495">
        <f>(1329355.431*(44/12))/(0.4725284745/0.49)</f>
        <v>5054528.3933571717</v>
      </c>
    </row>
    <row r="496" spans="1:4" x14ac:dyDescent="0.35">
      <c r="A496" t="s">
        <v>496</v>
      </c>
      <c r="B496" t="s">
        <v>1128</v>
      </c>
      <c r="C496" t="s">
        <v>1290</v>
      </c>
      <c r="D496">
        <f>(1570383.581*(44/12))/(0.4725284745/0.49)</f>
        <v>5970975.2663028846</v>
      </c>
    </row>
    <row r="497" spans="1:4" x14ac:dyDescent="0.35">
      <c r="A497" t="s">
        <v>292</v>
      </c>
      <c r="B497" t="s">
        <v>996</v>
      </c>
      <c r="C497" t="s">
        <v>1290</v>
      </c>
      <c r="D497">
        <f>(841760.203*(44/12))/(0.4725284745/0.49)</f>
        <v>3200574.3138695578</v>
      </c>
    </row>
    <row r="498" spans="1:4" x14ac:dyDescent="0.35">
      <c r="A498" t="s">
        <v>58</v>
      </c>
      <c r="B498" t="s">
        <v>807</v>
      </c>
      <c r="C498" t="s">
        <v>1290</v>
      </c>
      <c r="D498">
        <f>(555963.9902*(44/12))/(0.4725284745/0.49)</f>
        <v>2113908.5218436574</v>
      </c>
    </row>
    <row r="499" spans="1:4" x14ac:dyDescent="0.35">
      <c r="A499" t="s">
        <v>293</v>
      </c>
      <c r="B499" t="s">
        <v>997</v>
      </c>
      <c r="C499" t="s">
        <v>1290</v>
      </c>
      <c r="D499">
        <f>(1491592.788*(44/12))/(0.4725284745/0.49)</f>
        <v>5671393.7615626166</v>
      </c>
    </row>
    <row r="500" spans="1:4" x14ac:dyDescent="0.35">
      <c r="A500" t="s">
        <v>203</v>
      </c>
      <c r="B500" t="s">
        <v>925</v>
      </c>
      <c r="C500" t="s">
        <v>1290</v>
      </c>
      <c r="D500">
        <f>(1020174.75*(44/12))/(0.4725284745/0.49)</f>
        <v>3878949.2409732016</v>
      </c>
    </row>
    <row r="501" spans="1:4" x14ac:dyDescent="0.35">
      <c r="A501" t="s">
        <v>707</v>
      </c>
      <c r="B501" t="s">
        <v>1163</v>
      </c>
      <c r="C501" t="s">
        <v>1290</v>
      </c>
      <c r="D501">
        <f>(879914.8005*(44/12))/(0.4725284745/0.49)</f>
        <v>3345647.2506504999</v>
      </c>
    </row>
    <row r="502" spans="1:4" x14ac:dyDescent="0.35">
      <c r="A502" t="s">
        <v>294</v>
      </c>
      <c r="B502" t="s">
        <v>998</v>
      </c>
      <c r="C502" t="s">
        <v>1290</v>
      </c>
      <c r="D502">
        <f>(1559529.407*(44/12))/(0.4725284745/0.49)</f>
        <v>5929705.0917580901</v>
      </c>
    </row>
    <row r="503" spans="1:4" x14ac:dyDescent="0.35">
      <c r="A503" t="s">
        <v>485</v>
      </c>
      <c r="B503" t="s">
        <v>1051</v>
      </c>
      <c r="C503" t="s">
        <v>1290</v>
      </c>
      <c r="D503">
        <f>(886203.0276*(44/12))/(0.4725284745/0.49)</f>
        <v>3369556.5992563264</v>
      </c>
    </row>
    <row r="504" spans="1:4" x14ac:dyDescent="0.35">
      <c r="A504" t="s">
        <v>216</v>
      </c>
      <c r="B504" t="s">
        <v>938</v>
      </c>
      <c r="C504" t="s">
        <v>1290</v>
      </c>
      <c r="D504">
        <f>(1829123.952*(44/12))/(0.4725284745/0.49)</f>
        <v>6954768.2544155335</v>
      </c>
    </row>
    <row r="505" spans="1:4" x14ac:dyDescent="0.35">
      <c r="A505" t="s">
        <v>249</v>
      </c>
      <c r="B505" t="s">
        <v>962</v>
      </c>
      <c r="C505" t="s">
        <v>1290</v>
      </c>
      <c r="D505">
        <f>(1501540.709*(44/12))/(0.4725284745/0.49)</f>
        <v>5709218.1447011046</v>
      </c>
    </row>
    <row r="506" spans="1:4" x14ac:dyDescent="0.35">
      <c r="A506" t="s">
        <v>217</v>
      </c>
      <c r="B506" t="s">
        <v>939</v>
      </c>
      <c r="C506" t="s">
        <v>1290</v>
      </c>
      <c r="D506">
        <f>(1987018.707*(44/12))/(0.4725284745/0.49)</f>
        <v>7555122.0075944858</v>
      </c>
    </row>
    <row r="507" spans="1:4" x14ac:dyDescent="0.35">
      <c r="A507" t="s">
        <v>297</v>
      </c>
      <c r="B507" t="s">
        <v>921</v>
      </c>
      <c r="C507" t="s">
        <v>1290</v>
      </c>
      <c r="D507">
        <f>(548427.7218*(44/12))/(0.4725284745/0.49)</f>
        <v>2085253.8206858896</v>
      </c>
    </row>
    <row r="508" spans="1:4" x14ac:dyDescent="0.35">
      <c r="A508" t="s">
        <v>59</v>
      </c>
      <c r="B508" t="s">
        <v>808</v>
      </c>
      <c r="C508" t="s">
        <v>1290</v>
      </c>
      <c r="D508">
        <f>(1555846.314*(44/12))/(0.4725284745/0.49)</f>
        <v>5915701.0882314555</v>
      </c>
    </row>
    <row r="509" spans="1:4" x14ac:dyDescent="0.35">
      <c r="A509" t="s">
        <v>329</v>
      </c>
      <c r="B509" t="s">
        <v>1018</v>
      </c>
      <c r="C509" t="s">
        <v>1290</v>
      </c>
      <c r="D509">
        <f>(679556.8751*(44/12))/(0.4725284745/0.49)</f>
        <v>2583838.3324692808</v>
      </c>
    </row>
    <row r="510" spans="1:4" x14ac:dyDescent="0.35">
      <c r="A510" t="s">
        <v>265</v>
      </c>
      <c r="B510" t="s">
        <v>975</v>
      </c>
      <c r="C510" t="s">
        <v>1290</v>
      </c>
      <c r="D510">
        <f>(366754.3201*(44/12))/(0.4725284745/0.49)</f>
        <v>1394487.9458892094</v>
      </c>
    </row>
    <row r="511" spans="1:4" x14ac:dyDescent="0.35">
      <c r="A511" t="s">
        <v>218</v>
      </c>
      <c r="B511" t="s">
        <v>940</v>
      </c>
      <c r="C511" t="s">
        <v>1290</v>
      </c>
      <c r="D511">
        <f>(492618.6103*(44/12))/(0.4725284745/0.49)</f>
        <v>1873054.1846016659</v>
      </c>
    </row>
    <row r="512" spans="1:4" x14ac:dyDescent="0.35">
      <c r="A512" t="s">
        <v>206</v>
      </c>
      <c r="B512" t="s">
        <v>928</v>
      </c>
      <c r="C512" t="s">
        <v>1290</v>
      </c>
      <c r="D512">
        <f>(1733418.548*(44/12))/(0.4725284745/0.49)</f>
        <v>6590873.3391543645</v>
      </c>
    </row>
    <row r="513" spans="1:4" x14ac:dyDescent="0.35">
      <c r="A513" t="s">
        <v>219</v>
      </c>
      <c r="B513" t="s">
        <v>933</v>
      </c>
      <c r="C513" t="s">
        <v>1290</v>
      </c>
      <c r="D513">
        <f>(1102033.314*(44/12))/(0.4725284745/0.49)</f>
        <v>4190195.1473191059</v>
      </c>
    </row>
    <row r="514" spans="1:4" x14ac:dyDescent="0.35">
      <c r="A514" t="s">
        <v>730</v>
      </c>
      <c r="B514" t="s">
        <v>1269</v>
      </c>
      <c r="C514" t="s">
        <v>1290</v>
      </c>
      <c r="D514">
        <f>(1795663.33*(44/12))/(0.4725284745/0.49)</f>
        <v>6827542.9390375642</v>
      </c>
    </row>
    <row r="515" spans="1:4" x14ac:dyDescent="0.35">
      <c r="A515" t="s">
        <v>60</v>
      </c>
      <c r="B515" t="s">
        <v>809</v>
      </c>
      <c r="C515" t="s">
        <v>1290</v>
      </c>
      <c r="D515">
        <f>(1262069.027*(44/12))/(0.4725284745/0.49)</f>
        <v>4798689.3366429992</v>
      </c>
    </row>
    <row r="516" spans="1:4" x14ac:dyDescent="0.35">
      <c r="A516" t="s">
        <v>694</v>
      </c>
      <c r="B516" t="s">
        <v>1251</v>
      </c>
      <c r="C516" t="s">
        <v>1290</v>
      </c>
      <c r="D516">
        <f>(1292546.344*(44/12))/(0.4725284745/0.49)</f>
        <v>4914571.4104191335</v>
      </c>
    </row>
    <row r="517" spans="1:4" x14ac:dyDescent="0.35">
      <c r="A517" t="s">
        <v>416</v>
      </c>
      <c r="B517" t="s">
        <v>1080</v>
      </c>
      <c r="C517" t="s">
        <v>1290</v>
      </c>
      <c r="D517">
        <f>(1182175.233*(44/12))/(0.4725284745/0.49)</f>
        <v>4494913.9573809952</v>
      </c>
    </row>
    <row r="518" spans="1:4" x14ac:dyDescent="0.35">
      <c r="A518" t="s">
        <v>220</v>
      </c>
      <c r="B518" t="s">
        <v>941</v>
      </c>
      <c r="C518" t="s">
        <v>1290</v>
      </c>
      <c r="D518">
        <f>(1101650.246*(44/12))/(0.4725284745/0.49)</f>
        <v>4188738.6308469609</v>
      </c>
    </row>
    <row r="519" spans="1:4" x14ac:dyDescent="0.35">
      <c r="A519" t="s">
        <v>547</v>
      </c>
      <c r="B519" t="s">
        <v>868</v>
      </c>
      <c r="C519" t="s">
        <v>1290</v>
      </c>
      <c r="D519">
        <f>(785022.9672*(44/12))/(0.4725284745/0.49)</f>
        <v>2984845.7264473271</v>
      </c>
    </row>
    <row r="520" spans="1:4" x14ac:dyDescent="0.35">
      <c r="A520" t="s">
        <v>250</v>
      </c>
      <c r="B520" t="s">
        <v>784</v>
      </c>
      <c r="C520" t="s">
        <v>1290</v>
      </c>
      <c r="D520">
        <f>(1409512.691*(44/12))/(0.4725284745/0.49)</f>
        <v>5359305.5335828941</v>
      </c>
    </row>
    <row r="521" spans="1:4" x14ac:dyDescent="0.35">
      <c r="A521" t="s">
        <v>221</v>
      </c>
      <c r="B521" t="s">
        <v>942</v>
      </c>
      <c r="C521" t="s">
        <v>1290</v>
      </c>
      <c r="D521">
        <f>(948338.7144*(44/12))/(0.4725284745/0.49)</f>
        <v>3605811.3930063276</v>
      </c>
    </row>
    <row r="522" spans="1:4" x14ac:dyDescent="0.35">
      <c r="A522" t="s">
        <v>61</v>
      </c>
      <c r="B522" t="s">
        <v>810</v>
      </c>
      <c r="C522" t="s">
        <v>1290</v>
      </c>
      <c r="D522">
        <f>(1677411.612*(44/12))/(0.4725284745/0.49)</f>
        <v>6377921.5268433513</v>
      </c>
    </row>
    <row r="523" spans="1:4" x14ac:dyDescent="0.35">
      <c r="A523" t="s">
        <v>62</v>
      </c>
      <c r="B523" t="s">
        <v>811</v>
      </c>
      <c r="C523" t="s">
        <v>1291</v>
      </c>
      <c r="D523">
        <f>(104741.1767*(44/12))/(0.4725284745/0.49)</f>
        <v>398251.09164788184</v>
      </c>
    </row>
    <row r="524" spans="1:4" x14ac:dyDescent="0.35">
      <c r="A524" t="s">
        <v>63</v>
      </c>
      <c r="B524" t="s">
        <v>812</v>
      </c>
      <c r="C524" t="s">
        <v>1291</v>
      </c>
      <c r="D524">
        <f>(12.960948*(44/12))/(0.4725284745/0.49)</f>
        <v>49.280634917589495</v>
      </c>
    </row>
    <row r="525" spans="1:4" x14ac:dyDescent="0.35">
      <c r="A525" t="s">
        <v>64</v>
      </c>
      <c r="B525" t="s">
        <v>813</v>
      </c>
      <c r="C525" t="s">
        <v>1291</v>
      </c>
      <c r="D525">
        <f>(16781.82656*(44/12))/(0.4725284745/0.49)</f>
        <v>63808.532211815596</v>
      </c>
    </row>
    <row r="526" spans="1:4" x14ac:dyDescent="0.35">
      <c r="A526" t="s">
        <v>655</v>
      </c>
      <c r="B526" t="s">
        <v>1224</v>
      </c>
      <c r="C526" t="s">
        <v>1291</v>
      </c>
      <c r="D526">
        <f>(220703.1681*(44/12))/(0.4725284745/0.49)</f>
        <v>839166.41377555754</v>
      </c>
    </row>
    <row r="527" spans="1:4" x14ac:dyDescent="0.35">
      <c r="A527" t="s">
        <v>266</v>
      </c>
      <c r="B527" t="s">
        <v>976</v>
      </c>
      <c r="C527" t="s">
        <v>1291</v>
      </c>
      <c r="D527">
        <f>(287194.1637*(44/12))/(0.4725284745/0.49)</f>
        <v>1091981.1368552772</v>
      </c>
    </row>
    <row r="528" spans="1:4" x14ac:dyDescent="0.35">
      <c r="A528" t="s">
        <v>659</v>
      </c>
      <c r="B528" t="s">
        <v>1226</v>
      </c>
      <c r="C528" t="s">
        <v>1291</v>
      </c>
      <c r="D528">
        <f>(289387.5106*(44/12))/(0.4725284745/0.49)</f>
        <v>1100320.7681713297</v>
      </c>
    </row>
    <row r="529" spans="1:4" x14ac:dyDescent="0.35">
      <c r="A529" t="s">
        <v>239</v>
      </c>
      <c r="B529" t="s">
        <v>956</v>
      </c>
      <c r="C529" t="s">
        <v>1291</v>
      </c>
      <c r="D529">
        <f>(22890.41572*(44/12))/(0.4725284745/0.49)</f>
        <v>87034.854256738909</v>
      </c>
    </row>
    <row r="530" spans="1:4" x14ac:dyDescent="0.35">
      <c r="A530" t="s">
        <v>696</v>
      </c>
      <c r="B530" t="s">
        <v>1252</v>
      </c>
      <c r="C530" t="s">
        <v>1291</v>
      </c>
      <c r="D530">
        <f>(21449.02858*(44/12))/(0.4725284745/0.49)</f>
        <v>81554.354418204821</v>
      </c>
    </row>
    <row r="531" spans="1:4" x14ac:dyDescent="0.35">
      <c r="A531" t="s">
        <v>678</v>
      </c>
      <c r="B531" t="s">
        <v>1172</v>
      </c>
      <c r="C531" t="s">
        <v>1291</v>
      </c>
      <c r="D531">
        <f>(1571.521009*(44/12))/(0.4725284745/0.49)</f>
        <v>5975.3000405410839</v>
      </c>
    </row>
    <row r="532" spans="1:4" x14ac:dyDescent="0.35">
      <c r="A532" t="s">
        <v>65</v>
      </c>
      <c r="B532" t="s">
        <v>814</v>
      </c>
      <c r="C532" t="s">
        <v>1291</v>
      </c>
      <c r="D532">
        <f>(46377.3581*(44/12))/(0.4725284745/0.49)</f>
        <v>176337.84604092324</v>
      </c>
    </row>
    <row r="533" spans="1:4" x14ac:dyDescent="0.35">
      <c r="A533" t="s">
        <v>240</v>
      </c>
      <c r="B533" t="s">
        <v>957</v>
      </c>
      <c r="C533" t="s">
        <v>1291</v>
      </c>
      <c r="D533">
        <f>(18795.58436*(44/12))/(0.4725284745/0.49)</f>
        <v>71465.322668366149</v>
      </c>
    </row>
    <row r="534" spans="1:4" x14ac:dyDescent="0.35">
      <c r="A534" t="s">
        <v>614</v>
      </c>
      <c r="B534" t="s">
        <v>1152</v>
      </c>
      <c r="C534" t="s">
        <v>1291</v>
      </c>
      <c r="D534">
        <f>(95521.34454*(44/12))/(0.4725284745/0.49)</f>
        <v>363195.07702006219</v>
      </c>
    </row>
    <row r="535" spans="1:4" x14ac:dyDescent="0.35">
      <c r="A535" t="s">
        <v>251</v>
      </c>
      <c r="B535" t="s">
        <v>963</v>
      </c>
      <c r="C535" t="s">
        <v>1291</v>
      </c>
      <c r="D535">
        <f>(64348.97333*(44/12))/(0.4725284745/0.49)</f>
        <v>244670.24032481521</v>
      </c>
    </row>
    <row r="536" spans="1:4" x14ac:dyDescent="0.35">
      <c r="A536" t="s">
        <v>608</v>
      </c>
      <c r="B536" t="s">
        <v>886</v>
      </c>
      <c r="C536" t="s">
        <v>1291</v>
      </c>
      <c r="D536">
        <f>(1972.776786*(44/12))/(0.4725284745/0.49)</f>
        <v>7500.9708058979622</v>
      </c>
    </row>
    <row r="537" spans="1:4" x14ac:dyDescent="0.35">
      <c r="A537" t="s">
        <v>66</v>
      </c>
      <c r="B537" t="s">
        <v>815</v>
      </c>
      <c r="C537" t="s">
        <v>1291</v>
      </c>
      <c r="D537">
        <f>(451247.9373*(44/12))/(0.4725284745/0.49)</f>
        <v>1715752.9569130756</v>
      </c>
    </row>
    <row r="538" spans="1:4" x14ac:dyDescent="0.35">
      <c r="A538" t="s">
        <v>241</v>
      </c>
      <c r="B538" t="s">
        <v>958</v>
      </c>
      <c r="C538" t="s">
        <v>1291</v>
      </c>
      <c r="D538">
        <f>(40330.09616*(44/12))/(0.4725284745/0.49)</f>
        <v>153344.70480494469</v>
      </c>
    </row>
    <row r="539" spans="1:4" x14ac:dyDescent="0.35">
      <c r="A539" t="s">
        <v>734</v>
      </c>
      <c r="B539" t="s">
        <v>1271</v>
      </c>
      <c r="C539" t="s">
        <v>1291</v>
      </c>
      <c r="D539">
        <f>(15016.28252*(44/12))/(0.4725284745/0.49)</f>
        <v>57095.510041973845</v>
      </c>
    </row>
    <row r="540" spans="1:4" x14ac:dyDescent="0.35">
      <c r="A540" t="s">
        <v>242</v>
      </c>
      <c r="B540" t="s">
        <v>959</v>
      </c>
      <c r="C540" t="s">
        <v>1291</v>
      </c>
      <c r="D540">
        <f>(24528.2006*(44/12))/(0.4725284745/0.49)</f>
        <v>93262.105438120692</v>
      </c>
    </row>
    <row r="541" spans="1:4" x14ac:dyDescent="0.35">
      <c r="A541" t="s">
        <v>243</v>
      </c>
      <c r="B541" t="s">
        <v>888</v>
      </c>
      <c r="C541" t="s">
        <v>1291</v>
      </c>
      <c r="D541">
        <f>(13801.90206*(44/12))/(0.4725284745/0.49)</f>
        <v>52478.144082299099</v>
      </c>
    </row>
    <row r="542" spans="1:4" x14ac:dyDescent="0.35">
      <c r="A542" t="s">
        <v>449</v>
      </c>
      <c r="B542" t="s">
        <v>1100</v>
      </c>
      <c r="C542" t="s">
        <v>1291</v>
      </c>
      <c r="D542">
        <f>(99240.88094*(44/12))/(0.4725284745/0.49)</f>
        <v>377337.64709989622</v>
      </c>
    </row>
    <row r="543" spans="1:4" x14ac:dyDescent="0.35">
      <c r="A543" t="s">
        <v>244</v>
      </c>
      <c r="B543" t="s">
        <v>863</v>
      </c>
      <c r="C543" t="s">
        <v>1291</v>
      </c>
      <c r="D543">
        <f>(20687.8827*(44/12))/(0.4725284745/0.49)</f>
        <v>78660.295107781887</v>
      </c>
    </row>
    <row r="544" spans="1:4" x14ac:dyDescent="0.35">
      <c r="A544" t="s">
        <v>528</v>
      </c>
      <c r="B544" t="s">
        <v>1151</v>
      </c>
      <c r="C544" t="s">
        <v>1291</v>
      </c>
      <c r="D544">
        <f>(20286.1938*(44/12))/(0.4725284745/0.49)</f>
        <v>77132.977504829716</v>
      </c>
    </row>
    <row r="545" spans="1:4" x14ac:dyDescent="0.35">
      <c r="A545" t="s">
        <v>298</v>
      </c>
      <c r="B545" t="s">
        <v>1000</v>
      </c>
      <c r="C545" t="s">
        <v>1291</v>
      </c>
      <c r="D545">
        <f>(129114.5771*(44/12))/(0.4725284745/0.49)</f>
        <v>490924.60957362538</v>
      </c>
    </row>
    <row r="546" spans="1:4" x14ac:dyDescent="0.35">
      <c r="A546" t="s">
        <v>609</v>
      </c>
      <c r="B546" t="s">
        <v>1045</v>
      </c>
      <c r="C546" t="s">
        <v>1291</v>
      </c>
      <c r="D546">
        <f>(0*(44/12))/(0.4725284745/0.49)</f>
        <v>0</v>
      </c>
    </row>
    <row r="547" spans="1:4" x14ac:dyDescent="0.35">
      <c r="A547" t="s">
        <v>67</v>
      </c>
      <c r="B547" t="s">
        <v>816</v>
      </c>
      <c r="C547" t="s">
        <v>1291</v>
      </c>
      <c r="D547">
        <f>(0*(44/12))/(0.4725284745/0.49)</f>
        <v>0</v>
      </c>
    </row>
    <row r="548" spans="1:4" x14ac:dyDescent="0.35">
      <c r="A548" t="s">
        <v>665</v>
      </c>
      <c r="B548" t="s">
        <v>793</v>
      </c>
      <c r="C548" t="s">
        <v>1291</v>
      </c>
      <c r="D548">
        <f>(51348.79265*(44/12))/(0.4725284745/0.49)</f>
        <v>195240.43334204052</v>
      </c>
    </row>
    <row r="549" spans="1:4" x14ac:dyDescent="0.35">
      <c r="A549" t="s">
        <v>252</v>
      </c>
      <c r="B549" t="s">
        <v>964</v>
      </c>
      <c r="C549" t="s">
        <v>1291</v>
      </c>
      <c r="D549">
        <f>(400.063741*(44/12))/(0.4725284745/0.49)</f>
        <v>1521.138358396784</v>
      </c>
    </row>
    <row r="550" spans="1:4" x14ac:dyDescent="0.35">
      <c r="A550" t="s">
        <v>330</v>
      </c>
      <c r="B550" t="s">
        <v>1019</v>
      </c>
      <c r="C550" t="s">
        <v>1291</v>
      </c>
      <c r="D550">
        <f>(8936.502295*(44/12))/(0.4725284745/0.49)</f>
        <v>33978.726482051752</v>
      </c>
    </row>
    <row r="551" spans="1:4" x14ac:dyDescent="0.35">
      <c r="A551" t="s">
        <v>212</v>
      </c>
      <c r="B551" t="s">
        <v>934</v>
      </c>
      <c r="C551" t="s">
        <v>1291</v>
      </c>
      <c r="D551">
        <f>(320472.6314*(44/12))/(0.4725284745/0.49)</f>
        <v>1218513.8578676984</v>
      </c>
    </row>
    <row r="552" spans="1:4" x14ac:dyDescent="0.35">
      <c r="A552" t="s">
        <v>699</v>
      </c>
      <c r="B552" t="s">
        <v>850</v>
      </c>
      <c r="C552" t="s">
        <v>1291</v>
      </c>
      <c r="D552">
        <f>(450355.0546*(44/12))/(0.4725284745/0.49)</f>
        <v>1712358.0025962363</v>
      </c>
    </row>
    <row r="553" spans="1:4" x14ac:dyDescent="0.35">
      <c r="A553" t="s">
        <v>601</v>
      </c>
      <c r="B553" t="s">
        <v>1196</v>
      </c>
      <c r="C553" t="s">
        <v>1291</v>
      </c>
      <c r="D553">
        <f>(0*(44/12))/(0.4725284745/0.49)</f>
        <v>0</v>
      </c>
    </row>
    <row r="554" spans="1:4" x14ac:dyDescent="0.35">
      <c r="A554" t="s">
        <v>68</v>
      </c>
      <c r="B554" t="s">
        <v>817</v>
      </c>
      <c r="C554" t="s">
        <v>1291</v>
      </c>
      <c r="D554">
        <f>(151563.8068*(44/12))/(0.4725284745/0.49)</f>
        <v>576281.96869788133</v>
      </c>
    </row>
    <row r="555" spans="1:4" x14ac:dyDescent="0.35">
      <c r="A555" t="s">
        <v>245</v>
      </c>
      <c r="B555" t="s">
        <v>919</v>
      </c>
      <c r="C555" t="s">
        <v>1291</v>
      </c>
      <c r="D555">
        <f>(398617.0693*(44/12))/(0.4725284745/0.49)</f>
        <v>1515637.7653928378</v>
      </c>
    </row>
    <row r="556" spans="1:4" x14ac:dyDescent="0.35">
      <c r="A556" t="s">
        <v>733</v>
      </c>
      <c r="B556" t="s">
        <v>775</v>
      </c>
      <c r="C556" t="s">
        <v>1291</v>
      </c>
      <c r="D556">
        <f>(169289.7709*(44/12))/(0.4725284745/0.49)</f>
        <v>643680.33842935448</v>
      </c>
    </row>
    <row r="557" spans="1:4" x14ac:dyDescent="0.35">
      <c r="A557" t="s">
        <v>602</v>
      </c>
      <c r="B557" t="s">
        <v>1197</v>
      </c>
      <c r="C557" t="s">
        <v>1291</v>
      </c>
      <c r="D557">
        <f>(0*(44/12))/(0.4725284745/0.49)</f>
        <v>0</v>
      </c>
    </row>
    <row r="558" spans="1:4" x14ac:dyDescent="0.35">
      <c r="A558" t="s">
        <v>603</v>
      </c>
      <c r="B558" t="s">
        <v>1198</v>
      </c>
      <c r="C558" t="s">
        <v>1291</v>
      </c>
      <c r="D558">
        <f>(4992.405936*(44/12))/(0.4725284745/0.49)</f>
        <v>18982.32554381228</v>
      </c>
    </row>
    <row r="559" spans="1:4" x14ac:dyDescent="0.35">
      <c r="A559" t="s">
        <v>69</v>
      </c>
      <c r="B559" t="s">
        <v>818</v>
      </c>
      <c r="C559" t="s">
        <v>1291</v>
      </c>
      <c r="D559">
        <f>(198347.8544*(44/12))/(0.4725284745/0.49)</f>
        <v>754166.1458230986</v>
      </c>
    </row>
    <row r="560" spans="1:4" x14ac:dyDescent="0.35">
      <c r="A560" t="s">
        <v>474</v>
      </c>
      <c r="B560" t="s">
        <v>1115</v>
      </c>
      <c r="C560" t="s">
        <v>1291</v>
      </c>
      <c r="D560">
        <f>(20668.69199*(44/12))/(0.4725284745/0.49)</f>
        <v>78587.327422600283</v>
      </c>
    </row>
    <row r="561" spans="1:4" x14ac:dyDescent="0.35">
      <c r="A561" t="s">
        <v>737</v>
      </c>
      <c r="B561" t="s">
        <v>892</v>
      </c>
      <c r="C561" t="s">
        <v>1291</v>
      </c>
      <c r="D561">
        <f>(2449.695966*(44/12))/(0.4725284745/0.49)</f>
        <v>9314.3319886429399</v>
      </c>
    </row>
    <row r="562" spans="1:4" x14ac:dyDescent="0.35">
      <c r="A562" t="s">
        <v>725</v>
      </c>
      <c r="B562" t="s">
        <v>969</v>
      </c>
      <c r="C562" t="s">
        <v>1291</v>
      </c>
      <c r="D562">
        <f>(60587.19685*(44/12))/(0.4725284745/0.49)</f>
        <v>230367.06332322129</v>
      </c>
    </row>
    <row r="563" spans="1:4" x14ac:dyDescent="0.35">
      <c r="A563" t="s">
        <v>70</v>
      </c>
      <c r="B563" t="s">
        <v>819</v>
      </c>
      <c r="C563" t="s">
        <v>1291</v>
      </c>
      <c r="D563">
        <f>(6023.223607*(44/12))/(0.4725284745/0.49)</f>
        <v>22901.741724723648</v>
      </c>
    </row>
    <row r="564" spans="1:4" x14ac:dyDescent="0.35">
      <c r="A564" t="s">
        <v>616</v>
      </c>
      <c r="B564" t="s">
        <v>1204</v>
      </c>
      <c r="C564" t="s">
        <v>1291</v>
      </c>
      <c r="D564">
        <f>(17962.51694*(44/12))/(0.4725284745/0.49)</f>
        <v>68297.800401726548</v>
      </c>
    </row>
    <row r="565" spans="1:4" x14ac:dyDescent="0.35">
      <c r="A565" t="s">
        <v>331</v>
      </c>
      <c r="B565" t="s">
        <v>1012</v>
      </c>
      <c r="C565" t="s">
        <v>1291</v>
      </c>
      <c r="D565">
        <f>(39821.90854*(44/12))/(0.4725284745/0.49)</f>
        <v>151412.45350890839</v>
      </c>
    </row>
    <row r="566" spans="1:4" x14ac:dyDescent="0.35">
      <c r="A566" t="s">
        <v>413</v>
      </c>
      <c r="B566" t="s">
        <v>797</v>
      </c>
      <c r="C566" t="s">
        <v>1291</v>
      </c>
      <c r="D566">
        <f>(2380.745216*(44/12))/(0.4725284745/0.49)</f>
        <v>9052.1646889944877</v>
      </c>
    </row>
    <row r="567" spans="1:4" x14ac:dyDescent="0.35">
      <c r="A567" t="s">
        <v>246</v>
      </c>
      <c r="B567" t="s">
        <v>763</v>
      </c>
      <c r="C567" t="s">
        <v>1291</v>
      </c>
      <c r="D567">
        <f>(406326.9869*(44/12))/(0.4725284745/0.49)</f>
        <v>1544952.7224847341</v>
      </c>
    </row>
    <row r="568" spans="1:4" x14ac:dyDescent="0.35">
      <c r="A568" t="s">
        <v>215</v>
      </c>
      <c r="B568" t="s">
        <v>937</v>
      </c>
      <c r="C568" t="s">
        <v>1291</v>
      </c>
      <c r="D568">
        <f>(0*(44/12))/(0.4725284745/0.49)</f>
        <v>0</v>
      </c>
    </row>
    <row r="569" spans="1:4" x14ac:dyDescent="0.35">
      <c r="A569" t="s">
        <v>350</v>
      </c>
      <c r="B569" t="s">
        <v>1034</v>
      </c>
      <c r="C569" t="s">
        <v>1291</v>
      </c>
      <c r="D569">
        <f>(279709.9956*(44/12))/(0.4725284745/0.49)</f>
        <v>1063524.5335421581</v>
      </c>
    </row>
    <row r="570" spans="1:4" x14ac:dyDescent="0.35">
      <c r="A570" t="s">
        <v>596</v>
      </c>
      <c r="B570" t="s">
        <v>931</v>
      </c>
      <c r="C570" t="s">
        <v>1291</v>
      </c>
      <c r="D570">
        <f>(0*(44/12))/(0.4725284745/0.49)</f>
        <v>0</v>
      </c>
    </row>
    <row r="571" spans="1:4" x14ac:dyDescent="0.35">
      <c r="A571" t="s">
        <v>71</v>
      </c>
      <c r="B571" t="s">
        <v>820</v>
      </c>
      <c r="C571" t="s">
        <v>1291</v>
      </c>
      <c r="D571">
        <f>(4715.922929*(44/12))/(0.4725284745/0.49)</f>
        <v>17931.07079540311</v>
      </c>
    </row>
    <row r="572" spans="1:4" x14ac:dyDescent="0.35">
      <c r="A572" t="s">
        <v>597</v>
      </c>
      <c r="B572" t="s">
        <v>1193</v>
      </c>
      <c r="C572" t="s">
        <v>1291</v>
      </c>
      <c r="D572">
        <f>(14075.09108*(44/12))/(0.4725284745/0.49)</f>
        <v>53516.8743015789</v>
      </c>
    </row>
    <row r="573" spans="1:4" x14ac:dyDescent="0.35">
      <c r="A573" t="s">
        <v>412</v>
      </c>
      <c r="B573" t="s">
        <v>1078</v>
      </c>
      <c r="C573" t="s">
        <v>1291</v>
      </c>
      <c r="D573">
        <f>(15937.54471*(44/12))/(0.4725284745/0.49)</f>
        <v>60598.3699908579</v>
      </c>
    </row>
    <row r="574" spans="1:4" x14ac:dyDescent="0.35">
      <c r="A574" t="s">
        <v>606</v>
      </c>
      <c r="B574" t="s">
        <v>855</v>
      </c>
      <c r="C574" t="s">
        <v>1291</v>
      </c>
      <c r="D574">
        <f>(37612.5049*(44/12))/(0.4725284745/0.49)</f>
        <v>143011.77061376575</v>
      </c>
    </row>
    <row r="575" spans="1:4" x14ac:dyDescent="0.35">
      <c r="A575" t="s">
        <v>343</v>
      </c>
      <c r="B575" t="s">
        <v>1028</v>
      </c>
      <c r="C575" t="s">
        <v>1291</v>
      </c>
      <c r="D575">
        <f>(259353.8351*(44/12))/(0.4725284745/0.49)</f>
        <v>986125.52585195214</v>
      </c>
    </row>
    <row r="576" spans="1:4" x14ac:dyDescent="0.35">
      <c r="A576" t="s">
        <v>228</v>
      </c>
      <c r="B576" t="s">
        <v>948</v>
      </c>
      <c r="C576" t="s">
        <v>1291</v>
      </c>
      <c r="D576">
        <f>(622075.6688*(44/12))/(0.4725284745/0.49)</f>
        <v>2365280.9906534706</v>
      </c>
    </row>
    <row r="577" spans="1:4" x14ac:dyDescent="0.35">
      <c r="A577" t="s">
        <v>515</v>
      </c>
      <c r="B577" t="s">
        <v>1144</v>
      </c>
      <c r="C577" t="s">
        <v>1291</v>
      </c>
      <c r="D577">
        <f>(918479.1544*(44/12))/(0.4725284745/0.49)</f>
        <v>3492278.1796055897</v>
      </c>
    </row>
    <row r="578" spans="1:4" x14ac:dyDescent="0.35">
      <c r="A578" t="s">
        <v>712</v>
      </c>
      <c r="B578" t="s">
        <v>864</v>
      </c>
      <c r="C578" t="s">
        <v>1291</v>
      </c>
      <c r="D578">
        <f>(33684.89987*(44/12))/(0.4725284745/0.49)</f>
        <v>128078.07366629571</v>
      </c>
    </row>
    <row r="579" spans="1:4" x14ac:dyDescent="0.35">
      <c r="A579" t="s">
        <v>516</v>
      </c>
      <c r="B579" t="s">
        <v>756</v>
      </c>
      <c r="C579" t="s">
        <v>1291</v>
      </c>
      <c r="D579">
        <f>(200623.1877*(44/12))/(0.4725284745/0.49)</f>
        <v>762817.50910864945</v>
      </c>
    </row>
    <row r="580" spans="1:4" x14ac:dyDescent="0.35">
      <c r="A580" t="s">
        <v>402</v>
      </c>
      <c r="B580" t="s">
        <v>975</v>
      </c>
      <c r="C580" t="s">
        <v>1291</v>
      </c>
      <c r="D580">
        <f>(122383.2495*(44/12))/(0.4725284745/0.49)</f>
        <v>465330.48652288149</v>
      </c>
    </row>
    <row r="581" spans="1:4" x14ac:dyDescent="0.35">
      <c r="A581" t="s">
        <v>229</v>
      </c>
      <c r="B581" t="s">
        <v>866</v>
      </c>
      <c r="C581" t="s">
        <v>1291</v>
      </c>
      <c r="D581">
        <f>(0*(44/12))/(0.4725284745/0.49)</f>
        <v>0</v>
      </c>
    </row>
    <row r="582" spans="1:4" x14ac:dyDescent="0.35">
      <c r="A582" t="s">
        <v>333</v>
      </c>
      <c r="B582" t="s">
        <v>1021</v>
      </c>
      <c r="C582" t="s">
        <v>1291</v>
      </c>
      <c r="D582">
        <f>(1312.321059*(44/12))/(0.4725284745/0.49)</f>
        <v>4989.7596227716858</v>
      </c>
    </row>
    <row r="583" spans="1:4" x14ac:dyDescent="0.35">
      <c r="A583" t="s">
        <v>72</v>
      </c>
      <c r="B583" t="s">
        <v>821</v>
      </c>
      <c r="C583" t="s">
        <v>1291</v>
      </c>
      <c r="D583">
        <f>(251958.2276*(44/12))/(0.4725284745/0.49)</f>
        <v>958005.65119453624</v>
      </c>
    </row>
    <row r="584" spans="1:4" x14ac:dyDescent="0.35">
      <c r="A584" t="s">
        <v>230</v>
      </c>
      <c r="B584" t="s">
        <v>949</v>
      </c>
      <c r="C584" t="s">
        <v>1291</v>
      </c>
      <c r="D584">
        <f>(722912.782*(44/12))/(0.4725284745/0.49)</f>
        <v>2748687.8959008986</v>
      </c>
    </row>
    <row r="585" spans="1:4" x14ac:dyDescent="0.35">
      <c r="A585" t="s">
        <v>403</v>
      </c>
      <c r="B585" t="s">
        <v>780</v>
      </c>
      <c r="C585" t="s">
        <v>1291</v>
      </c>
      <c r="D585">
        <f>(96137.11716*(44/12))/(0.4725284745/0.49)</f>
        <v>365536.39230644918</v>
      </c>
    </row>
    <row r="586" spans="1:4" x14ac:dyDescent="0.35">
      <c r="A586" t="s">
        <v>299</v>
      </c>
      <c r="B586" t="s">
        <v>972</v>
      </c>
      <c r="C586" t="s">
        <v>1291</v>
      </c>
      <c r="D586">
        <f>(6907.257153*(44/12))/(0.4725284745/0.49)</f>
        <v>26263.049434262186</v>
      </c>
    </row>
    <row r="587" spans="1:4" x14ac:dyDescent="0.35">
      <c r="A587" t="s">
        <v>267</v>
      </c>
      <c r="B587" t="s">
        <v>977</v>
      </c>
      <c r="C587" t="s">
        <v>1291</v>
      </c>
      <c r="D587">
        <f>(0*(44/12))/(0.4725284745/0.49)</f>
        <v>0</v>
      </c>
    </row>
    <row r="588" spans="1:4" x14ac:dyDescent="0.35">
      <c r="A588" t="s">
        <v>457</v>
      </c>
      <c r="B588" t="s">
        <v>1104</v>
      </c>
      <c r="C588" t="s">
        <v>1291</v>
      </c>
      <c r="D588">
        <f>(2304120.311*(44/12))/(0.4725284745/0.49)</f>
        <v>8760818.4102423508</v>
      </c>
    </row>
    <row r="589" spans="1:4" x14ac:dyDescent="0.35">
      <c r="A589" t="s">
        <v>524</v>
      </c>
      <c r="B589" t="s">
        <v>1148</v>
      </c>
      <c r="C589" t="s">
        <v>1291</v>
      </c>
      <c r="D589">
        <f>(3783.039364*(44/12))/(0.4725284745/0.49)</f>
        <v>14384.023589644366</v>
      </c>
    </row>
    <row r="590" spans="1:4" x14ac:dyDescent="0.35">
      <c r="A590" t="s">
        <v>253</v>
      </c>
      <c r="B590" t="s">
        <v>965</v>
      </c>
      <c r="C590" t="s">
        <v>1291</v>
      </c>
      <c r="D590">
        <f>(483.875376*(44/12))/(0.4725284745/0.49)</f>
        <v>1839.8103094208348</v>
      </c>
    </row>
    <row r="591" spans="1:4" x14ac:dyDescent="0.35">
      <c r="A591" t="s">
        <v>674</v>
      </c>
      <c r="B591" t="s">
        <v>1234</v>
      </c>
      <c r="C591" t="s">
        <v>1291</v>
      </c>
      <c r="D591">
        <f>(43.554812*(44/12))/(0.4725284745/0.49)</f>
        <v>165.60584835895074</v>
      </c>
    </row>
    <row r="592" spans="1:4" x14ac:dyDescent="0.35">
      <c r="A592" t="s">
        <v>427</v>
      </c>
      <c r="B592" t="s">
        <v>914</v>
      </c>
      <c r="C592" t="s">
        <v>1291</v>
      </c>
      <c r="D592">
        <f>(162455.539*(44/12))/(0.4725284745/0.49)</f>
        <v>617694.94853302557</v>
      </c>
    </row>
    <row r="593" spans="1:4" x14ac:dyDescent="0.35">
      <c r="A593" t="s">
        <v>697</v>
      </c>
      <c r="B593" t="s">
        <v>766</v>
      </c>
      <c r="C593" t="s">
        <v>1291</v>
      </c>
      <c r="D593">
        <f>(8069.646707*(44/12))/(0.4725284745/0.49)</f>
        <v>30682.733491531275</v>
      </c>
    </row>
    <row r="594" spans="1:4" x14ac:dyDescent="0.35">
      <c r="A594" t="s">
        <v>231</v>
      </c>
      <c r="B594" t="s">
        <v>950</v>
      </c>
      <c r="C594" t="s">
        <v>1291</v>
      </c>
      <c r="D594">
        <f>(115820.7615*(44/12))/(0.4725284745/0.49)</f>
        <v>440378.3321527642</v>
      </c>
    </row>
    <row r="595" spans="1:4" x14ac:dyDescent="0.35">
      <c r="A595" t="s">
        <v>314</v>
      </c>
      <c r="B595" t="s">
        <v>1009</v>
      </c>
      <c r="C595" t="s">
        <v>1291</v>
      </c>
      <c r="D595">
        <f>(307181.5826*(44/12))/(0.4725284745/0.49)</f>
        <v>1167978.1004844678</v>
      </c>
    </row>
    <row r="596" spans="1:4" x14ac:dyDescent="0.35">
      <c r="A596" t="s">
        <v>334</v>
      </c>
      <c r="B596" t="s">
        <v>1022</v>
      </c>
      <c r="C596" t="s">
        <v>1291</v>
      </c>
      <c r="D596">
        <f>(75570.8142*(44/12))/(0.4725284745/0.49)</f>
        <v>287338.37254922924</v>
      </c>
    </row>
    <row r="597" spans="1:4" x14ac:dyDescent="0.35">
      <c r="A597" t="s">
        <v>73</v>
      </c>
      <c r="B597" t="s">
        <v>822</v>
      </c>
      <c r="C597" t="s">
        <v>1291</v>
      </c>
      <c r="D597">
        <f>(0*(44/12))/(0.4725284745/0.49)</f>
        <v>0</v>
      </c>
    </row>
    <row r="598" spans="1:4" x14ac:dyDescent="0.35">
      <c r="A598" t="s">
        <v>232</v>
      </c>
      <c r="B598" t="s">
        <v>951</v>
      </c>
      <c r="C598" t="s">
        <v>1291</v>
      </c>
      <c r="D598">
        <f>(0*(44/12))/(0.4725284745/0.49)</f>
        <v>0</v>
      </c>
    </row>
    <row r="599" spans="1:4" x14ac:dyDescent="0.35">
      <c r="A599" t="s">
        <v>428</v>
      </c>
      <c r="B599" t="s">
        <v>1086</v>
      </c>
      <c r="C599" t="s">
        <v>1291</v>
      </c>
      <c r="D599">
        <f>(65308.53727*(44/12))/(0.4725284745/0.49)</f>
        <v>248318.73271960177</v>
      </c>
    </row>
    <row r="600" spans="1:4" x14ac:dyDescent="0.35">
      <c r="A600" t="s">
        <v>233</v>
      </c>
      <c r="B600" t="s">
        <v>952</v>
      </c>
      <c r="C600" t="s">
        <v>1291</v>
      </c>
      <c r="D600">
        <f>(436190.622*(44/12))/(0.4725284745/0.49)</f>
        <v>1658501.4303936933</v>
      </c>
    </row>
    <row r="601" spans="1:4" x14ac:dyDescent="0.35">
      <c r="A601" t="s">
        <v>234</v>
      </c>
      <c r="B601" t="s">
        <v>758</v>
      </c>
      <c r="C601" t="s">
        <v>1291</v>
      </c>
      <c r="D601">
        <f>(0*(44/12))/(0.4725284745/0.49)</f>
        <v>0</v>
      </c>
    </row>
    <row r="602" spans="1:4" x14ac:dyDescent="0.35">
      <c r="A602" t="s">
        <v>735</v>
      </c>
      <c r="B602" t="s">
        <v>1096</v>
      </c>
      <c r="C602" t="s">
        <v>1291</v>
      </c>
      <c r="D602">
        <f>(0*(44/12))/(0.4725284745/0.49)</f>
        <v>0</v>
      </c>
    </row>
    <row r="603" spans="1:4" x14ac:dyDescent="0.35">
      <c r="A603" t="s">
        <v>486</v>
      </c>
      <c r="B603" t="s">
        <v>1122</v>
      </c>
      <c r="C603" t="s">
        <v>1291</v>
      </c>
      <c r="D603">
        <f>(179146.826*(44/12))/(0.4725284745/0.49)</f>
        <v>681159.22760826827</v>
      </c>
    </row>
    <row r="604" spans="1:4" x14ac:dyDescent="0.35">
      <c r="A604" t="s">
        <v>254</v>
      </c>
      <c r="B604" t="s">
        <v>966</v>
      </c>
      <c r="C604" t="s">
        <v>1291</v>
      </c>
      <c r="D604">
        <f>(1943265.783*(44/12))/(0.4725284745/0.49)</f>
        <v>7388762.8898647455</v>
      </c>
    </row>
    <row r="605" spans="1:4" x14ac:dyDescent="0.35">
      <c r="A605" t="s">
        <v>235</v>
      </c>
      <c r="B605" t="s">
        <v>953</v>
      </c>
      <c r="C605" t="s">
        <v>1291</v>
      </c>
      <c r="D605">
        <f>(69239.94391*(44/12))/(0.4725284745/0.49)</f>
        <v>263266.88430067647</v>
      </c>
    </row>
    <row r="606" spans="1:4" x14ac:dyDescent="0.35">
      <c r="A606" t="s">
        <v>236</v>
      </c>
      <c r="B606" t="s">
        <v>954</v>
      </c>
      <c r="C606" t="s">
        <v>1291</v>
      </c>
      <c r="D606">
        <f>(0*(44/12))/(0.4725284745/0.49)</f>
        <v>0</v>
      </c>
    </row>
    <row r="607" spans="1:4" x14ac:dyDescent="0.35">
      <c r="A607" t="s">
        <v>430</v>
      </c>
      <c r="B607" t="s">
        <v>1088</v>
      </c>
      <c r="C607" t="s">
        <v>1291</v>
      </c>
      <c r="D607">
        <f>(0*(44/12))/(0.4725284745/0.49)</f>
        <v>0</v>
      </c>
    </row>
    <row r="608" spans="1:4" x14ac:dyDescent="0.35">
      <c r="A608" t="s">
        <v>648</v>
      </c>
      <c r="B608" t="s">
        <v>1220</v>
      </c>
      <c r="C608" t="s">
        <v>1291</v>
      </c>
      <c r="D608">
        <f>(0*(44/12))/(0.4725284745/0.49)</f>
        <v>0</v>
      </c>
    </row>
    <row r="609" spans="1:4" x14ac:dyDescent="0.35">
      <c r="A609" t="s">
        <v>74</v>
      </c>
      <c r="B609" t="s">
        <v>784</v>
      </c>
      <c r="C609" t="s">
        <v>1291</v>
      </c>
      <c r="D609">
        <f>(186904.9976*(44/12))/(0.4725284745/0.49)</f>
        <v>710657.65798910242</v>
      </c>
    </row>
    <row r="610" spans="1:4" x14ac:dyDescent="0.35">
      <c r="A610" t="s">
        <v>698</v>
      </c>
      <c r="B610" t="s">
        <v>1253</v>
      </c>
      <c r="C610" t="s">
        <v>1291</v>
      </c>
      <c r="D610">
        <f>(401.789374*(44/12))/(0.4725284745/0.49)</f>
        <v>1527.6996292139142</v>
      </c>
    </row>
    <row r="611" spans="1:4" x14ac:dyDescent="0.35">
      <c r="A611" t="s">
        <v>431</v>
      </c>
      <c r="B611" t="s">
        <v>862</v>
      </c>
      <c r="C611" t="s">
        <v>1291</v>
      </c>
      <c r="D611">
        <f>(29261.7002199999*(44/12))/(0.4725284745/0.49)</f>
        <v>111260.0070311036</v>
      </c>
    </row>
    <row r="612" spans="1:4" x14ac:dyDescent="0.35">
      <c r="A612" t="s">
        <v>599</v>
      </c>
      <c r="B612" t="s">
        <v>770</v>
      </c>
      <c r="C612" t="s">
        <v>1291</v>
      </c>
      <c r="D612">
        <f>(386061.852*(44/12))/(0.4725284745/0.49)</f>
        <v>1467899.8159718309</v>
      </c>
    </row>
    <row r="613" spans="1:4" x14ac:dyDescent="0.35">
      <c r="A613" t="s">
        <v>466</v>
      </c>
      <c r="B613" t="s">
        <v>785</v>
      </c>
      <c r="C613" t="s">
        <v>1291</v>
      </c>
      <c r="D613">
        <f>(8635.612569*(44/12))/(0.4725284745/0.49)</f>
        <v>32834.67153040319</v>
      </c>
    </row>
    <row r="614" spans="1:4" x14ac:dyDescent="0.35">
      <c r="A614" t="s">
        <v>315</v>
      </c>
      <c r="B614" t="s">
        <v>1010</v>
      </c>
      <c r="C614" t="s">
        <v>1291</v>
      </c>
      <c r="D614">
        <f>(1149.683265*(44/12))/(0.4725284745/0.49)</f>
        <v>4371.3716969875422</v>
      </c>
    </row>
    <row r="615" spans="1:4" x14ac:dyDescent="0.35">
      <c r="A615" t="s">
        <v>237</v>
      </c>
      <c r="B615" t="s">
        <v>947</v>
      </c>
      <c r="C615" t="s">
        <v>1291</v>
      </c>
      <c r="D615">
        <f>(5922.098074*(44/12))/(0.4725284745/0.49)</f>
        <v>22517.238178176005</v>
      </c>
    </row>
    <row r="616" spans="1:4" x14ac:dyDescent="0.35">
      <c r="A616" t="s">
        <v>732</v>
      </c>
      <c r="B616" t="s">
        <v>1270</v>
      </c>
      <c r="C616" t="s">
        <v>1291</v>
      </c>
      <c r="D616">
        <f>(2123.184061*(44/12))/(0.4725284745/0.49)</f>
        <v>8072.8553631251398</v>
      </c>
    </row>
    <row r="617" spans="1:4" x14ac:dyDescent="0.35">
      <c r="A617" t="s">
        <v>238</v>
      </c>
      <c r="B617" t="s">
        <v>955</v>
      </c>
      <c r="C617" t="s">
        <v>1291</v>
      </c>
      <c r="D617">
        <f>(0*(44/12))/(0.4725284745/0.49)</f>
        <v>0</v>
      </c>
    </row>
    <row r="618" spans="1:4" x14ac:dyDescent="0.35">
      <c r="A618" t="s">
        <v>742</v>
      </c>
      <c r="B618" t="s">
        <v>1276</v>
      </c>
      <c r="C618" t="s">
        <v>1292</v>
      </c>
      <c r="D618">
        <f>(0*(44/12))/(0.4725284745/0.49)</f>
        <v>0</v>
      </c>
    </row>
    <row r="619" spans="1:4" x14ac:dyDescent="0.35">
      <c r="A619" t="s">
        <v>335</v>
      </c>
      <c r="B619" t="s">
        <v>1023</v>
      </c>
      <c r="C619" t="s">
        <v>1292</v>
      </c>
      <c r="D619">
        <f>(1176891.196*(44/12))/(0.4725284745/0.49)</f>
        <v>4474822.7805405324</v>
      </c>
    </row>
    <row r="620" spans="1:4" x14ac:dyDescent="0.35">
      <c r="A620" t="s">
        <v>255</v>
      </c>
      <c r="B620" t="s">
        <v>967</v>
      </c>
      <c r="C620" t="s">
        <v>1292</v>
      </c>
      <c r="D620">
        <f>(0*(44/12))/(0.4725284745/0.49)</f>
        <v>0</v>
      </c>
    </row>
    <row r="621" spans="1:4" x14ac:dyDescent="0.35">
      <c r="A621" t="s">
        <v>165</v>
      </c>
      <c r="B621" t="s">
        <v>896</v>
      </c>
      <c r="C621" t="s">
        <v>1292</v>
      </c>
      <c r="D621">
        <f>(1037541.013*(44/12))/(0.4725284745/0.49)</f>
        <v>3944979.9407943753</v>
      </c>
    </row>
    <row r="622" spans="1:4" x14ac:dyDescent="0.35">
      <c r="A622" t="s">
        <v>685</v>
      </c>
      <c r="B622" t="s">
        <v>1243</v>
      </c>
      <c r="C622" t="s">
        <v>1292</v>
      </c>
      <c r="D622">
        <f>(175940.5986*(44/12))/(0.4725284745/0.49)</f>
        <v>668968.38154035935</v>
      </c>
    </row>
    <row r="623" spans="1:4" x14ac:dyDescent="0.35">
      <c r="A623" t="s">
        <v>421</v>
      </c>
      <c r="B623" t="s">
        <v>1082</v>
      </c>
      <c r="C623" t="s">
        <v>1292</v>
      </c>
      <c r="D623">
        <f>(1201271.58*(44/12))/(0.4725284745/0.49)</f>
        <v>4567522.8517895378</v>
      </c>
    </row>
    <row r="624" spans="1:4" x14ac:dyDescent="0.35">
      <c r="A624" t="s">
        <v>509</v>
      </c>
      <c r="B624" t="s">
        <v>1138</v>
      </c>
      <c r="C624" t="s">
        <v>1292</v>
      </c>
      <c r="D624">
        <f>(1430.415596*(44/12))/(0.4725284745/0.49)</f>
        <v>5438.7833950805289</v>
      </c>
    </row>
    <row r="625" spans="1:4" x14ac:dyDescent="0.35">
      <c r="A625" t="s">
        <v>79</v>
      </c>
      <c r="B625" t="s">
        <v>827</v>
      </c>
      <c r="C625" t="s">
        <v>1292</v>
      </c>
      <c r="D625">
        <f>(78121.41405*(44/12))/(0.4725284745/0.49)</f>
        <v>297036.36532172625</v>
      </c>
    </row>
    <row r="626" spans="1:4" x14ac:dyDescent="0.35">
      <c r="A626" t="s">
        <v>166</v>
      </c>
      <c r="B626" t="s">
        <v>897</v>
      </c>
      <c r="C626" t="s">
        <v>1292</v>
      </c>
      <c r="D626">
        <f>(0*(44/12))/(0.4725284745/0.49)</f>
        <v>0</v>
      </c>
    </row>
    <row r="627" spans="1:4" x14ac:dyDescent="0.35">
      <c r="A627" t="s">
        <v>167</v>
      </c>
      <c r="B627" t="s">
        <v>812</v>
      </c>
      <c r="C627" t="s">
        <v>1292</v>
      </c>
      <c r="D627">
        <f>(2656456.976*(44/12))/(0.4725284745/0.49)</f>
        <v>10100486.971210731</v>
      </c>
    </row>
    <row r="628" spans="1:4" x14ac:dyDescent="0.35">
      <c r="A628" t="s">
        <v>623</v>
      </c>
      <c r="B628" t="s">
        <v>1207</v>
      </c>
      <c r="C628" t="s">
        <v>1292</v>
      </c>
      <c r="D628">
        <f>(0*(44/12))/(0.4725284745/0.49)</f>
        <v>0</v>
      </c>
    </row>
    <row r="629" spans="1:4" x14ac:dyDescent="0.35">
      <c r="A629" t="s">
        <v>168</v>
      </c>
      <c r="B629" t="s">
        <v>898</v>
      </c>
      <c r="C629" t="s">
        <v>1292</v>
      </c>
      <c r="D629">
        <f>(20601.07395*(44/12))/(0.4725284745/0.49)</f>
        <v>78330.227406221631</v>
      </c>
    </row>
    <row r="630" spans="1:4" x14ac:dyDescent="0.35">
      <c r="A630" t="s">
        <v>422</v>
      </c>
      <c r="B630" t="s">
        <v>1014</v>
      </c>
      <c r="C630" t="s">
        <v>1292</v>
      </c>
      <c r="D630">
        <f>(1371477.248*(44/12))/(0.4725284745/0.49)</f>
        <v>5214685.6508079767</v>
      </c>
    </row>
    <row r="631" spans="1:4" x14ac:dyDescent="0.35">
      <c r="A631" t="s">
        <v>363</v>
      </c>
      <c r="B631" t="s">
        <v>1042</v>
      </c>
      <c r="C631" t="s">
        <v>1292</v>
      </c>
      <c r="D631">
        <f>(42752.18316*(44/12))/(0.4725284745/0.49)</f>
        <v>162554.06087871641</v>
      </c>
    </row>
    <row r="632" spans="1:4" x14ac:dyDescent="0.35">
      <c r="A632" t="s">
        <v>256</v>
      </c>
      <c r="B632" t="s">
        <v>968</v>
      </c>
      <c r="C632" t="s">
        <v>1292</v>
      </c>
      <c r="D632">
        <f>(1313898.014*(44/12))/(0.4725284745/0.49)</f>
        <v>4995755.5841501635</v>
      </c>
    </row>
    <row r="633" spans="1:4" x14ac:dyDescent="0.35">
      <c r="A633" t="s">
        <v>336</v>
      </c>
      <c r="B633" t="s">
        <v>956</v>
      </c>
      <c r="C633" t="s">
        <v>1292</v>
      </c>
      <c r="D633">
        <f>(1805214.698*(44/12))/(0.4725284745/0.49)</f>
        <v>6863859.532497514</v>
      </c>
    </row>
    <row r="634" spans="1:4" x14ac:dyDescent="0.35">
      <c r="A634" t="s">
        <v>169</v>
      </c>
      <c r="B634" t="s">
        <v>899</v>
      </c>
      <c r="C634" t="s">
        <v>1292</v>
      </c>
      <c r="D634">
        <f>(1041884.457*(44/12))/(0.4725284745/0.49)</f>
        <v>3961494.7573069483</v>
      </c>
    </row>
    <row r="635" spans="1:4" x14ac:dyDescent="0.35">
      <c r="A635" t="s">
        <v>656</v>
      </c>
      <c r="B635" t="s">
        <v>1172</v>
      </c>
      <c r="C635" t="s">
        <v>1292</v>
      </c>
      <c r="D635">
        <f>(329325.2366*(44/12))/(0.4725284745/0.49)</f>
        <v>1252173.5874592958</v>
      </c>
    </row>
    <row r="636" spans="1:4" x14ac:dyDescent="0.35">
      <c r="A636" t="s">
        <v>170</v>
      </c>
      <c r="B636" t="s">
        <v>900</v>
      </c>
      <c r="C636" t="s">
        <v>1292</v>
      </c>
      <c r="D636">
        <f>(340608.6278*(44/12))/(0.4725284745/0.49)</f>
        <v>1295075.7488104207</v>
      </c>
    </row>
    <row r="637" spans="1:4" x14ac:dyDescent="0.35">
      <c r="A637" t="s">
        <v>80</v>
      </c>
      <c r="B637" t="s">
        <v>828</v>
      </c>
      <c r="C637" t="s">
        <v>1292</v>
      </c>
      <c r="D637">
        <f>(1415236.565*(44/12))/(0.4725284745/0.49)</f>
        <v>5381069.0762580344</v>
      </c>
    </row>
    <row r="638" spans="1:4" x14ac:dyDescent="0.35">
      <c r="A638" t="s">
        <v>171</v>
      </c>
      <c r="B638" t="s">
        <v>806</v>
      </c>
      <c r="C638" t="s">
        <v>1292</v>
      </c>
      <c r="D638">
        <f>(893619.9167*(44/12))/(0.4725284745/0.49)</f>
        <v>3397757.3916645166</v>
      </c>
    </row>
    <row r="639" spans="1:4" x14ac:dyDescent="0.35">
      <c r="A639" t="s">
        <v>423</v>
      </c>
      <c r="B639" t="s">
        <v>1057</v>
      </c>
      <c r="C639" t="s">
        <v>1292</v>
      </c>
      <c r="D639">
        <f>(5194.513135*(44/12))/(0.4725284745/0.49)</f>
        <v>19750.785620045561</v>
      </c>
    </row>
    <row r="640" spans="1:4" x14ac:dyDescent="0.35">
      <c r="A640" t="s">
        <v>519</v>
      </c>
      <c r="B640" t="s">
        <v>1146</v>
      </c>
      <c r="C640" t="s">
        <v>1292</v>
      </c>
      <c r="D640">
        <f>(0*(44/12))/(0.4725284745/0.49)</f>
        <v>0</v>
      </c>
    </row>
    <row r="641" spans="1:4" x14ac:dyDescent="0.35">
      <c r="A641" t="s">
        <v>686</v>
      </c>
      <c r="B641" t="s">
        <v>1244</v>
      </c>
      <c r="C641" t="s">
        <v>1292</v>
      </c>
      <c r="D641">
        <f>(124844.1896*(44/12))/(0.4725284745/0.49)</f>
        <v>474687.57140757941</v>
      </c>
    </row>
    <row r="642" spans="1:4" x14ac:dyDescent="0.35">
      <c r="A642" t="s">
        <v>432</v>
      </c>
      <c r="B642" t="s">
        <v>959</v>
      </c>
      <c r="C642" t="s">
        <v>1292</v>
      </c>
      <c r="D642">
        <f>(846590.4809*(44/12))/(0.4725284745/0.49)</f>
        <v>3218940.1897098441</v>
      </c>
    </row>
    <row r="643" spans="1:4" x14ac:dyDescent="0.35">
      <c r="A643" t="s">
        <v>81</v>
      </c>
      <c r="B643" t="s">
        <v>829</v>
      </c>
      <c r="C643" t="s">
        <v>1292</v>
      </c>
      <c r="D643">
        <f>(32412.48318*(44/12))/(0.4725284745/0.49)</f>
        <v>123240.04003149232</v>
      </c>
    </row>
    <row r="644" spans="1:4" x14ac:dyDescent="0.35">
      <c r="A644" t="s">
        <v>82</v>
      </c>
      <c r="B644" t="s">
        <v>830</v>
      </c>
      <c r="C644" t="s">
        <v>1292</v>
      </c>
      <c r="D644">
        <f>(1212020.401*(44/12))/(0.4725284745/0.49)</f>
        <v>4608392.4489436597</v>
      </c>
    </row>
    <row r="645" spans="1:4" x14ac:dyDescent="0.35">
      <c r="A645" t="s">
        <v>172</v>
      </c>
      <c r="B645" t="s">
        <v>901</v>
      </c>
      <c r="C645" t="s">
        <v>1292</v>
      </c>
      <c r="D645">
        <f>(528330.929*(44/12))/(0.4725284745/0.49)</f>
        <v>2008840.9912392132</v>
      </c>
    </row>
    <row r="646" spans="1:4" x14ac:dyDescent="0.35">
      <c r="A646" t="s">
        <v>337</v>
      </c>
      <c r="B646" t="s">
        <v>1024</v>
      </c>
      <c r="C646" t="s">
        <v>1292</v>
      </c>
      <c r="D646">
        <f>(83086.9149*(44/12))/(0.4725284745/0.49)</f>
        <v>315916.39127135818</v>
      </c>
    </row>
    <row r="647" spans="1:4" x14ac:dyDescent="0.35">
      <c r="A647" t="s">
        <v>724</v>
      </c>
      <c r="B647" t="s">
        <v>1267</v>
      </c>
      <c r="C647" t="s">
        <v>1292</v>
      </c>
      <c r="D647">
        <f>(512036.969*(44/12))/(0.4725284745/0.49)</f>
        <v>1946887.4447762684</v>
      </c>
    </row>
    <row r="648" spans="1:4" x14ac:dyDescent="0.35">
      <c r="A648" t="s">
        <v>200</v>
      </c>
      <c r="B648" t="s">
        <v>922</v>
      </c>
      <c r="C648" t="s">
        <v>1292</v>
      </c>
      <c r="D648">
        <f>(670.870872*(44/12))/(0.4725284745/0.49)</f>
        <v>2550.8120640463112</v>
      </c>
    </row>
    <row r="649" spans="1:4" x14ac:dyDescent="0.35">
      <c r="A649" t="s">
        <v>570</v>
      </c>
      <c r="B649" t="s">
        <v>1181</v>
      </c>
      <c r="C649" t="s">
        <v>1292</v>
      </c>
      <c r="D649">
        <f>(774862.1142*(44/12))/(0.4725284745/0.49)</f>
        <v>2946211.7247412563</v>
      </c>
    </row>
    <row r="650" spans="1:4" x14ac:dyDescent="0.35">
      <c r="A650" t="s">
        <v>173</v>
      </c>
      <c r="B650" t="s">
        <v>793</v>
      </c>
      <c r="C650" t="s">
        <v>1292</v>
      </c>
      <c r="D650">
        <f>(4629996.556*(44/12))/(0.4725284745/0.49)</f>
        <v>17604358.102966905</v>
      </c>
    </row>
    <row r="651" spans="1:4" x14ac:dyDescent="0.35">
      <c r="A651" t="s">
        <v>83</v>
      </c>
      <c r="B651" t="s">
        <v>831</v>
      </c>
      <c r="C651" t="s">
        <v>1292</v>
      </c>
      <c r="D651">
        <f>(5627.265097*(44/12))/(0.4725284745/0.49)</f>
        <v>21396.212439842431</v>
      </c>
    </row>
    <row r="652" spans="1:4" x14ac:dyDescent="0.35">
      <c r="A652" t="s">
        <v>667</v>
      </c>
      <c r="B652" t="s">
        <v>1019</v>
      </c>
      <c r="C652" t="s">
        <v>1292</v>
      </c>
      <c r="D652">
        <f>(24406.05911*(44/12))/(0.4725284745/0.49)</f>
        <v>92797.694179238984</v>
      </c>
    </row>
    <row r="653" spans="1:4" x14ac:dyDescent="0.35">
      <c r="A653" t="s">
        <v>84</v>
      </c>
      <c r="B653" t="s">
        <v>832</v>
      </c>
      <c r="C653" t="s">
        <v>1292</v>
      </c>
      <c r="D653">
        <f>(226146.158*(44/12))/(0.4725284745/0.49)</f>
        <v>859861.96769044292</v>
      </c>
    </row>
    <row r="654" spans="1:4" x14ac:dyDescent="0.35">
      <c r="A654" t="s">
        <v>405</v>
      </c>
      <c r="B654" t="s">
        <v>1073</v>
      </c>
      <c r="C654" t="s">
        <v>1292</v>
      </c>
      <c r="D654">
        <f>(836531.0054*(44/12))/(0.4725284745/0.49)</f>
        <v>3180691.6495893272</v>
      </c>
    </row>
    <row r="655" spans="1:4" x14ac:dyDescent="0.35">
      <c r="A655" t="s">
        <v>681</v>
      </c>
      <c r="B655" t="s">
        <v>1240</v>
      </c>
      <c r="C655" t="s">
        <v>1292</v>
      </c>
      <c r="D655">
        <f>(0*(44/12))/(0.4725284745/0.49)</f>
        <v>0</v>
      </c>
    </row>
    <row r="656" spans="1:4" x14ac:dyDescent="0.35">
      <c r="A656" t="s">
        <v>420</v>
      </c>
      <c r="B656" t="s">
        <v>850</v>
      </c>
      <c r="C656" t="s">
        <v>1292</v>
      </c>
      <c r="D656">
        <f>(90033.69875*(44/12))/(0.4725284745/0.49)</f>
        <v>342329.73069400352</v>
      </c>
    </row>
    <row r="657" spans="1:4" x14ac:dyDescent="0.35">
      <c r="A657" t="s">
        <v>300</v>
      </c>
      <c r="B657" t="s">
        <v>1001</v>
      </c>
      <c r="C657" t="s">
        <v>1292</v>
      </c>
      <c r="D657">
        <f>(662709.885*(44/12))/(0.4725284745/0.49)</f>
        <v>2519782.032839166</v>
      </c>
    </row>
    <row r="658" spans="1:4" x14ac:dyDescent="0.35">
      <c r="A658" t="s">
        <v>174</v>
      </c>
      <c r="B658" t="s">
        <v>794</v>
      </c>
      <c r="C658" t="s">
        <v>1292</v>
      </c>
      <c r="D658">
        <f>(2312446.492*(44/12))/(0.4725284745/0.49)</f>
        <v>8792476.5486839823</v>
      </c>
    </row>
    <row r="659" spans="1:4" x14ac:dyDescent="0.35">
      <c r="A659" t="s">
        <v>85</v>
      </c>
      <c r="B659" t="s">
        <v>833</v>
      </c>
      <c r="C659" t="s">
        <v>1292</v>
      </c>
      <c r="D659">
        <f>(865306.6724*(44/12))/(0.4725284745/0.49)</f>
        <v>3290103.6416702406</v>
      </c>
    </row>
    <row r="660" spans="1:4" x14ac:dyDescent="0.35">
      <c r="A660" t="s">
        <v>201</v>
      </c>
      <c r="B660" t="s">
        <v>923</v>
      </c>
      <c r="C660" t="s">
        <v>1292</v>
      </c>
      <c r="D660">
        <f>(363400.6913*(44/12))/(0.4725284745/0.49)</f>
        <v>1381736.6443222319</v>
      </c>
    </row>
    <row r="661" spans="1:4" x14ac:dyDescent="0.35">
      <c r="A661" t="s">
        <v>257</v>
      </c>
      <c r="B661" t="s">
        <v>969</v>
      </c>
      <c r="C661" t="s">
        <v>1292</v>
      </c>
      <c r="D661">
        <f>(101837.3249*(44/12))/(0.4725284745/0.49)</f>
        <v>387209.95018117857</v>
      </c>
    </row>
    <row r="662" spans="1:4" x14ac:dyDescent="0.35">
      <c r="A662" t="s">
        <v>175</v>
      </c>
      <c r="B662" t="s">
        <v>902</v>
      </c>
      <c r="C662" t="s">
        <v>1292</v>
      </c>
      <c r="D662">
        <f>(0*(44/12))/(0.4725284745/0.49)</f>
        <v>0</v>
      </c>
    </row>
    <row r="663" spans="1:4" x14ac:dyDescent="0.35">
      <c r="A663" t="s">
        <v>359</v>
      </c>
      <c r="B663" t="s">
        <v>1039</v>
      </c>
      <c r="C663" t="s">
        <v>1292</v>
      </c>
      <c r="D663">
        <f>(943539.8141*(44/12))/(0.4725284745/0.49)</f>
        <v>3587564.8223318509</v>
      </c>
    </row>
    <row r="664" spans="1:4" x14ac:dyDescent="0.35">
      <c r="A664" t="s">
        <v>176</v>
      </c>
      <c r="B664" t="s">
        <v>903</v>
      </c>
      <c r="C664" t="s">
        <v>1292</v>
      </c>
      <c r="D664">
        <f>(249338.9192*(44/12))/(0.4725284745/0.49)</f>
        <v>948046.41202491871</v>
      </c>
    </row>
    <row r="665" spans="1:4" x14ac:dyDescent="0.35">
      <c r="A665" t="s">
        <v>708</v>
      </c>
      <c r="B665" t="s">
        <v>1258</v>
      </c>
      <c r="C665" t="s">
        <v>1292</v>
      </c>
      <c r="D665">
        <f>(604050.2349*(44/12))/(0.4725284745/0.49)</f>
        <v>2296743.9648697823</v>
      </c>
    </row>
    <row r="666" spans="1:4" x14ac:dyDescent="0.35">
      <c r="A666" t="s">
        <v>86</v>
      </c>
      <c r="B666" t="s">
        <v>834</v>
      </c>
      <c r="C666" t="s">
        <v>1292</v>
      </c>
      <c r="D666">
        <f>(418640.5257*(44/12))/(0.4725284745/0.49)</f>
        <v>1591771.7522460117</v>
      </c>
    </row>
    <row r="667" spans="1:4" x14ac:dyDescent="0.35">
      <c r="A667" t="s">
        <v>364</v>
      </c>
      <c r="B667" t="s">
        <v>1043</v>
      </c>
      <c r="C667" t="s">
        <v>1292</v>
      </c>
      <c r="D667">
        <f>(668381.3882*(44/12))/(0.4725284745/0.49)</f>
        <v>2541346.4491637386</v>
      </c>
    </row>
    <row r="668" spans="1:4" x14ac:dyDescent="0.35">
      <c r="A668" t="s">
        <v>316</v>
      </c>
      <c r="B668" t="s">
        <v>962</v>
      </c>
      <c r="C668" t="s">
        <v>1292</v>
      </c>
      <c r="D668">
        <f>(155679.9959*(44/12))/(0.4725284745/0.49)</f>
        <v>591932.70753958193</v>
      </c>
    </row>
    <row r="669" spans="1:4" x14ac:dyDescent="0.35">
      <c r="A669" t="s">
        <v>301</v>
      </c>
      <c r="B669" t="s">
        <v>921</v>
      </c>
      <c r="C669" t="s">
        <v>1292</v>
      </c>
      <c r="D669">
        <f>(869.19104*(44/12))/(0.4725284745/0.49)</f>
        <v>3304.8729395318869</v>
      </c>
    </row>
    <row r="670" spans="1:4" x14ac:dyDescent="0.35">
      <c r="A670" t="s">
        <v>177</v>
      </c>
      <c r="B670" t="s">
        <v>904</v>
      </c>
      <c r="C670" t="s">
        <v>1292</v>
      </c>
      <c r="D670">
        <f>(28962.87902*(44/12))/(0.4725284745/0.49)</f>
        <v>110123.81711175233</v>
      </c>
    </row>
    <row r="671" spans="1:4" x14ac:dyDescent="0.35">
      <c r="A671" t="s">
        <v>743</v>
      </c>
      <c r="B671" t="s">
        <v>1277</v>
      </c>
      <c r="C671" t="s">
        <v>1292</v>
      </c>
      <c r="D671">
        <f>(1093092.686*(44/12))/(0.4725284745/0.49)</f>
        <v>4156200.7339164764</v>
      </c>
    </row>
    <row r="672" spans="1:4" x14ac:dyDescent="0.35">
      <c r="A672" t="s">
        <v>178</v>
      </c>
      <c r="B672" t="s">
        <v>905</v>
      </c>
      <c r="C672" t="s">
        <v>1292</v>
      </c>
      <c r="D672">
        <f>(1102299.621*(44/12))/(0.4725284745/0.49)</f>
        <v>4191207.7104466637</v>
      </c>
    </row>
    <row r="673" spans="1:4" x14ac:dyDescent="0.35">
      <c r="A673" t="s">
        <v>308</v>
      </c>
      <c r="B673" t="s">
        <v>756</v>
      </c>
      <c r="C673" t="s">
        <v>1292</v>
      </c>
      <c r="D673">
        <f>(413015.1863*(44/12))/(0.4725284745/0.49)</f>
        <v>1570382.8617683297</v>
      </c>
    </row>
    <row r="674" spans="1:4" x14ac:dyDescent="0.35">
      <c r="A674" t="s">
        <v>539</v>
      </c>
      <c r="B674" t="s">
        <v>1160</v>
      </c>
      <c r="C674" t="s">
        <v>1292</v>
      </c>
      <c r="D674">
        <f>(9258.416604*(44/12))/(0.4725284745/0.49)</f>
        <v>35202.721944156612</v>
      </c>
    </row>
    <row r="675" spans="1:4" x14ac:dyDescent="0.35">
      <c r="A675" t="s">
        <v>726</v>
      </c>
      <c r="B675" t="s">
        <v>1177</v>
      </c>
      <c r="C675" t="s">
        <v>1292</v>
      </c>
      <c r="D675">
        <f>(1674426.089*(44/12))/(0.4725284745/0.49)</f>
        <v>6366569.8518731976</v>
      </c>
    </row>
    <row r="676" spans="1:4" x14ac:dyDescent="0.35">
      <c r="A676" t="s">
        <v>689</v>
      </c>
      <c r="B676" t="s">
        <v>1246</v>
      </c>
      <c r="C676" t="s">
        <v>1292</v>
      </c>
      <c r="D676">
        <f>(203075.706*(44/12))/(0.4725284745/0.49)</f>
        <v>772142.57228851924</v>
      </c>
    </row>
    <row r="677" spans="1:4" x14ac:dyDescent="0.35">
      <c r="A677" t="s">
        <v>338</v>
      </c>
      <c r="B677" t="s">
        <v>780</v>
      </c>
      <c r="C677" t="s">
        <v>1292</v>
      </c>
      <c r="D677">
        <f>(32986.40483*(44/12))/(0.4725284745/0.49)</f>
        <v>125422.2278857257</v>
      </c>
    </row>
    <row r="678" spans="1:4" x14ac:dyDescent="0.35">
      <c r="A678" t="s">
        <v>87</v>
      </c>
      <c r="B678" t="s">
        <v>835</v>
      </c>
      <c r="C678" t="s">
        <v>1292</v>
      </c>
      <c r="D678">
        <f>(142620.4372*(44/12))/(0.4725284745/0.49)</f>
        <v>542277.13107406953</v>
      </c>
    </row>
    <row r="679" spans="1:4" x14ac:dyDescent="0.35">
      <c r="A679" t="s">
        <v>179</v>
      </c>
      <c r="B679" t="s">
        <v>906</v>
      </c>
      <c r="C679" t="s">
        <v>1292</v>
      </c>
      <c r="D679">
        <f>(382577.0456*(44/12))/(0.4725284745/0.49)</f>
        <v>1454649.7456870894</v>
      </c>
    </row>
    <row r="680" spans="1:4" x14ac:dyDescent="0.35">
      <c r="A680" t="s">
        <v>88</v>
      </c>
      <c r="B680" t="s">
        <v>836</v>
      </c>
      <c r="C680" t="s">
        <v>1292</v>
      </c>
      <c r="D680">
        <f>(0*(44/12))/(0.4725284745/0.49)</f>
        <v>0</v>
      </c>
    </row>
    <row r="681" spans="1:4" x14ac:dyDescent="0.35">
      <c r="A681" t="s">
        <v>180</v>
      </c>
      <c r="B681" t="s">
        <v>907</v>
      </c>
      <c r="C681" t="s">
        <v>1292</v>
      </c>
      <c r="D681">
        <f>(213119.9202*(44/12))/(0.4725284745/0.49)</f>
        <v>810333.08528373134</v>
      </c>
    </row>
    <row r="682" spans="1:4" x14ac:dyDescent="0.35">
      <c r="A682" t="s">
        <v>424</v>
      </c>
      <c r="B682" t="s">
        <v>1083</v>
      </c>
      <c r="C682" t="s">
        <v>1292</v>
      </c>
      <c r="D682">
        <f>(856119.6224*(44/12))/(0.4725284745/0.49)</f>
        <v>3255172.2726824437</v>
      </c>
    </row>
    <row r="683" spans="1:4" x14ac:dyDescent="0.35">
      <c r="A683" t="s">
        <v>89</v>
      </c>
      <c r="B683" t="s">
        <v>765</v>
      </c>
      <c r="C683" t="s">
        <v>1292</v>
      </c>
      <c r="D683">
        <f>(989153.5432*(44/12))/(0.4725284745/0.49)</f>
        <v>3760999.1676441641</v>
      </c>
    </row>
    <row r="684" spans="1:4" x14ac:dyDescent="0.35">
      <c r="A684" t="s">
        <v>690</v>
      </c>
      <c r="B684" t="s">
        <v>1247</v>
      </c>
      <c r="C684" t="s">
        <v>1292</v>
      </c>
      <c r="D684">
        <f>(41117.23473*(44/12))/(0.4725284745/0.49)</f>
        <v>156337.59456098129</v>
      </c>
    </row>
    <row r="685" spans="1:4" x14ac:dyDescent="0.35">
      <c r="A685" t="s">
        <v>258</v>
      </c>
      <c r="B685" t="s">
        <v>970</v>
      </c>
      <c r="C685" t="s">
        <v>1292</v>
      </c>
      <c r="D685">
        <f>(280419.0151*(44/12))/(0.4725284745/0.49)</f>
        <v>1066220.3958455136</v>
      </c>
    </row>
    <row r="686" spans="1:4" x14ac:dyDescent="0.35">
      <c r="A686" t="s">
        <v>181</v>
      </c>
      <c r="B686" t="s">
        <v>908</v>
      </c>
      <c r="C686" t="s">
        <v>1292</v>
      </c>
      <c r="D686">
        <f>(3529880.85*(44/12))/(0.4725284745/0.49)</f>
        <v>13421454.161488842</v>
      </c>
    </row>
    <row r="687" spans="1:4" x14ac:dyDescent="0.35">
      <c r="A687" t="s">
        <v>90</v>
      </c>
      <c r="B687" t="s">
        <v>837</v>
      </c>
      <c r="C687" t="s">
        <v>1292</v>
      </c>
      <c r="D687">
        <f>(660605.2157*(44/12))/(0.4725284745/0.49)</f>
        <v>2511779.5750408964</v>
      </c>
    </row>
    <row r="688" spans="1:4" x14ac:dyDescent="0.35">
      <c r="A688" t="s">
        <v>365</v>
      </c>
      <c r="B688" t="s">
        <v>1044</v>
      </c>
      <c r="C688" t="s">
        <v>1292</v>
      </c>
      <c r="D688">
        <f>(1131453.513*(44/12))/(0.4725284745/0.49)</f>
        <v>4302057.8047514046</v>
      </c>
    </row>
    <row r="689" spans="1:4" x14ac:dyDescent="0.35">
      <c r="A689" t="s">
        <v>91</v>
      </c>
      <c r="B689" t="s">
        <v>838</v>
      </c>
      <c r="C689" t="s">
        <v>1292</v>
      </c>
      <c r="D689">
        <f>(553171.5557*(44/12))/(0.4725284745/0.49)</f>
        <v>2103291.0156916548</v>
      </c>
    </row>
    <row r="690" spans="1:4" x14ac:dyDescent="0.35">
      <c r="A690" t="s">
        <v>404</v>
      </c>
      <c r="B690" t="s">
        <v>1072</v>
      </c>
      <c r="C690" t="s">
        <v>1292</v>
      </c>
      <c r="D690">
        <f>(77977.94918*(44/12))/(0.4725284745/0.49)</f>
        <v>296490.87745448301</v>
      </c>
    </row>
    <row r="691" spans="1:4" x14ac:dyDescent="0.35">
      <c r="A691" t="s">
        <v>339</v>
      </c>
      <c r="B691" t="s">
        <v>1025</v>
      </c>
      <c r="C691" t="s">
        <v>1292</v>
      </c>
      <c r="D691">
        <f>(2810.679667*(44/12))/(0.4725284745/0.49)</f>
        <v>10686.878655768005</v>
      </c>
    </row>
    <row r="692" spans="1:4" x14ac:dyDescent="0.35">
      <c r="A692" t="s">
        <v>317</v>
      </c>
      <c r="B692" t="s">
        <v>1011</v>
      </c>
      <c r="C692" t="s">
        <v>1292</v>
      </c>
      <c r="D692">
        <f>(195460.0669*(44/12))/(0.4725284745/0.49)</f>
        <v>743186.08468042</v>
      </c>
    </row>
    <row r="693" spans="1:4" x14ac:dyDescent="0.35">
      <c r="A693" t="s">
        <v>182</v>
      </c>
      <c r="B693" t="s">
        <v>859</v>
      </c>
      <c r="C693" t="s">
        <v>1292</v>
      </c>
      <c r="D693">
        <f>(450354.5243*(44/12))/(0.4725284745/0.49)</f>
        <v>1712355.9862683646</v>
      </c>
    </row>
    <row r="694" spans="1:4" x14ac:dyDescent="0.35">
      <c r="A694" t="s">
        <v>92</v>
      </c>
      <c r="B694" t="s">
        <v>839</v>
      </c>
      <c r="C694" t="s">
        <v>1292</v>
      </c>
      <c r="D694">
        <f>(6198.071743*(44/12))/(0.4725284745/0.49)</f>
        <v>23566.556301268287</v>
      </c>
    </row>
    <row r="695" spans="1:4" x14ac:dyDescent="0.35">
      <c r="A695" t="s">
        <v>744</v>
      </c>
      <c r="B695" t="s">
        <v>1278</v>
      </c>
      <c r="C695" t="s">
        <v>1292</v>
      </c>
      <c r="D695">
        <f>(339.830824*(44/12))/(0.4725284745/0.49)</f>
        <v>1292.1183520902646</v>
      </c>
    </row>
    <row r="696" spans="1:4" x14ac:dyDescent="0.35">
      <c r="A696" t="s">
        <v>183</v>
      </c>
      <c r="B696" t="s">
        <v>909</v>
      </c>
      <c r="C696" t="s">
        <v>1292</v>
      </c>
      <c r="D696">
        <f>(61863.36477*(44/12))/(0.4725284745/0.49)</f>
        <v>235219.36003477816</v>
      </c>
    </row>
    <row r="697" spans="1:4" x14ac:dyDescent="0.35">
      <c r="A697" t="s">
        <v>720</v>
      </c>
      <c r="B697" t="s">
        <v>757</v>
      </c>
      <c r="C697" t="s">
        <v>1292</v>
      </c>
      <c r="D697">
        <f>(724.761198*(44/12))/(0.4725284745/0.49)</f>
        <v>2755.7160171518931</v>
      </c>
    </row>
    <row r="698" spans="1:4" x14ac:dyDescent="0.35">
      <c r="A698" t="s">
        <v>540</v>
      </c>
      <c r="B698" t="s">
        <v>951</v>
      </c>
      <c r="C698" t="s">
        <v>1292</v>
      </c>
      <c r="D698">
        <f>(10638.17037*(44/12))/(0.4725284745/0.49)</f>
        <v>40448.87690276112</v>
      </c>
    </row>
    <row r="699" spans="1:4" x14ac:dyDescent="0.35">
      <c r="A699" t="s">
        <v>360</v>
      </c>
      <c r="B699" t="s">
        <v>1040</v>
      </c>
      <c r="C699" t="s">
        <v>1292</v>
      </c>
      <c r="D699">
        <f>(3293.971956*(44/12))/(0.4725284745/0.49)</f>
        <v>12524.471928474226</v>
      </c>
    </row>
    <row r="700" spans="1:4" x14ac:dyDescent="0.35">
      <c r="A700" t="s">
        <v>501</v>
      </c>
      <c r="B700" t="s">
        <v>1131</v>
      </c>
      <c r="C700" t="s">
        <v>1292</v>
      </c>
      <c r="D700">
        <f>(0*(44/12))/(0.4725284745/0.49)</f>
        <v>0</v>
      </c>
    </row>
    <row r="701" spans="1:4" x14ac:dyDescent="0.35">
      <c r="A701" t="s">
        <v>184</v>
      </c>
      <c r="B701" t="s">
        <v>910</v>
      </c>
      <c r="C701" t="s">
        <v>1292</v>
      </c>
      <c r="D701">
        <f>(1127672.442*(44/12))/(0.4725284745/0.49)</f>
        <v>4287681.2653540941</v>
      </c>
    </row>
    <row r="702" spans="1:4" x14ac:dyDescent="0.35">
      <c r="A702" t="s">
        <v>93</v>
      </c>
      <c r="B702" t="s">
        <v>840</v>
      </c>
      <c r="C702" t="s">
        <v>1292</v>
      </c>
      <c r="D702">
        <f>(656336.5116*(44/12))/(0.4725284745/0.49)</f>
        <v>2495548.9375656662</v>
      </c>
    </row>
    <row r="703" spans="1:4" x14ac:dyDescent="0.35">
      <c r="A703" t="s">
        <v>185</v>
      </c>
      <c r="B703" t="s">
        <v>911</v>
      </c>
      <c r="C703" t="s">
        <v>1292</v>
      </c>
      <c r="D703">
        <f>(347758.4613*(44/12))/(0.4725284745/0.49)</f>
        <v>1322261.1317341893</v>
      </c>
    </row>
    <row r="704" spans="1:4" x14ac:dyDescent="0.35">
      <c r="A704" t="s">
        <v>407</v>
      </c>
      <c r="B704" t="s">
        <v>1075</v>
      </c>
      <c r="C704" t="s">
        <v>1292</v>
      </c>
      <c r="D704">
        <f>(445398.8042*(44/12))/(0.4725284745/0.49)</f>
        <v>1693513.149077608</v>
      </c>
    </row>
    <row r="705" spans="1:4" x14ac:dyDescent="0.35">
      <c r="A705" t="s">
        <v>635</v>
      </c>
      <c r="B705" t="s">
        <v>1214</v>
      </c>
      <c r="C705" t="s">
        <v>1292</v>
      </c>
      <c r="D705">
        <f>(1009229.284*(44/12))/(0.4725284745/0.49)</f>
        <v>3837331.95233437</v>
      </c>
    </row>
    <row r="706" spans="1:4" x14ac:dyDescent="0.35">
      <c r="A706" t="s">
        <v>94</v>
      </c>
      <c r="B706" t="s">
        <v>841</v>
      </c>
      <c r="C706" t="s">
        <v>1292</v>
      </c>
      <c r="D706">
        <f>(181.5795*(44/12))/(0.4725284745/0.49)</f>
        <v>690.40883799691517</v>
      </c>
    </row>
    <row r="707" spans="1:4" x14ac:dyDescent="0.35">
      <c r="A707" t="s">
        <v>186</v>
      </c>
      <c r="B707" t="s">
        <v>862</v>
      </c>
      <c r="C707" t="s">
        <v>1292</v>
      </c>
      <c r="D707">
        <f>(10610.24237*(44/12))/(0.4725284745/0.49)</f>
        <v>40342.687944053898</v>
      </c>
    </row>
    <row r="708" spans="1:4" x14ac:dyDescent="0.35">
      <c r="A708" t="s">
        <v>366</v>
      </c>
      <c r="B708" t="s">
        <v>770</v>
      </c>
      <c r="C708" t="s">
        <v>1292</v>
      </c>
      <c r="D708">
        <f>(5495.841899*(44/12))/(0.4725284745/0.49)</f>
        <v>20896.509899539044</v>
      </c>
    </row>
    <row r="709" spans="1:4" x14ac:dyDescent="0.35">
      <c r="A709" t="s">
        <v>259</v>
      </c>
      <c r="B709" t="s">
        <v>971</v>
      </c>
      <c r="C709" t="s">
        <v>1292</v>
      </c>
      <c r="D709">
        <f>(513715.3802*(44/12))/(0.4725284745/0.49)</f>
        <v>1953269.1669765888</v>
      </c>
    </row>
    <row r="710" spans="1:4" x14ac:dyDescent="0.35">
      <c r="A710" t="s">
        <v>302</v>
      </c>
      <c r="B710" t="s">
        <v>1002</v>
      </c>
      <c r="C710" t="s">
        <v>1292</v>
      </c>
      <c r="D710">
        <f>(13067.63829*(44/12))/(0.4725284745/0.49)</f>
        <v>49686.297005790278</v>
      </c>
    </row>
    <row r="711" spans="1:4" x14ac:dyDescent="0.35">
      <c r="A711" t="s">
        <v>533</v>
      </c>
      <c r="B711" t="s">
        <v>1156</v>
      </c>
      <c r="C711" t="s">
        <v>1292</v>
      </c>
      <c r="D711">
        <f>(1614.676828*(44/12))/(0.4725284745/0.49)</f>
        <v>6139.3888217558961</v>
      </c>
    </row>
    <row r="712" spans="1:4" x14ac:dyDescent="0.35">
      <c r="A712" t="s">
        <v>95</v>
      </c>
      <c r="B712" t="s">
        <v>810</v>
      </c>
      <c r="C712" t="s">
        <v>1292</v>
      </c>
      <c r="D712">
        <f>(95660.18432*(44/12))/(0.4725284745/0.49)</f>
        <v>363722.97918510583</v>
      </c>
    </row>
    <row r="713" spans="1:4" x14ac:dyDescent="0.35">
      <c r="A713" t="s">
        <v>508</v>
      </c>
      <c r="B713" t="s">
        <v>1137</v>
      </c>
      <c r="C713" t="s">
        <v>1292</v>
      </c>
      <c r="D713">
        <f>(1302.534956*(44/12))/(0.4725284745/0.49)</f>
        <v>4952.5505105054426</v>
      </c>
    </row>
    <row r="714" spans="1:4" x14ac:dyDescent="0.35">
      <c r="A714" t="s">
        <v>571</v>
      </c>
      <c r="B714" t="s">
        <v>1182</v>
      </c>
      <c r="C714" t="s">
        <v>1292</v>
      </c>
      <c r="D714">
        <f>(1288.105913*(44/12))/(0.4725284745/0.49)</f>
        <v>4897.687826055726</v>
      </c>
    </row>
    <row r="715" spans="1:4" x14ac:dyDescent="0.35">
      <c r="A715" t="s">
        <v>663</v>
      </c>
      <c r="B715" t="s">
        <v>1229</v>
      </c>
      <c r="C715" t="s">
        <v>1292</v>
      </c>
      <c r="D715">
        <f>(0*(44/12))/(0.4725284745/0.49)</f>
        <v>0</v>
      </c>
    </row>
    <row r="716" spans="1:4" x14ac:dyDescent="0.35">
      <c r="A716" t="s">
        <v>435</v>
      </c>
      <c r="B716" t="s">
        <v>1091</v>
      </c>
      <c r="C716" t="s">
        <v>1292</v>
      </c>
      <c r="D716">
        <f>(3746.375369*(44/12))/(0.4725284745/0.49)</f>
        <v>14244.618281312341</v>
      </c>
    </row>
    <row r="717" spans="1:4" x14ac:dyDescent="0.35">
      <c r="A717" t="s">
        <v>569</v>
      </c>
      <c r="B717" t="s">
        <v>1180</v>
      </c>
      <c r="C717" t="s">
        <v>1292</v>
      </c>
      <c r="D717">
        <f>(69363.38768*(44/12))/(0.4725284745/0.49)</f>
        <v>263736.24714066478</v>
      </c>
    </row>
    <row r="718" spans="1:4" x14ac:dyDescent="0.35">
      <c r="A718" t="s">
        <v>436</v>
      </c>
      <c r="B718" t="s">
        <v>1092</v>
      </c>
      <c r="C718" t="s">
        <v>1292</v>
      </c>
      <c r="D718">
        <f>(6681.007184*(44/12))/(0.4725284745/0.49)</f>
        <v>25402.792752235153</v>
      </c>
    </row>
    <row r="719" spans="1:4" x14ac:dyDescent="0.35">
      <c r="A719" t="s">
        <v>520</v>
      </c>
      <c r="B719" t="s">
        <v>1006</v>
      </c>
      <c r="C719" t="s">
        <v>1292</v>
      </c>
      <c r="D719">
        <f>(0*(44/12))/(0.4725284745/0.49)</f>
        <v>0</v>
      </c>
    </row>
    <row r="720" spans="1:4" x14ac:dyDescent="0.35">
      <c r="A720" t="s">
        <v>638</v>
      </c>
      <c r="B720" t="s">
        <v>1216</v>
      </c>
      <c r="C720" t="s">
        <v>1292</v>
      </c>
      <c r="D720">
        <f>(96619.46975*(44/12))/(0.4725284745/0.49)</f>
        <v>367370.4126180301</v>
      </c>
    </row>
    <row r="721" spans="1:4" x14ac:dyDescent="0.35">
      <c r="A721" t="s">
        <v>721</v>
      </c>
      <c r="B721" t="s">
        <v>1265</v>
      </c>
      <c r="C721" t="s">
        <v>1292</v>
      </c>
      <c r="D721">
        <f>(13587.41916*(44/12))/(0.4725284745/0.49)</f>
        <v>51662.628620701245</v>
      </c>
    </row>
    <row r="722" spans="1:4" x14ac:dyDescent="0.35">
      <c r="A722" t="s">
        <v>521</v>
      </c>
      <c r="B722" t="s">
        <v>1024</v>
      </c>
      <c r="C722" t="s">
        <v>1292</v>
      </c>
      <c r="D722">
        <f>(189.375384*(44/12))/(0.4725284745/0.49)</f>
        <v>720.050659973508</v>
      </c>
    </row>
    <row r="723" spans="1:4" x14ac:dyDescent="0.35">
      <c r="A723" t="s">
        <v>437</v>
      </c>
      <c r="B723" t="s">
        <v>1093</v>
      </c>
      <c r="C723" t="s">
        <v>1292</v>
      </c>
      <c r="D723">
        <f>(21.334528*(44/12))/(0.4725284745/0.49)</f>
        <v>81.118995732958027</v>
      </c>
    </row>
    <row r="724" spans="1:4" x14ac:dyDescent="0.35">
      <c r="A724" t="s">
        <v>672</v>
      </c>
      <c r="B724" t="s">
        <v>793</v>
      </c>
      <c r="C724" t="s">
        <v>1292</v>
      </c>
      <c r="D724">
        <f>(14842.74139*(44/12))/(0.4725284745/0.49)</f>
        <v>56435.665015922052</v>
      </c>
    </row>
    <row r="725" spans="1:4" x14ac:dyDescent="0.35">
      <c r="A725" t="s">
        <v>426</v>
      </c>
      <c r="B725" t="s">
        <v>1085</v>
      </c>
      <c r="C725" t="s">
        <v>1292</v>
      </c>
      <c r="D725">
        <f>(5314.37583*(44/12))/(0.4725284745/0.49)</f>
        <v>20206.532353427516</v>
      </c>
    </row>
    <row r="726" spans="1:4" x14ac:dyDescent="0.35">
      <c r="A726" t="s">
        <v>679</v>
      </c>
      <c r="B726" t="s">
        <v>1238</v>
      </c>
      <c r="C726" t="s">
        <v>1292</v>
      </c>
      <c r="D726">
        <f>(1293.364501*(44/12))/(0.4725284745/0.49)</f>
        <v>4917.682239690439</v>
      </c>
    </row>
    <row r="727" spans="1:4" x14ac:dyDescent="0.35">
      <c r="A727" t="s">
        <v>543</v>
      </c>
      <c r="B727" t="s">
        <v>1163</v>
      </c>
      <c r="C727" t="s">
        <v>1292</v>
      </c>
      <c r="D727">
        <f>(8170.936047*(44/12))/(0.4725284745/0.49)</f>
        <v>31067.859871606528</v>
      </c>
    </row>
    <row r="728" spans="1:4" x14ac:dyDescent="0.35">
      <c r="A728" t="s">
        <v>677</v>
      </c>
      <c r="B728" t="s">
        <v>1237</v>
      </c>
      <c r="C728" t="s">
        <v>1292</v>
      </c>
      <c r="D728">
        <f>(0*(44/12))/(0.4725284745/0.49)</f>
        <v>0</v>
      </c>
    </row>
    <row r="729" spans="1:4" x14ac:dyDescent="0.35">
      <c r="A729" t="s">
        <v>660</v>
      </c>
      <c r="B729" t="s">
        <v>1227</v>
      </c>
      <c r="C729" t="s">
        <v>1292</v>
      </c>
      <c r="D729">
        <f>(7257.271008*(44/12))/(0.4725284745/0.49)</f>
        <v>27593.886114137229</v>
      </c>
    </row>
    <row r="730" spans="1:4" x14ac:dyDescent="0.35">
      <c r="A730" t="s">
        <v>722</v>
      </c>
      <c r="B730" t="s">
        <v>808</v>
      </c>
      <c r="C730" t="s">
        <v>1292</v>
      </c>
      <c r="D730">
        <f>(0*(44/12))/(0.4725284745/0.49)</f>
        <v>0</v>
      </c>
    </row>
    <row r="731" spans="1:4" x14ac:dyDescent="0.35">
      <c r="A731" t="s">
        <v>555</v>
      </c>
      <c r="B731" t="s">
        <v>1169</v>
      </c>
      <c r="C731" t="s">
        <v>1292</v>
      </c>
      <c r="D731">
        <f>(70484.12106*(44/12))/(0.4725284745/0.49)</f>
        <v>267997.54442692321</v>
      </c>
    </row>
    <row r="732" spans="1:4" x14ac:dyDescent="0.35">
      <c r="A732" t="s">
        <v>556</v>
      </c>
      <c r="B732" t="s">
        <v>1170</v>
      </c>
      <c r="C732" t="s">
        <v>1292</v>
      </c>
      <c r="D732">
        <f>(0*(44/12))/(0.4725284745/0.49)</f>
        <v>0</v>
      </c>
    </row>
    <row r="733" spans="1:4" x14ac:dyDescent="0.35">
      <c r="A733" t="s">
        <v>433</v>
      </c>
      <c r="B733" t="s">
        <v>1089</v>
      </c>
      <c r="C733" t="s">
        <v>1292</v>
      </c>
      <c r="D733">
        <f>(69.997606*(44/12))/(0.4725284745/0.49)</f>
        <v>266.14769740541141</v>
      </c>
    </row>
    <row r="734" spans="1:4" x14ac:dyDescent="0.35">
      <c r="A734" t="s">
        <v>715</v>
      </c>
      <c r="B734" t="s">
        <v>1262</v>
      </c>
      <c r="C734" t="s">
        <v>1292</v>
      </c>
      <c r="D734">
        <f>(2021.808547*(44/12))/(0.4725284745/0.49)</f>
        <v>7687.4013288201668</v>
      </c>
    </row>
    <row r="735" spans="1:4" x14ac:dyDescent="0.35">
      <c r="A735" t="s">
        <v>680</v>
      </c>
      <c r="B735" t="s">
        <v>1239</v>
      </c>
      <c r="C735" t="s">
        <v>1292</v>
      </c>
      <c r="D735">
        <f>(57960.84903*(44/12))/(0.4725284745/0.49)</f>
        <v>220381.05858930619</v>
      </c>
    </row>
    <row r="736" spans="1:4" x14ac:dyDescent="0.35">
      <c r="A736" t="s">
        <v>675</v>
      </c>
      <c r="B736" t="s">
        <v>1235</v>
      </c>
      <c r="C736" t="s">
        <v>1292</v>
      </c>
      <c r="D736">
        <f>(2896.701897*(44/12))/(0.4725284745/0.49)</f>
        <v>11013.955819523844</v>
      </c>
    </row>
    <row r="737" spans="1:4" x14ac:dyDescent="0.35">
      <c r="A737" t="s">
        <v>399</v>
      </c>
      <c r="B737" t="s">
        <v>1069</v>
      </c>
      <c r="C737" t="s">
        <v>1292</v>
      </c>
      <c r="D737">
        <f>(94.115641*(44/12))/(0.4725284745/0.49)</f>
        <v>357.85025479277573</v>
      </c>
    </row>
    <row r="738" spans="1:4" x14ac:dyDescent="0.35">
      <c r="A738" t="s">
        <v>691</v>
      </c>
      <c r="B738" t="s">
        <v>1248</v>
      </c>
      <c r="C738" t="s">
        <v>1292</v>
      </c>
      <c r="D738">
        <f>(29430.46451*(44/12))/(0.4725284745/0.49)</f>
        <v>111901.689365036</v>
      </c>
    </row>
    <row r="739" spans="1:4" x14ac:dyDescent="0.35">
      <c r="A739" t="s">
        <v>676</v>
      </c>
      <c r="B739" t="s">
        <v>1236</v>
      </c>
      <c r="C739" t="s">
        <v>1292</v>
      </c>
      <c r="D739">
        <f>(6411.515046*(44/12))/(0.4725284745/0.49)</f>
        <v>24378.118965569345</v>
      </c>
    </row>
    <row r="740" spans="1:4" x14ac:dyDescent="0.35">
      <c r="A740" t="s">
        <v>400</v>
      </c>
      <c r="B740" t="s">
        <v>1070</v>
      </c>
      <c r="C740" t="s">
        <v>1292</v>
      </c>
      <c r="D740">
        <f>(2609.240599*(44/12))/(0.4725284745/0.49)</f>
        <v>9920.9589739478579</v>
      </c>
    </row>
    <row r="741" spans="1:4" x14ac:dyDescent="0.35">
      <c r="A741" t="s">
        <v>590</v>
      </c>
      <c r="B741" t="s">
        <v>1189</v>
      </c>
      <c r="C741" t="s">
        <v>1292</v>
      </c>
      <c r="D741">
        <f>(366.242726*(44/12))/(0.4725284745/0.49)</f>
        <v>1392.5427423386593</v>
      </c>
    </row>
    <row r="742" spans="1:4" x14ac:dyDescent="0.35">
      <c r="A742" t="s">
        <v>622</v>
      </c>
      <c r="B742" t="s">
        <v>859</v>
      </c>
      <c r="C742" t="s">
        <v>1292</v>
      </c>
      <c r="D742">
        <f>(36742.37594*(44/12))/(0.4725284745/0.49)</f>
        <v>139703.33147729348</v>
      </c>
    </row>
    <row r="743" spans="1:4" x14ac:dyDescent="0.35">
      <c r="A743" t="s">
        <v>668</v>
      </c>
      <c r="B743" t="s">
        <v>839</v>
      </c>
      <c r="C743" t="s">
        <v>1292</v>
      </c>
      <c r="D743">
        <f>(0*(44/12))/(0.4725284745/0.49)</f>
        <v>0</v>
      </c>
    </row>
    <row r="744" spans="1:4" x14ac:dyDescent="0.35">
      <c r="A744" t="s">
        <v>669</v>
      </c>
      <c r="B744" t="s">
        <v>1231</v>
      </c>
      <c r="C744" t="s">
        <v>1292</v>
      </c>
      <c r="D744">
        <f>(1516.701085*(44/12))/(0.4725284745/0.49)</f>
        <v>5766.8615327364068</v>
      </c>
    </row>
    <row r="745" spans="1:4" x14ac:dyDescent="0.35">
      <c r="A745" t="s">
        <v>445</v>
      </c>
      <c r="B745" t="s">
        <v>1097</v>
      </c>
      <c r="C745" t="s">
        <v>1292</v>
      </c>
      <c r="D745">
        <f>(1071.331014*(44/12))/(0.4725284745/0.49)</f>
        <v>4073.4576341811544</v>
      </c>
    </row>
    <row r="746" spans="1:4" x14ac:dyDescent="0.35">
      <c r="A746" t="s">
        <v>654</v>
      </c>
      <c r="B746" t="s">
        <v>1223</v>
      </c>
      <c r="C746" t="s">
        <v>1292</v>
      </c>
      <c r="D746">
        <f>(612561.5871*(44/12))/(0.4725284745/0.49)</f>
        <v>2329106.1686548158</v>
      </c>
    </row>
    <row r="747" spans="1:4" x14ac:dyDescent="0.35">
      <c r="A747" t="s">
        <v>401</v>
      </c>
      <c r="B747" t="s">
        <v>1071</v>
      </c>
      <c r="C747" t="s">
        <v>1292</v>
      </c>
      <c r="D747">
        <f>(37591.90873*(44/12))/(0.4725284745/0.49)</f>
        <v>142933.45903235438</v>
      </c>
    </row>
    <row r="748" spans="1:4" x14ac:dyDescent="0.35">
      <c r="A748" t="s">
        <v>643</v>
      </c>
      <c r="B748" t="s">
        <v>1218</v>
      </c>
      <c r="C748" t="s">
        <v>1292</v>
      </c>
      <c r="D748">
        <f>(0*(44/12))/(0.4725284745/0.49)</f>
        <v>0</v>
      </c>
    </row>
    <row r="749" spans="1:4" x14ac:dyDescent="0.35">
      <c r="A749" t="s">
        <v>453</v>
      </c>
      <c r="B749" t="s">
        <v>942</v>
      </c>
      <c r="C749" t="s">
        <v>1292</v>
      </c>
      <c r="D749">
        <f>(14351.06543*(44/12))/(0.4725284745/0.49)</f>
        <v>54566.195013996621</v>
      </c>
    </row>
    <row r="750" spans="1:4" x14ac:dyDescent="0.35">
      <c r="A750" t="s">
        <v>628</v>
      </c>
      <c r="B750" t="s">
        <v>1208</v>
      </c>
      <c r="C750" t="s">
        <v>1292</v>
      </c>
      <c r="D750">
        <f>(0*(44/12))/(0.4725284745/0.49)</f>
        <v>0</v>
      </c>
    </row>
  </sheetData>
  <autoFilter ref="A1:D750" xr:uid="{00000000-0001-0000-0000-000000000000}"/>
  <sortState xmlns:xlrd2="http://schemas.microsoft.com/office/spreadsheetml/2017/richdata2" ref="A2:D750">
    <sortCondition ref="A1:A7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Stanley, Alexander Jordan</cp:lastModifiedBy>
  <dcterms:created xsi:type="dcterms:W3CDTF">2022-10-06T17:51:13Z</dcterms:created>
  <dcterms:modified xsi:type="dcterms:W3CDTF">2023-07-20T21:45:57Z</dcterms:modified>
</cp:coreProperties>
</file>