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study_records/"/>
    </mc:Choice>
  </mc:AlternateContent>
  <xr:revisionPtr revIDLastSave="928" documentId="13_ncr:4000b_{A438CAF6-987A-3840-A0A7-2C4A98AA3B97}" xr6:coauthVersionLast="45" xr6:coauthVersionMax="45" xr10:uidLastSave="{A8728849-936B-8740-AF83-85ACABF9B508}"/>
  <bookViews>
    <workbookView xWindow="-32000" yWindow="0" windowWidth="32000" windowHeight="18000" xr2:uid="{00000000-000D-0000-FFFF-FFFF00000000}"/>
  </bookViews>
  <sheets>
    <sheet name="savedrecs" sheetId="1" r:id="rId1"/>
    <sheet name="Sheet1" sheetId="2" r:id="rId2"/>
  </sheets>
  <definedNames>
    <definedName name="_xlnm._FilterDatabase" localSheetId="0" hidden="1">savedrecs!$I$1:$K$630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21" i="1" l="1"/>
  <c r="H493"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70" i="1"/>
  <c r="H271" i="1"/>
  <c r="H272" i="1"/>
  <c r="H274" i="1"/>
  <c r="H275" i="1"/>
  <c r="H276" i="1"/>
  <c r="H278" i="1"/>
  <c r="H279" i="1"/>
  <c r="H282" i="1"/>
  <c r="H283"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70" i="1"/>
  <c r="H471" i="1"/>
  <c r="H472" i="1"/>
  <c r="H473" i="1"/>
  <c r="H474" i="1"/>
  <c r="H476" i="1"/>
  <c r="H477" i="1"/>
  <c r="H478" i="1"/>
  <c r="H479" i="1"/>
  <c r="H480" i="1"/>
  <c r="H481" i="1"/>
  <c r="H482" i="1"/>
  <c r="H483" i="1"/>
  <c r="H484" i="1"/>
  <c r="H485" i="1"/>
  <c r="H486" i="1"/>
  <c r="H487" i="1"/>
  <c r="H488" i="1"/>
  <c r="H489" i="1"/>
  <c r="H490" i="1"/>
  <c r="H491" i="1"/>
  <c r="H492" i="1"/>
  <c r="H494" i="1"/>
  <c r="H495" i="1"/>
  <c r="H496" i="1"/>
  <c r="H497" i="1"/>
  <c r="H498" i="1"/>
  <c r="H499" i="1"/>
  <c r="H500" i="1"/>
  <c r="H501" i="1"/>
  <c r="H502" i="1"/>
  <c r="H503" i="1"/>
  <c r="H504" i="1"/>
  <c r="H506" i="1"/>
  <c r="H508" i="1"/>
  <c r="H509" i="1"/>
  <c r="H510" i="1"/>
  <c r="H511" i="1"/>
  <c r="H512" i="1"/>
  <c r="H513" i="1"/>
  <c r="H514" i="1"/>
  <c r="H515" i="1"/>
  <c r="H516" i="1"/>
  <c r="H517" i="1"/>
  <c r="H518" i="1"/>
  <c r="H519" i="1"/>
  <c r="H520" i="1"/>
  <c r="H523" i="1"/>
  <c r="H524" i="1"/>
  <c r="H525" i="1"/>
  <c r="H526" i="1"/>
  <c r="H527" i="1"/>
  <c r="H528" i="1"/>
  <c r="H529" i="1"/>
  <c r="H530" i="1"/>
  <c r="H531" i="1"/>
  <c r="H532" i="1"/>
  <c r="H533" i="1"/>
  <c r="H534" i="1"/>
  <c r="H535" i="1"/>
  <c r="H536" i="1"/>
  <c r="H537" i="1"/>
  <c r="H538" i="1"/>
  <c r="H539" i="1"/>
  <c r="H540" i="1"/>
  <c r="H541" i="1"/>
  <c r="H542" i="1"/>
  <c r="H543" i="1"/>
  <c r="H544"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2" i="1"/>
  <c r="H613" i="1"/>
  <c r="H614" i="1"/>
  <c r="H615" i="1"/>
  <c r="H616" i="1"/>
  <c r="H617" i="1"/>
  <c r="H619" i="1"/>
  <c r="H620" i="1"/>
  <c r="H621" i="1"/>
  <c r="H622" i="1"/>
  <c r="H623" i="1"/>
  <c r="H624" i="1"/>
  <c r="H625" i="1"/>
  <c r="H626" i="1"/>
  <c r="H627" i="1"/>
  <c r="H629" i="1"/>
</calcChain>
</file>

<file path=xl/sharedStrings.xml><?xml version="1.0" encoding="utf-8"?>
<sst xmlns="http://schemas.openxmlformats.org/spreadsheetml/2006/main" count="3942" uniqueCount="2703">
  <si>
    <t>Authors</t>
  </si>
  <si>
    <t>Author Full Names</t>
  </si>
  <si>
    <t>Article Title</t>
  </si>
  <si>
    <t>Source Title</t>
  </si>
  <si>
    <t>Abstract</t>
  </si>
  <si>
    <t>Publication Year</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</si>
  <si>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</si>
  <si>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</si>
  <si>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</si>
  <si>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</si>
  <si>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</si>
  <si>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</si>
  <si>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</si>
  <si>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Chen, WH; Mattson, NS; You, FQ</t>
  </si>
  <si>
    <t>Chen, Wei-Han; Mattson, Neil S.; You, Fengqi</t>
  </si>
  <si>
    <t>Intelligent control and energy optimization in controlled environment agriculture via nonlinear model predictive control of semi-closed greenhouse</t>
  </si>
  <si>
    <t>APPLIED ENERGY</t>
  </si>
  <si>
    <t>Greenhouse climate is a highly complex system that contains nonlinearity and dependencies between each system state. This paper proposes a novel nonlinear model predictive control (NMPC) framework for greenhouse climate control to minimize the total control cost mainly coming from energy use. A nonlinear dynamic model of the greenhouse climate, including temperature, humidity, CO2 level, and light intensity, is first constructed based on developed mass balances and energy transport phenomena. Real-world greenhouse climate data and outdoor weather data are gathered to systematically identify the system parameters for the nonlinear greenhouse climate model. The nonlinear dynamic model is then integrated into the proposed NMPC framework which iteratively solves a nonlinear programming problem to obtain the optimal control inputs of fan airflow rate, pad cooling air velocity, heating pipe flow rate, CO2 injection rate, fogging rate, supplemental light intensity, and shade curtain coverage. The stability and feasibility issues of the proposed NMPC framework on a semi-closed greenhouse are explicitly discussed in this work. Case studies on controlling a greenhouse located in Cornell University campus are simulated to demonstrate the performance of the proposed NMPC framework. The results show the NMPC framework could efficiently minimize total control cost and constraint violation. Humidity, CO2 level, and light intensity can be controlled with nearly no violation on the predetermined constraints over different seasons and climate conditions. As for temperature, it is almost always maintained within the acceptable region in winter and spring. On extreme days of summer, there are some temperature violations due to the limited cooling capacity.</t>
  </si>
  <si>
    <t>Ji, YN; Yuan, Y; Wu, G; Feng, CQ; Cheng, RF; Ma, QL; Chen, XE; Tong, YX</t>
  </si>
  <si>
    <t>Ji, Yaning; Yuan, Yu; Wu, Gang; Feng, Chaoqing; Cheng, Ruifeng; Ma, Qianlei; Chen, Xinge; Tong, Yuxin</t>
  </si>
  <si>
    <t>A novel spectral-splitting solar indoor lighting system with reflective direct-absorption cavity: Optical and thermal performance investigating</t>
  </si>
  <si>
    <t>ENERGY CONVERSION AND MANAGEMENT</t>
  </si>
  <si>
    <t>Sunlight contains a wide range of the spectrum, and the spectrum used for plant photosynthesis is mainly located in the visible band (380-780 nm), while the spectral energy of other bands is not suitable for plant growth because it generates heat in summer. In this paper, a novel spectral-splitting solar indoor lighting system with a reflective direct-absorption cavity for Plant Factory was developed, which used the combination of pure water and spectrum splitting mirrors to perfectly separate the visible light and non-visible light of sunlight. Visible light was conducted to Plant Factory by optical fiber to provide illumination for plants, and non-visible light was trapped and then absorbed by a reflective direct-absorption cavity and convert into thermal energy. The structural parameters of the reflective direct-absorption cavity were optimized based on the Monte Carlo method, and the light conduction and heat transfer models were established to analyze the photo-thermal performance of the device. The results of indoor and outdoor tests showed that the solar energy utilization efficiency of the device could reach 50%, among which the light transmission efficiency and heat collection efficiency were 24.7% and 25.3%, respectively. The temperature of the optical fiber coupling end face was kept in the range of 27-37 degrees C, which can ensure the safe and efficient operation of the optical fiber. It provides a new idea for the protection of optical fiber, the efficiency improvement of sunlight conduction lighting technologies, and the energy saving of the Plant Factory lighting in the future.</t>
  </si>
  <si>
    <t>Xydis, GA; Efthimiadou, A; Ucal, M</t>
  </si>
  <si>
    <t>Xydis, George A.; Efthimiadou, Aspasia; Ucal, Meltem</t>
  </si>
  <si>
    <t>Food to Grid: Developing a Multi-Value renewable energy investment ecosystem</t>
  </si>
  <si>
    <t>The paper is focused on building a multi-source small-scale facility that shall be focused on increasing the Renewable Energy Sources share into the grid and at the same time meet the energy, and fresh food needs of the small community that shall operate. The developed facility that shall be utilised is introducing, in practice, a sustainable Energy-Food nexus plan that can be implemented and put into action by the independent power producers and municipalities, meeting also the goal of supporting the grid (a Food to Grid approach). A case study was tested, and it was found that a scheme that couples the curtailed power with a potential mass deployment of vertical farms is beyond sustainable and even with very low marginal price-earnings and the minimum price offered for vertical farms, under specific scenarios can have a full payback in 14 years as an investment. However, in the average optimal case, the investors can get their investments back in 7 years, with an internal rate of return of 17%.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</si>
  <si>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</si>
  <si>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</si>
  <si>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</si>
  <si>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</si>
  <si>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</si>
  <si>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Shahda, MM; Megahed, NA</t>
  </si>
  <si>
    <t>Shahda, Merhan M.; Megahed, Naglaa A.</t>
  </si>
  <si>
    <t>Post-pandemic architecture: a critical review of the expected feasibility of skyscraper-integrated vertical farming (SIVF)</t>
  </si>
  <si>
    <t>ARCHITECTURAL ENGINEERING AND DESIGN MANAGEMENT</t>
  </si>
  <si>
    <t>Can skyscrapers survive after COVID-19? Can the idea of integrating vertical farming (VF) into vertical architecture support the environmental, economic, and social issues in the post-pandemic era? Answering these questions is the main objective of this study. Therefore, it explores a) the impact of the pandemic on the built environment, especially skyscrapers; b) the challenges facing the survival of skyscrapers; c) the design parameters and main components of VF; and d) the expected feasibility of integrating VF into vertical architecture to reduce the effects of the pandemic. The research concludes that the skyscraper-integrated vertical farming (SIVF) paradigm can create a closed ecosystem that preserves the environment by a) supporting food security, b) improving indoor environmental quality, c) enhancing psychological and physical health, d) saving energy, e) reducing greenhouse gas emissions and releasing oxygen, and f) supporting the local economy. Consequently, the SIVF paradigm can inaugurate an innovative approach that provides insights into new research trends and discoveries. However, further constraints in the adoption of SIVF should be addressed, and collaborations between researchers and multidisciplinary experts must be created to achieve suitable solutions.</t>
  </si>
  <si>
    <t>Chutimanukul, P; Mosaleeyanon, K; Janta, S; Toojinda, T; Darwell, CT; Wanichananan, P</t>
  </si>
  <si>
    <t>Chutimanukul, Panita; Mosaleeyanon, Kriengkrai; Janta, Supattana; Toojinda, Theerayut; Darwell, Clive Terence; Wanichananan, Praderm</t>
  </si>
  <si>
    <t>Physiological responses, yield and medicinal substance (andrographolide, AP1) accumulation of Andrographis paniculata (Burm. f) in response to plant density under controlled environmental conditions</t>
  </si>
  <si>
    <t>PLOS ONE</t>
  </si>
  <si>
    <t>Agricultural practice in adjusting planting density and harvest date are important factors for plant development and crop improvement, reaching maximum yields and enhancing the production of secondary metabolites. However, it is unclear as to the optimal planting densities during mass production that encourage consistent, high yield secondary metabolite content. For this, controlled environment, crop production facilities such as plant factories with artificial lighting (PFAL) offer opportunity to enhance quality and stabilize production of herbal plants. This study assessed the effect of plant density and harvest date on physiological responses, yield and andrographolide (AP1) content in Andrographis paniculata (Andrographis) using hydroponic conditions in a PFAL system. Andrographis, harvested at vegetative stage (30 days after transplanting; 30 DAT) and initial stage of flowering (60 DAT) exhibited no significant differences in growth parameters or andrographolide accumulation according to planting densities. Harvest time at flowering stage (90 DAT) showed the highest photosynthetic rates at a planting density of 15 plants m(-2). Highest yield, number of leaves, and Andrographolide (AP1) content (mg per gram of DW in m(2)) were achieved at a more moderate planting density (30 plants m(-2)). Finally, five out of seventeen indices of leaf reflectance reveal high correlation (r= 0.8 to 1.0 and r= -0.8 to -1.0, P&lt;0.01) with AP1 content. These results suggest that a planting density of 30 plants m(-2) and harvest time of 90 DAT provide optimal growing condition under the hydroponic PFAL system.</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</si>
  <si>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</si>
  <si>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</si>
  <si>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</si>
  <si>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</si>
  <si>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</si>
  <si>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</si>
  <si>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</si>
  <si>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</si>
  <si>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</si>
  <si>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</si>
  <si>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</si>
  <si>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</si>
  <si>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</si>
  <si>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</si>
  <si>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</si>
  <si>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Parkes, MG; Tovar, JPC; Dourado, F; Domingos, T; Teixeira, RFM</t>
  </si>
  <si>
    <t>Parkes, Michael G.; Cubillos Tovar, Julieth P.; Dourado, Filipe; Domingos, Tiago; Teixeira, Ricardo F. M.</t>
  </si>
  <si>
    <t>Life Cycle Assessment of a Prospective Technology for Building-Integrated Production of Broccoli Microgreens</t>
  </si>
  <si>
    <t>ATMOSPHERE</t>
  </si>
  <si>
    <t>Indoor Vertical Farms (IVF) can contribute to urban circular food systems by reducing food waste and increasing resource use efficiency. They are also known for high energy consumption but could potentially be improved by integration with buildings. Here, we aim to quantify the environmental performance of a prospective building-integrated urban farm. We performed a Life Cycle Assessment for a unit installed in a university campus in Portugal, producing broccoli microgreens for salads. This technology integrates IVF, product processing and Internet of Things with unused space. Its environmental performance was analyzed using two supply scenarios and a renewable energy variation was applied to each scenario. Results show that the IVF system produces 7.5 kg of microgreens daily with a global warming potential of 18.6 kg CO(2)e/kg in the case of supply direct on campus, or 22.2 kg CO(2)e/kg in the case of supply off campus to retailers within a 10-km radius. Consistently in both scenarios, electricity contributed the highest emission, with 10.03 kg CO(2)e/kg, followed by seeds, with 4.04 kg CO(2)e/kg. The additional use of photovoltaic electricity yields a reduction of emissions by 32%; an improvement of approximately 16% was found for most environmental categories. A shortened supply chain, coupled with renewable electricity production, can contribute significantly to the environmental performance of building-integrated IVF.</t>
  </si>
  <si>
    <t>Parkes, MG; Azevedo, DL; Domingos, T; Teixeira, RFM</t>
  </si>
  <si>
    <t>Parkes, Michael G.; Azevedo, Duarte Leal; Domingos, Tiago; Teixeira, Ricardo F. M.</t>
  </si>
  <si>
    <t>Narratives and Benefits of Agricultural Technology in Urban Buildings: A Review</t>
  </si>
  <si>
    <t>The literature on agricultural technology (ag-tech) for urban agriculture (UA) offers many narratives about its benefits in addressing the challenges of sustainability and food security for urban environments. In this paper, we present a literature review for the period 2015-2022 of research carried out on currently active UA installations. We aim to systematise the most common narratives regarding the benefits of controlled environment agriculture (CEA) and soil-less growing systems in urban buildings and assess the existence of peer-reviewed data supporting these claims. The review was based on 28 articles that provided detailed information about 68 active UA installations depicting multiple types of ag-tech and regions. The results show that most research conducted for commercial UA-CEA installations was carried out in North America. Standalone CEA greenhouses or plant factories as commercial producers for urban areas were mostly found in Asia and Europe. The most often cited benefits are that the integration of multiple CEA technologies with energy systems or building climate systems enables the transfer of heat through thermal airflow exchange and CO2 fertilisation to improve commercial production. However, this review shows that the data quantifying the benefits are limited and, therefore, the exact environmental effects of CEA are undetermined.</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</si>
  <si>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</si>
  <si>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</si>
  <si>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</si>
  <si>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</si>
  <si>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</si>
  <si>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Shao, YM; Wang, ZG; Zhou, ZW; Chen, HJ; Cui, YL; Zhou, ZH</t>
  </si>
  <si>
    <t>Shao, Yiming; Wang, Zhugen; Zhou, Zhiwei; Chen, Haojing; Cui, Yuanlong; Zhou, Zhenghuan</t>
  </si>
  <si>
    <t>Determinants Affecting Public Intention to Use Micro-Vertical Farming: A Survey Investigation</t>
  </si>
  <si>
    <t>SUSTAINABILITY</t>
  </si>
  <si>
    <t>Vertical farming is a new branch of urban agriculture using indoor vertical space and soil-less cultivation technology to obtain agricultural products. Despite its many advantages over traditional farming, it still faces some challenges and obstacles, including high energy consumption and costs, as well as uncertainty and a lack of social acceptance. This study aims to investigate the influence of public acceptance on micro-vertical farming based on the deconstructed theory of planned behavior model. This model is adopted for statistical analysis to reveal the factors and their weights in influencing people's behavioral intentions. The results indicate that the overall mean of the public's behavioral intentions to use vertical farming is 3.9, which is above neutral (M = 3.00) but less than positive (M = 4.00). Differences in age, education level, and the living area of the public have significantly impacted behavioral intentions. Meanwhile, the statistical results support the hypotheses concerning the behavioral attitudes, subjective norms, and perceived behavioral control of the model, and also demonstrate that their decomposed belief structures considerably influence the public's behavioral intentions to use vertical farming. Notably, perceived usefulness is the most critical driving factor in planting using vertical farming. The findings of this study contribute to better predictions of the effects of different elements of behavioral intention on vertical farming at the urban scale, which may provide a basis for decision making in the development of sustainable urban agriculture.</t>
  </si>
  <si>
    <t>Sun, HH; Sun, YC; Jin, MZ; Ripp, SA; Sayler, GS; Zhuang, J</t>
  </si>
  <si>
    <t>Sun, Huihui; Sun, Yanchen; Jin, Mingzhou; Ripp, Steven A.; Sayler, Gary S.; Zhuang, Jie</t>
  </si>
  <si>
    <t>Domestic plant food loss and waste in the United States: Environmental footprints and mitigation strategies</t>
  </si>
  <si>
    <t>WASTE MANAGEMENT</t>
  </si>
  <si>
    <t>The United States (U.S.) aims to reduce half of food loss and waste (FLW) by 2030. To achieve this goal, the public, academic, and political attentions on FLW have been increasing, and a series of actions have been implemented. However, the actions lack consideration on the categorical priority of FLW mitigation in relation to environmental footprints. In this article, we compare the FLW of three main plant food categories (i.e., grains, vegetables, and fruits) and their water and carbon footprints during 1970-2017. The vegetable FLW doubled during the period, reaching 3.39 x 1010 kg in 2017, which was 5- and 2-fold higher than the FLW of grains and fruits, respectively. The FLW of vegetables, grains, and fruits contributed 29%, 47%, and 24% to the total blue water wasted through FLW. The total carbon dioxide emissions generated by plant FLW were contributed by vegetables with 50%, grains with 31%, and fruits with 19%. Canonical correspondence analysis indicates that vegetable FLW had a higher positive correlation with urbanization, household incomes, gross domestic product, and high-income population than grain FLW, whereas fruit FLW was not influenced by these socioeconomic factors. Therefore, we suggest that the FLW mitigation should be prioritized on vegetables. Specific strategies include local food sourcing, shortening food miles, building food belts, and developing controlled-environment agriculture. Our data-based comparisons provide valuable insights into food policy improvement for achieving the 2030 reduction goal of the U.S., but the insights could be improved by considering the influences of foods imported from other nations.</t>
  </si>
  <si>
    <t>Uyeh, DD; Akinsoji, A; Asem-Hiablie, S; Bassey, BI; Osinuga, A; Mallipeddi, R; Amaizu, M; Ha, YS; Park, T</t>
  </si>
  <si>
    <t>Uyeh, Daniel Dooyum; Akinsoji, Adisa; Asem-Hiablie, Senorpe; Bassey, Blessing Itoro; Osinuga, Abraham; Mallipeddi, Rammohan; Amaizu, Maryleen; Ha, Yushin; Park, Tusan</t>
  </si>
  <si>
    <t>An online machine learning-based sensors clustering system for efficient and cost-effective environmental monitoring in controlled environment agriculture</t>
  </si>
  <si>
    <t>COMPUTERS AND ELECTRONICS IN AGRICULTURE</t>
  </si>
  <si>
    <t>Sensors are vital in controlled environment agriculture for measuring parameters for effective decision-making. Currently, most growers randomly install a limited number of sensors due to economic implications and data management issues. The microclimate within a protected cultivation system is continuously affected by the macroclimate (ambient), which further complicates decision-making around optimal sensor placement. The ambient weather's effect on the indoor microclimate makes it challenging to predict or acquire the ideal condition of the systems through using sensors. This study proposed and implemented a machine learning (KMeans++) algorithm to select optimal sensor locations through clustering. Temperature and relative humidity data were collected from 56 different locations within the greenhouse for over a year covering and these covered four major seasons (spring, summer, autumn, and winter). The data was processed to remove outliers or noise interference using interquartile. The original temperature and relative humidity data were transformed to other air properties (dew point temperature, enthalpy, humid ratio, and specific volume) and used in simulations. The results obtained showed that the number of optimal sensor locations ranged between 3 and 5, and there were similar sensor locations among the air properties. An online machine learning web-based system was developed to systematically determine the optimal number of sensors and location.</t>
  </si>
  <si>
    <t>Vatistas, C; Avgoustaki, DD; Bartzanas, T</t>
  </si>
  <si>
    <t>Vatistas, Christos; Avgoustaki, Dafni Despoina; Bartzanas, Thomas</t>
  </si>
  <si>
    <t>A Systematic Literature Review on Controlled-Environment Agriculture: How Vertical Farms and Greenhouses Can Influence the Sustainability and Footprint of Urban Microclimate with Local Food Production</t>
  </si>
  <si>
    <t>The rapidly growing population and increasing urbanization have created the need to produce more food and transport it safely to urban areas where the majority of global consumers live. Open-field agriculture and food distribution systems have a lot of food waste, and, in parallel, the largest percentage of available arable land is already occupied. In most cases, food produced by compatible agricultural methods needs to be frozen and travel several miles until it reaches the consumer, with high amounts of greenhouse gas (GHG) emissions produced by this process, making it an unsustainable method with huge amounts of CO2 emissions related with fresh food products. This research contains an extensive literature review based on 165 international publications (from 2006-2022) describing and analyzing the efficiency and impact of controlled-environment agriculture (CEA) methods, and more precisely, greenhouses (GHs) and vertical farms (VFs), in the environmental footprint of food production and consumption. Based on various publications, we could draw the conclusion that VFs could highly influence a greener transition to the sustainability of urban consumption with reduced CO2 emissions sourcing from food transportation and limited post-harvest processes. However, there is a significant demand for further energy efficiency, specifically when it comes to artificial lighting operations inside VFs. A large-scale implementation of VFs that operate with renewable energy sources (RES) could lead to significant urban decarbonization by providing the opportunity for integrated energy-food nexus systems. Under this direction, VFs could optimize the way that cities interact with meeting the food and energy demand in densely urbanized areas.</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</si>
  <si>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</si>
  <si>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</si>
  <si>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</si>
  <si>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</si>
  <si>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</si>
  <si>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</si>
  <si>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</si>
  <si>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</si>
  <si>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</si>
  <si>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Zhang, Y; Kacira, M</t>
  </si>
  <si>
    <t>Zhang, Ying; Kacira, Murat</t>
  </si>
  <si>
    <t>Analysis of climate uniformity in indoor plant factory system with computational fluid dynamics (CFD)</t>
  </si>
  <si>
    <t>Air movement greatly affects plant growth and therefore providing adequate air movement and uniform growth environment is important. Computational fluid dynamics (CFD) simulations were applied to study transport phenomena of flow fields inside a commercial, large-scale indoor plant factory, having the goal to improve climate uniformity and subsequently crop uniformity. Five designs of ventilation system were compared with different combinations of air supply vents and return air outlets with steady-state simulation. The climate uniformity was compared with relative standard deviation (RSD) in five cases for air current speed (m s(-1)), air temperature (K), and vapour pressure deficit (Pa) at just above the top surfaces of crop canopies. These included Case 1-with supply air inlets and return air outlets installed on opposite side walls; Case 2 with inlets and outlets placed in alternating rows on the ceiling; Case 3 with the same size and location of inlets as in Case 2 but with outlets placed on two side walls at the floor level; Case 4 with perforated air tubes installed above aisles and outlets placed on the ceiling; and Case 5 with a perforated air tube installed at each level of shelves. With the localized air ventilation method (Case 5), the climate uniformity at the crop canopy was improved compared to the control case (Case 1). The RSD for the averages of air current speed, air temperature, and vapour pressure deficit (VPD) were improved by 14.3%, 0.1%, and 1.0% respectively. (C) 2022 IAgrE. Published by Elsevier Ltd. All rights reserved.</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</si>
  <si>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</si>
  <si>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</si>
  <si>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</si>
  <si>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</si>
  <si>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</si>
  <si>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Paudel, B; Basak, JK; Madhavi, BGK; Kim, NE; Lee, GH; Choi, GM; Choi, YW; Kim, HT</t>
  </si>
  <si>
    <t>Paudel, Bhola; Basak, Jayanta Kumar; Madhavi, Bolappa Gamage Kaushalya; Kim, Na-Eun; Lee, Gun-Ho; Choi, Gyeong-Mun; Choi, Young-Woo; Kim, Hyeon Tae</t>
  </si>
  <si>
    <t>Properties of paper-based biodegradable pots for growing seedlings</t>
  </si>
  <si>
    <t>The disadvantageous properties of plastic and plastic wastes have resulted in biodegradable products and seedling pots gaining popularity. Agents of different strengths and sizes agents are usually mixed in the paper pulp to enhance the strength of paper-based seedlings pots. In this study, three types of paper-based seedling pots, with 0%, 3% and 5% of additives, named N0, N3, and N5, respectively, were tested to determine their physical, mechanical and biodegradation properties. Water absorption test results showed that the absorption rate was higher in N0, followed by N3 and N5; a similar pattern was observed in the maximum water absorption, thickness and solubility tests. The tensile test showed the highest strength in N3 (3.9 MPa), followed by N0 (3.8 MPa) and N5 (3.1 MPa) at 0% moisture absorption. However, at 100% moisture absorption, tensile strength dropped the most for N0 (82%), followed by N3 (67%) and N5 (65%). Hybrid broccoli seeds germinated inside the plant factory showed that 95% germinated within 13 days. Temporal data showed that germination time was most delayed in N5. No significant difference was found in seedling height; however, a significant difference was found in the root to shoot height ratio. N0 showed maximum weight and tensile strength loss on the biodegradation test, followed by N3 and N5. At the end of the fourth week, the tensile strength of N0, N3 and N5 was found to be 0.25 MPa, 0.69 MPa and 0.79 MPa, respectively, which was reduced by 94%, 81%, and 79%, respectively, compared to their initial strength. In conclusion, pots containing water repellent additives showed different properties than those without additives, except for germination and seedling growth. This experiment confirms that using additives will increase the strength of paper-based seedling pots in wet conditions without affecting the germination and growth of seedlings.</t>
  </si>
  <si>
    <t>Lee, JY; Goto, E; Yoshida, H; Hikosaka, S</t>
  </si>
  <si>
    <t>Lee, Ji-Yoon; Goto, Eiji; Yoshida, Hideo; Hikosaka, Shoko</t>
  </si>
  <si>
    <t>Optimal harvest-time to maximize the annual camptothecin production by Ophiorrhiza pumila in a plant factory with artificial light</t>
  </si>
  <si>
    <t>JOURNAL OF NATURAL MEDICINES</t>
  </si>
  <si>
    <t>Ophiorrhiza pumila is a medicinal plant that grows in subtropical forests and produces camptothecin (CPT). To determine an optimal harvest time of O. pumila in a plant factory with artificial light (PFAL), we investigated the CPT distribution in each organ and at the developmental stage and estimated the annual CPT production. For this study, the O. pumila plants were grown in controlled environments (16 h light period, photosynthetic photon flux density of 100 mu mol m(-2) s(-1) under white light-emitting diode lamps, air temperature of 28 degrees C, relative humidity of 80%, and CO2 concentration of 1000 mu mol mol(-1)). First, the stem, root, and seed pod had higher CPT contents than the leaves, flower, and ovary. The optimal harvest time of O. pumila in a PFAL was 63 days after transplanting (DAT), because the CPT content in the whole organs was the highest at the seed-ripening stage. Second, based on these results, the estimated annual CPT production of O. pumila cultivated in a PFAL was 380 mg m(-2) y(-1) (63 DAT). This value was 4.3 times greater than the annual CPT production by Camptotheca acuminata in a greenhouse. We concluded that the CPT production by O. pumila in a PFAL throughout the year has many advantages, although the demand for electrical energy was high compared to that of Camptotheca acuminata in a greenhouse.</t>
  </si>
  <si>
    <t>Thomson, L</t>
  </si>
  <si>
    <t>Thomson, Linus</t>
  </si>
  <si>
    <t>Leveraging the value from digitalization: a business model exploration of new technology-based firms in vertical farming</t>
  </si>
  <si>
    <t>JOURNAL OF MANUFACTURING TECHNOLOGY MANAGEMENT</t>
  </si>
  <si>
    <t>Purpose The purpose of this paper is to investigate how new technology-based firms (NTBFs) overcome established notions of scale and scope through business model innovation, leveraging the value from digitalization. Design/methodology/approach The study adopts an exploratory research design, drawing on a novel data set of 50 publicly available interviews with vertical farming (VF) industry leaders and insiders who represent 36 different organizations from North America and Europe. Findings The study develops a framework showing how NTBFs leverage the value from digitalization via a paradoxical approach combining both efficiency and novelty value drivers. Originality/value The study extends current theorizing on the desirability of a combined business model approach leveraging both efficiency and novelty from digitalization. Furthermore, the study is among the first to investigate the unique and highly technological context of VF.</t>
  </si>
  <si>
    <t>Balazs, L; Dombi, Z; Csambalik, L; Sipos, L</t>
  </si>
  <si>
    <t>Balazs, Laszlo; Dombi, Zoltan; Csambalik, Laszlo; Sipos, Laszlo</t>
  </si>
  <si>
    <t>Characterizing the Spatial Uniformity of Light Intensity and Spectrum for Indoor Crop Production</t>
  </si>
  <si>
    <t>Maintaining uniform photon irradiance distribution above the plant canopy is a fundamental goal in controlled environment agriculture (CEA). Spatial variation in photon irradiance below the light saturation point will drive differences in individual plant development, decreasing the economic value of the crop. Plant growth is also affected by the spectral composition of light. So far, little attention has been paid to the quantification of the spatial variability in horticultural lighting applications. This work provides a methodology to benchmark and compare lighting installations used in indoor cultivation facilities. We measured the photon irradiance distributions underneath two typical grow light installations using a 10 x 10 measurement grid with 100 mm spacing. We calculated photon irradiance values for each grid point for 100 nm-wide blue, green, red and far-red wavebands covering the 400-800 nm range. We showed that the generally used uniformity metric defined as the minimum to average ratio of PPFD is not appropriate for the characterization of light uniformity in horticultural lighting applications. Instead, we propose to normalize photon irradiance to the maximum, analyze the histograms constructed from relative photon irradiance values and consider the light response of the cultivated crop while comparing the performance of CEA grow systems.</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</si>
  <si>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</si>
  <si>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</si>
  <si>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</si>
  <si>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</si>
  <si>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</si>
  <si>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</si>
  <si>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</si>
  <si>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</si>
  <si>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</si>
  <si>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</si>
  <si>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</si>
  <si>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</si>
  <si>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</si>
  <si>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</si>
  <si>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</si>
  <si>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</si>
  <si>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</si>
  <si>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</si>
  <si>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</si>
  <si>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</si>
  <si>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</si>
  <si>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</si>
  <si>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</si>
  <si>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Hinojosa-Meza, R; Olvera-Gonzalez, E; Escalante-Garcia, N; Dena-Aguilar, JA; Rivera, MM; Vacas-Jacques, P</t>
  </si>
  <si>
    <t>Hinojosa-Meza, Rolando; Olvera-Gonzalez, Ernesto; Escalante-Garcia, Nivia; Dena-Aguilar, Jose Alonso; Montes Rivera, Martin; Vacas-Jacques, Paulino</t>
  </si>
  <si>
    <t>Cost-Effective and Portable Instrumentation to Enable Accurate pH Measurements for Global Industry 4.0 and Vertical Farming Applications</t>
  </si>
  <si>
    <t>APPLIED SCIENCES-BASEL</t>
  </si>
  <si>
    <t>Global Vertical Farming (VF) applications with characteristic Industry 4.0 connectivity will become more and more relevant as the challenges of food supply continue to increase worldwide. In this work, a cost-effective and portable instrument that enables accurate pH measurements for VF applications is presented. We demonstrate that by performing a well-designed calibration of the sensor, a near Nernstian response, 57.56 [mV/pH], ensues. The system is compared to a ten-fold more expensive laboratory gold standard, and is shown to be accurate in determining the pH of substances in the 2-14 range. The instrument yields precise pH results with an average absolute deviation of 0.06 pH units and a standard deviation of 0.03 pH units. The performance of the instrument is ADC-limited, with a minimum detectable value of 0.028 pH units, and a typical absolute accuracy of +/- 0.062 pH units. By meticulously designing bias and amplification circuitry of the signal conditioning stage, and by optimizing the signal acquisition section of the instrument, a (minimum) four-fold improvement in performance is expected.</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</si>
  <si>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</si>
  <si>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</si>
  <si>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</si>
  <si>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</si>
  <si>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</si>
  <si>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</si>
  <si>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</si>
  <si>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</si>
  <si>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</si>
  <si>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</si>
  <si>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</si>
  <si>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</si>
  <si>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Uyeh, DD; Mallipeddi, R; Park, T; Woo, S; Ha, Y</t>
  </si>
  <si>
    <t>Uyeh, Daniel Dooyum; Mallipeddi, Rammohan; Park, Tusan; Woo, Seungmin; Ha, Yushin</t>
  </si>
  <si>
    <t>Technological Advancements and Economics in Plant Production Systems: How to Retrofit?</t>
  </si>
  <si>
    <t>FRONTIERS IN PLANT SCIENCE</t>
  </si>
  <si>
    <t>Plant production systems such as plant factories and greenhouses can help promote resilience in food production. These systems could be used for plant protection and aid in controlling the micro- and macro- environments needed for optimal plant growth irrespective of natural disasters and changing climate conditions. However, to ensure optimal environmental controls and efficient production, several technologies such as sensors and robots have been developed and are at different stages of implementation. New and improved systems are continuously being investigated and developed with technological advances such as robotics, sensing, and artificial intelligence to mitigate hazards to humans working in these systems from poor ventilation and harsh weather while improving productivity. These technological advances necessitate frequent retrofits considering local contexts such as present and projected labor costs. The type of agricultural products also affects measures to be implemented to maximize returns on investment. Consequently, we formulated the retrofitting problem for plant production systems considering two objectives; minimizing the total cost for retrofitting and maximizing the yearly net profit. Additionally, we considered the following: (a) cost of new technologies; (b) present and projected cost for human labor and robotics; (c) size and service life of the plant production system; (d) productivity before and after retrofit, (e) interest on loans for retrofitting, (f) energy consumption before and after retrofit and, (g) replacement and maintenance cost of systems. We solved this problem using a multi-objective evolutionary algorithm that results in a set of compromised solutions and performed several simulations to demonstrate the applicability and robustness of the method. Results showed up to a 250% increase in annual net profits in an investigated case, indicating that the availability of all the possible retrofitting combinations would improve decision making. A user-friendly system was developed to provide all the feasible retrofitting combinations and total costs with the yearly return on investment in agricultural production systems in a single run.</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</si>
  <si>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</si>
  <si>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</si>
  <si>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</si>
  <si>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</si>
  <si>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</si>
  <si>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</si>
  <si>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</si>
  <si>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</si>
  <si>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</si>
  <si>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</si>
  <si>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</si>
  <si>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</si>
  <si>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</si>
  <si>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</si>
  <si>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</si>
  <si>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</si>
  <si>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</si>
  <si>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</si>
  <si>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Manos, DP; Xydis, G</t>
  </si>
  <si>
    <t>Manos, Dimitrios-Panagiotis; Xydis, George</t>
  </si>
  <si>
    <t>A multi-criteria linear model on carbon footprint in vertical farms and its relation to energy demand and operational costs</t>
  </si>
  <si>
    <t>ENVIRONMENTAL SCIENCE AND POLLUTION RESEARCH</t>
  </si>
  <si>
    <t>Operational research is the scientific discipline - widespread in sciences like engineering, economics, sociology, politics - that applies advanced analytical methods to assist in decision-making. The aim of this study was to demonstrate the value of such methods to the research of the carbon footprint produced by vertical farms, in specific its decrease in regard to the pre- and post-operational energy consumption and cost that occurs throughout their lifecycle. A logistic structure was designed, dependent on specific parameters, such as the space, location, and fuel of the hydroponic unit that change during the research. This way, multiple possible scenarios could be studied. The results of each scenario were analysed and compared via a linear multi-criteria model. The results demonstrated strong dependencies (and softer links) between particular parameters, such as the choice of space and the food miles required for the product.</t>
  </si>
  <si>
    <t>Carolan, M</t>
  </si>
  <si>
    <t>Carolan, Michael</t>
  </si>
  <si>
    <t>It's About time: temporal and spatial fixes find vertical farms and local food in the shadow of COVID-19</t>
  </si>
  <si>
    <t>JOURNAL OF PEASANT STUDIES</t>
  </si>
  <si>
    <t>This paper investigates what investments in shorter supply chains, especially post-outbreak (COVID), mean in relation to broader agrifood corporatization trends. The paper draws from 25 interviews with individuals connected to large-scale vertical farming operations in the US and Canada, from investors and executives of vertical agriculture firms to managers of restaurants and grocery stores that sourced from capital-intensive indoor farms. The spatial fix literature is used to interrogate this push to pursue local food in COVID's shadow through capital-intensive vertical agriculture, noting these farms are as much about a time as they are about a place.</t>
  </si>
  <si>
    <t>Cowan, N; Ferrier, L; Spears, B; Drewer, J; Reay, D; Skiba, U</t>
  </si>
  <si>
    <t>Cowan, Nicholas; Ferrier, Laura; Spears, Bryan; Drewer, Julia; Reay, Dave; Skiba, Ute</t>
  </si>
  <si>
    <t>CEA Systems: the Means to Achieve Future Food Security and Environmental Sustainability?</t>
  </si>
  <si>
    <t>FRONTIERS IN SUSTAINABLE FOOD SYSTEMS</t>
  </si>
  <si>
    <t>As demand for food production continues to rise, it is clear that in order to meet the challenges of the future in terms of food security and environmental sustainability, radical changes are required throughout all levels of the global food system. Controlled Environment Agriculture (CEA) (a.k.a. indoor farming) has an advantage over conventional farming methods in that production processes can be largely separated from the natural environment, thus, production is less reliant on environmental conditions, and pollution can be better restricted and controlled. While output potential of conventional farming at a global scale is predicted to suffer due to the effects of climate change, technological advancements in this time will drastically improve both the economic and environmental performance of CEA systems. This article summarizes the current understanding and gaps in knowledge surrounding the environmental sustainability of CEA systems, and assesses whether these systems may allow for intensive and fully sustainable agriculture at a global scale. The energy requirements and subsequent carbon footprint of many systems is currently the greatest environmental hurdle to overcome. The lack of economically grown staple crops which make up the majority of calories consumed by humans is also a major limiting factor in the expansion of CEA systems to reduce the environmental impacts of food production at a global scale. This review introduces the concept of Integrated System CEA (ISCEA) in which multiple CEA systems can be deployed in an integrated localized fashion to increase efficiency and reduce environmental impacts of food production. We conclude that it is feasible that with sufficient green energy, that ISCEA systems could largely negate most forms of environmental damage associated with conventional farming at a global scale (e.g., GHGs, deforestation, nitrogen, phosphorus, pesticide use, etc.). However, while there is plenty of research being carried out into improving energy efficiency, renewable energy and crop diversification in CEA systems, the circular economy approach to waste is largely ignored. We recommend that industries begin to investigate how nutrient flows and efficiencies in systems can be better managed to improve the environmental performance of CEA systems of the future.</t>
  </si>
  <si>
    <t>Yoon, HI; Kim, J; Oh, MM; Son, JE</t>
  </si>
  <si>
    <t>Yoon, Hyo In; Kim, Jaewoo; Oh, Myung-Min; Son, Jung Eek</t>
  </si>
  <si>
    <t>Prediction of Phenolic Contents Based on Ultraviolet-B Radiation in Three-Dimensional Structure of Kale Leaves</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</si>
  <si>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</si>
  <si>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de Carbonnel, M; Stormonth-Darling, JM; Liu, WQ; Kuziak, D; Jones, MA</t>
  </si>
  <si>
    <t>de Carbonnel, Matthieu; Stormonth-Darling, John M.; Liu, Weiqi; Kuziak, Dmytro; Jones, Matthew Alan</t>
  </si>
  <si>
    <t>Realising the Environmental Potential of Vertical Farming Systems through Advances in Plant Photobiology</t>
  </si>
  <si>
    <t>Simple Summary Vertical farming systems (VFS) have great potential for improving crop productivity but are energy-intensive, since light, temperature, and humidity each need to be controlled. In this review, we consider the challenges of incorporating renewable energy into VFS and highlight how light spectra, intensity, and daylength can be varied to influence the quality of crops. We propose that insights from plant photobiology can be utilised to optimise energy efficiency in this rapidly evolving sector. Intensive agriculture is essential to feed increasing populations, yet requires large amounts of pesticide, fertiliser, and water to maintain productivity. One solution to mitigate these issues is the adoption of Vertical Farming Systems (VFS). The self-contained operation of these facilities offers the potential to recycle agricultural inputs, as well as sheltering crops from the effects of climate change. Recent technological advancements in light-emitting diode (LED) lighting technology have enabled VFS to become a commercial reality, although high electrical consumption continues to tarnish the environmental credentials of the industry. In this review, we examine how the inherent use of electricity by VFS can be leveraged to deliver commercial and environmental benefits. We propose that an understanding of plant photobiology can be used to vary VFS energy consumption in coordination with electrical availability from the grid, facilitating demand-side management of energy supplies and promoting crop yield.</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</si>
  <si>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</si>
  <si>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</si>
  <si>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</si>
  <si>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</si>
  <si>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Rivera, MM; Escalante-Garcia, N; Dena-Aguilar, JA; Olvera-Gonzalez, E; Vacas-Jacques, P</t>
  </si>
  <si>
    <t>Montes Rivera, Martin; Escalante-Garcia, Nivia; Alonso Dena-Aguilar, Jose; Olvera-Gonzalez, Ernesto; Vacas-Jacques, Paulino</t>
  </si>
  <si>
    <t>Feature Selection to Predict LED Light Energy Consumption with Specific Light Recipes in Closed Plant Production Systems</t>
  </si>
  <si>
    <t>The use of closed growth environments, such as greenhouses, plant factories, and vertical farms, represents a sustainable alternative for fresh food production. Closed plant production systems (CPPSs) allow growing of any plant variety, no matter the year's season. Artificial lighting plays an essential role in CPPSs as it promotes growth by providing optimal conditions for plant development. Nevertheless, it is a model with a high demand for electricity, which is required for artificial radiation systems to enhance the developing plants. A high percentage (40% to 50%) of the costs in CPPSs point to artificial lighting systems. Due to this, lighting strategies are essential to improve sustainability and profitability in closed plant production systems. However, no tools have been applied in the literature to contribute to energy savings in LED-type artificial radiation systems through the configuration of light recipes (wavelengths combination. For CPPS to be cost-effective and sustainable, a pre-evaluation of energy consumption for plant cultivation must consider. Artificial intelligence (AI) methods integrated into the prediction crucial variables such as each input-variable light color or specific wavelengths like red, green, blue, and white along with light intensity (quantity), frequency (pulsed light), and duty cycle. This paper focuses on the feature-selection stage, in which a regression model is trained to predict energy consumption in LED lights with specific light recipes in CPPSs. This stage is critical because it identifies the most representative features for training the model, and the other stages depend on it. These tools can enable further in-depth analysis of the energy savings that can be obtained with light recipes and pulsed and continuous operation light modes in artificial LED lighting systems.</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</si>
  <si>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</si>
  <si>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</si>
  <si>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</si>
  <si>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</si>
  <si>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</si>
  <si>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</si>
  <si>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</si>
  <si>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</si>
  <si>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Verbeek, M; Hardeweg, B</t>
  </si>
  <si>
    <t>Verbeek, M.; Hardeweg, B.</t>
  </si>
  <si>
    <t>From consumer to prosumer: Are small-scale home indoor farms economically viable?</t>
  </si>
  <si>
    <t>EUROPEAN JOURNAL OF HORTICULTURAL SCIENCE</t>
  </si>
  <si>
    <t>Indoor farming is one approach to face future challenges in agricultural and horticultural production. The scalable technology of indoor farming makes not only large commercial production systems but also small-scale home indoor farms (HIFs) available, which enable private consumers to produce their own leafy greens and herbs with minimal effort. The increasing relevance of HIFs can be verified by scientific work regarding the consumer attitude and several start-ups which develop those systems. However, the economic feasibility of HIFs is unknown. To answer this question, this paper followed a broad approach. An investment analysis was conducted for 36 HIFs with data freely obtained from online retailers. Depending on the consumables' selection, around 40% of those systems can reach a positive net present value. The number of HIFs with a positive economic outcome could be further increased by changing the production pattern and the possibility of several harvests per plug and seed instead of only one destructive harvest. Consequently, with indoor farming, the variety of competing actors in specific horticultural sectors could raise in the future.</t>
  </si>
  <si>
    <t>Xu, PH; Fang, N; Liu, N; Lin, FS; Yang, SQ; Ning, JF</t>
  </si>
  <si>
    <t>Xu, Penghui; Fang, Nan; Liu, Na; Lin, Fengshan; Yang, Shuqin; Ning, Jifeng</t>
  </si>
  <si>
    <t>Visual recognition of cherry tomatoes in plant factory based on improved deep instance segmentation</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</si>
  <si>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</si>
  <si>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Yeo, UH; Lee, SY; Park, SJ; Kim, JG; Cho, JH; Decano-Valentin, C; Kim, RW; Lee, IB</t>
  </si>
  <si>
    <t>Yeo, Uk-Hyeon; Lee, Sang-Yeon; Park, Se-Jun; Kim, Jun-Gyu; Cho, Jeong-Hwa; Decano-Valentin, Cristina; Kim, Rack-Woo; Lee, In-Bok</t>
  </si>
  <si>
    <t>Rooftop Greenhouse: (2) Analysis of Thermal Energy Loads of a Building-Integrated Rooftop Greenhouse (BiRTG) for Urban Agriculture</t>
  </si>
  <si>
    <t>AGRICULTURE-BASEL</t>
  </si>
  <si>
    <t>Building-integrated rooftop greenhouses (BiRTGs) are innovative vertical farms consisting of a greenhouse on the roof of a building. BiRTGs can provide environmental benefits by recycling energy, carbon dioxide, and water between the greenhouse and the building. Moreover, BiRTGs can reduce cooling and heating loads by reducing the exposure of the building surface to heat gains/losses through the roof. However, the benefits of BiRTGs have not yet been completely elucidated from an energy perspective. This study aimed to analyse the energy-saving efficiency of BiRTGs using building energy simulations (BES) and computational fluid dynamics (CFD) techniques. BES is a calculation method for analysing the heating and cooling loads of buildings; however, it was difficult to consider time-dependent changes in the ventilation characteristics in the BES model. CFD can be used to calculate more detailed ventilation characteristics of an experimental facility. Thus, CFD and the BES were combined to obtain more accurate BES-based data. The BES-computed annual energy load for a single-span greenhouse in which tomatoes were grown was 490,128 MJ, whereas the annual energy load for growing tomatoes in a BiRTG resulted in a 5.2% reduction, on average (464,673 MJ). The energy-saving effects were positive from October to April because the BiRTG helped transmit heat energy transmitted from the building to the greenhouse. Regarding the total energy load in the BiRTG after alternating the air temperature management (ATM), the heating energy load was reduced in the winter. ATM was expected to apply from November to March, with average energy savings of 11.8%.</t>
  </si>
  <si>
    <t>Zhang, S; Liu, Y; Yin, J; Zhang, X; Li, Y; Su, L; Zhou, Z; Xia, M</t>
  </si>
  <si>
    <t>Zhang, S.; Liu, Y.; Yin, J.; Zhang, X.; Li, Y.; Su, L.; Zhou, Z.; Xia, M.</t>
  </si>
  <si>
    <t>A novel Cr3+-activated far-red titanate phosphor: synthesis, luminescence enhancement and application prospect</t>
  </si>
  <si>
    <t>MATERIALS TODAY CHEMISTRY</t>
  </si>
  <si>
    <t>Plant factory, a new agricultural planting technology, has emerged and rapidly grown in recent years, with phosphor conversion light emitting diodes (pc-LEDs) considered as the first choice of source light for the plant factory. In this study, a new type of Cr3+-activated Li2MgTi3O8 phosphor (LMT: Cr3+) was synthesized by high temperature solid state method. X-Ray diffraction patterns showed that there was no detectable impurity in these samples. The photoluminescence spectra revealed that this phosphor can emit far-red light with the peak at 740 nm excited by ultraviolet and blue light, overlapped well with the PFR. After introducing Zn2+ ions (LMT: Cr3+ , Zn2+), the luminescence intensity increases by 46% mainly due to the increase of lattice distortion, and internal quantum yield was improved from 25.4% to 41.3% under 365 nm excitation. Finally, the pc-LED devices, consisting of 470 nm chip coated with the optimal phosphor, exhibited good luminescence and overlapping with P-FR. These results indicate that the LMT: Cr3+, Zn2+ phosphor has the potential application in modern agriculture. (c) 2022 Elsevier Ltd. All rights reserved.</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</si>
  <si>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</si>
  <si>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</si>
  <si>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</si>
  <si>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</si>
  <si>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</si>
  <si>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Franchetti, B; Pirri, F</t>
  </si>
  <si>
    <t>Franchetti, Benjamin; Pirri, Fiora</t>
  </si>
  <si>
    <t>Detection and Localization of Tip-Burn on Large Lettuce Canopies</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</si>
  <si>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</si>
  <si>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de Oliveira, FBJ; Ferson, S; Dyer, RAD; Thomas, JMH; Myers, PD; Gray, NG</t>
  </si>
  <si>
    <t>Baumont de Oliveira, Francis J.; Ferson, Scott; Dyer, Ronald A. D.; Thomas, Jens M. H.; Myers, Paul D.; Gray, Nicholas G.</t>
  </si>
  <si>
    <t>How High Is High Enough? Assessing Financial Risk for Vertical Farms Using Imprecise Probability</t>
  </si>
  <si>
    <t>Vertical farming (VF) is a method of indoor agricultural production, involving stacked layers of crops, utilising technologies to increase yields per unit area. However, this emerging sector has struggled with profitability and a high failure rate. Practitioners and academics call for a comprehensive economic analysis of vertical farming, but efforts have been stifled by a lack of valid and available data as existing studies are unable to address risks and uncertainty that may support risk-empowered business planning. An adaptable economic analysis is necessary that considers imprecise variables and risks. The financial risk analysis presented uses with a first-hitting-time model with probability bounds to evaluate quasi-insolvency for two unique vertical farms. The UK farm results show that capital injection, robust data collection, frequent cleaning, efficient distribution and cheaper packaging are pathways to profitability and have a safer risk profile. For the Japanese farm, diversification of revenue streams like tours or education reduce financial risk associated with yield and sales. This is the first instance of applying risk and uncertainty quantification for VF business models and it can support wider agricultural projects. Enabling this complex sector to compute with uncertainty to estimate financials could improve access to funding and help other nascent industries.</t>
  </si>
  <si>
    <t>Fussy, A; Papenbrock, J</t>
  </si>
  <si>
    <t>Fussy, Andre; Papenbrock, Jutta</t>
  </si>
  <si>
    <t>An Overview of Soil and Soilless Cultivation Techniques-Chances, Challenges and the Neglected Question of Sustainability</t>
  </si>
  <si>
    <t>Resources such as fertile soil and clean water are already limited in many parts of the world. Additionally, the conventional use of arable land is becoming increasingly difficult, which is further exacerbated by climate change. Soilless cultivation systems do not only offer the opportunity to save water and cultivate without soil but also the chance to open up urban areas such as residential rooftops for food production in close proximity to consumers. In this review, applications of soilless farming systems are identified and compared to conventional agriculture. Furthermore, aspects of economic viability, sustainability and current developments are investigated. An insight into the most important soilless farming systems-hydroponics, aquaponics and vertical farming-is provided. The systems are then differentiated from each other and, as far as possible, evaluated in terms of their environmental impact and compared with conventional cultivation methods. Comparing published data analyzing the yield of hydroponic cultivation systems in comparison to soil-based cultivation methods enables a basic overview of the profitability of both methods and, thus, lays the foundation for future research and practical applications. The most important inert substrates for hydroponic applications are presented, and their degree of sustainability is compared in order to emphasize environmental impacts and affect substrate selections of future projects. Based on an assessment of the most important soilless cultivation systems, the challenges and developments of current techniques are highlighted and discussed.</t>
  </si>
  <si>
    <t>Hwang, Y; Lee, S; Kim, T; Baik, K; Choi, Y</t>
  </si>
  <si>
    <t>Hwang, Yujin; Lee, Seunghyeon; Kim, Taejoo; Baik, Kyeonghoon; Choi, Yukyung</t>
  </si>
  <si>
    <t>Crop Growth Monitoring System in Vertical Farms Based on Region-of-Interest Prediction</t>
  </si>
  <si>
    <t>Vertical farms are to be considered the future of agriculture given that they not only use space and resources efficiently but can also consistently produce large yields. Recently, artificial intelligence has been introduced for use in vertical farms to boost crop yields, and crop growth monitoring is an essential example of the type of automation necessary to manage a vertical farm system. Region of interest predictions are generally used to find crop regions from the color images captured by a camera for the monitoring of growth. However, most deep learning-based prediction approaches are associated with performance degradation issues in the event of high crop densities or when different types of crops are grown together. To address this problem, we introduce a novel method, termed pseudo crop mixing, a model training strategy that targets vertical farms. With a small amount of labeled crop data, the proposed method can achieve optimal performance. This is particularly advantageous for crops with a long growth period, and it also reduces the cost of constructing a dataset that must be frequently updated to support the various crops in existing systems. Additionally, the proposed method demonstrates robustness with new data that were not introduced during the learning process. This advantage can be used for vertical farms that can be efficiently installed and operated in a variety of environments, and because no transfer learning was required, the construction time for container-type vertical farms can be reduced. In experiments, we show that the proposed model achieved a performance of 76.9%, which is 12.5% better than the existing method with a dataset obtained from a container-type indoor vertical farm. Our codes and dataset will be available publicly.</t>
  </si>
  <si>
    <t>Kim, Y; Shin, HR; Oh, SH; Yu, KH</t>
  </si>
  <si>
    <t>Kim, Yeweon; Shin, Hye-Ry; Oh, Su-hyun; Yu, Ki-Hyung</t>
  </si>
  <si>
    <t>Analysis on the Economic Feasibility of a Plant Factory Combined with Architectural Technology for Energy Performance Improvement</t>
  </si>
  <si>
    <t>In this study, a comparative economic analysis was conducted for typical greenhouses, plant factories with natural and artificial light, and those with only artificial light, based on the insulation, artificial light, and photovoltaic (PV) installation costs. In addition, the results of research on primary energy consumption and greenhouse gas (GHG) emissions from the use of fossil fuels were presented. By comparing the case-wise annual energy consumption, when all energy sources were converted into primary energy consumption based on the applied coefficients for collection, transport, and processing, to unify calculations for different fossil fuel energy sources, the case of the installed PV systems exhibited large reductions, of 424% and 340%, in terms of primary energy consumption and GHG emissions, respectively. Furthermore, electric heating resulted in higher primary energy consumption and GHG emissions than oil. When the economic analysis included the plant factory installation cost used to maintain the temperature required for plant growth in winter, the PV installation exhibited the highest cost; additionally, all plant factories showed an investment payback period of seven to nine years, which is comparable to typical greenhouses. Based on these results, we aim to reduce the use of fossil fuels for sustainable energy by combining architectural technology for improved energy performance in the agricultural environment.</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</si>
  <si>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</si>
  <si>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</si>
  <si>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</si>
  <si>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</si>
  <si>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</si>
  <si>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Liu, XY; Xu, YL; Wang, Y; Yang, QC; Li, QM</t>
  </si>
  <si>
    <t>Liu, Xinying; Xu, Yaliang; Wang, Yu; Yang, Qichang; Li, Qingming</t>
  </si>
  <si>
    <t>Rerouting Artificial Light for Efficient Crops Production: A Review of Lighting Strategy in PFALs</t>
  </si>
  <si>
    <t>A plant factory with artificial light (PFAL) is defined as an advanced agricultural production system with a precisely controlled environment, playing an important role in vertical farming and urban food supply. Artificial light is one of the core technologies in PFALs and accounts for a large part of energy consumption; elevating the light utilization efficiency of plants is vital for the sustainable development of PFALs. Meanwhile, the enclosed structure of the plant factory resulted in the independence of its light environment, indicating that the light environment in PFALs can be custom-made. Lighting strategy is an attempt to reprogram the light environmental parameters in unconventional ways, resulting in innovative lighting modes for energy-saving, high-yield, and high-quality production in PFALs. This article reviewed the recent endeavors aiming to increase light conversion efficiency and nutritive properties of crops by different lighting strategies, providing economic irradiation patterns or modes for various PFALs production goals.</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</si>
  <si>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</si>
  <si>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</si>
  <si>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</si>
  <si>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</si>
  <si>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Naranjani, B; Najafianashrafi, Z; Pascual, C; Agulto, I; Chuang, PYA</t>
  </si>
  <si>
    <t>Naranjani, Benyamin; Najafianashrafi, Zabihollah; Pascual, Christopher; Agulto, Ireneo; Chuang, Po-Ya Abel</t>
  </si>
  <si>
    <t>Computational analysis of the environment in an indoor vertical farming system</t>
  </si>
  <si>
    <t>INTERNATIONAL JOURNAL OF HEAT AND MASS TRANSFER</t>
  </si>
  <si>
    <t>The increasing demand for agricultural products and scarcity of resources, such as soil fertility, irrigation water, and moderate climate, have driven increased use of indoor vertical farming systems. In this paper, a three-dimensional numerical model is developed to optimize air flow and heat transfer within an indoor system considering transpiration, carbon-dioxide consumption, and oxygen production. The near-wall RNG k - epsilon turbulent model is implemented to consider the impacts of turbulence and obstacles in the computational domain. To assess the degree of uniformity affecting each tray, an objective uniformity parameter is developed based on the deviation of flow velocity over cultivation trays with respect to the optimal flow velocity. Further, an efficiency parameter is defined based on relative humidity, temperature, and pressure drop to holistically compare the effectiveness of flow inlet and outlet locations. Accordingly, eight designs are studied extensively and one case is found to be the most efficient with an objective uniformity of 91.7% due to high degree of spiral flow circulation. Most importantly, the results suggest that some cases even with low mass flow rates are capable of providing uniform flow distribution, which can significantly reduce energy consumption of indoor vertical farming systems. This newly developed model is proven to be an effective tool for investigating the heat transfer rate and fluid flow uniformity and optimizing cultivation environment for an indoor vertical farming system. (C) 2021 The Author(s). Published by Elsevier Ltd.</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</si>
  <si>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</si>
  <si>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</si>
  <si>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</si>
  <si>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</si>
  <si>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</si>
  <si>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</si>
  <si>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</si>
  <si>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</si>
  <si>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</si>
  <si>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</si>
  <si>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</si>
  <si>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</si>
  <si>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</si>
  <si>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Ishimori, H; Asada, S; Sakaguchi, T; Sakaguchi, Y</t>
  </si>
  <si>
    <t>Ishimori, Hiroyuki; Asada, Shunsuke; Sakaguchi, Tomoyuki; Sakaguchi, Yoshiyuki</t>
  </si>
  <si>
    <t>Hydroponic technique using waste concrete and ferronickel slag instead of fertilizer</t>
  </si>
  <si>
    <t>JOURNAL OF MATERIAL CYCLES AND WASTE MANAGEMENT</t>
  </si>
  <si>
    <t>This paper presents whether some minerals in waste concrete and ferronickel slag are available for hydroponics instead of commercial fertilizer. Waste concrete and ferronickel slag contain rich calcium, silica, and magnesium, which are well-known nutrients for plants. In this study, small-scaled hydroponic plant growth tests targeting romaine lettuce and spinach were conducted to verify this idea. The experimental conditions were designed to satisfy that the total amounts of minerals released from the wastes were more than the required amounts for growth of the vegetable plants. The released amounts of minerals were evaluated from the serial batch leaching test using the wastes, then the required amounts for growth were estimated by measuring mineral contents of plants sold in supermarkets. According to the experimental results, the calcium in waste concrete was effective for growth of the romaine lettuces. The magnesium in ferronickel slag improved not only the growth of the spinaches due to photosynthesis but also the uptake amount of the phosphorous, resulting in the reduction of operating costs, such as lighting electric power and nutritional resources for plant factories. Finally, the romaine lettuces and spinaches obtained from the experiments had little contents of toxic heavy metals.</t>
  </si>
  <si>
    <t>Buxbaum, N; Lieth, JH; Earles, M</t>
  </si>
  <si>
    <t>Buxbaum, Nicolas; Lieth, Johann Heinrich; Earles, Mason</t>
  </si>
  <si>
    <t>Non-destructive Plant Biomass Monitoring With High Spatio-Temporal Resolution via Proximal RGB-D Imagery and End-to-End Deep Learning</t>
  </si>
  <si>
    <t>Plant breeders, scientists, and commercial producers commonly use growth rate as an integrated signal of crop productivity and stress. Plant growth monitoring is often done destructively via growth rate estimation by harvesting plants at different growth stages and simply weighing each individual plant. Within plant breeding and research applications, and more recently in commercial applications, non-destructive growth monitoring is done using computer vision to segment plants in images from the background, either in 2D or 3D, and relating these image-based features to destructive biomass measurements. Recent advancements in machine learning have improved image-based localization and detection of plants, but such techniques are not well suited to make biomass predictions when there is significant self-occlusion or occlusion from neighboring plants, such as those encountered under leafy green production in controlled environment agriculture. To enable prediction of plant biomass under occluded growing conditions, we develop an end-to-end deep learning approach that directly predicts lettuce plant biomass from color and depth image data as provided by a low cost and commercially available sensor. We test the performance of the proposed deep neural network for lettuce production, observing a mean prediction error of 7.3% on a comprehensive test dataset of 864 individuals and substantially outperforming previous work on plant biomass estimation. The modeling approach is robust to the busy and occluded scenes often found in commercial leafy green production and requires only measured mass values for training. We then demonstrate that this level of prediction accuracy allows for rapid, non-destructive detection of changes in biomass accumulation due to experimentally induced stress induction in as little as 2 days. Using this method growers may observe and react to changes in plant-environment interactions in near real time. Moreover, we expect that such a sensitive technique for non-destructive biomass estimation will enable novel research and breeding of improved productivity and yield in response to stress.</t>
  </si>
  <si>
    <t>Zhang, RC; Koh, SS; Teo, MJT; Bi, RZ; Zhang, SY; Dev, K; Urano, D; Dinish, US; Olivo, M</t>
  </si>
  <si>
    <t>Zhang, Ruochong; Koh, Sally Shuxian; Teo, Mark Ju Teng; Bi, Renzhe; Zhang, Shuyan; Dev, Kapil; Urano, Daisuke; Dinish, U. S.; Olivo, Malini</t>
  </si>
  <si>
    <t>Handheld Multifunctional Fluorescence Imager for Non-invasive Plant Phenotyping</t>
  </si>
  <si>
    <t>Fluorescence imaging has shown great potential in non-invasive plant monitoring and analysis. However, current systems have several limitations, such as bulky size, high cost, contact measurement, and lack of multifunctionality, which may hinder its applications in a wide range of settings including indoor vertical farming. Herein, we developed a compact handheld fluorescence imager enabling multipurpose plant phenotyping, such as continuous photosynthetic activity monitoring and non-destructive anthocyanin quantification. The compact imager comprises of pulse-amplitude-modulated multi-color light emitting diodes (LEDs), optimized light illumination and collection, dedicated driver circuit board, miniaturized charge-coupled device camera, and associated image analytics. Experiments conducted in drought stressed lettuce proved that the novel imager could quantitatively evaluate the plant stress by the non-invasive measurement of photosynthetic activity efficiency. Moreover, a non-invasive and fast quantification of anthocyanins in green and red Batavia lettuce leaves had excellent correlation (&gt;84%) with conventional destructive biochemical analysis. Preliminary experimental results emphasize the high throughput monitoring capability and multifunctionality of our novel handheld fluorescence imager, indicating its tremendous potential in modern agriculture.</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</si>
  <si>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</si>
  <si>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</si>
  <si>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</si>
  <si>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</si>
  <si>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Marie, TRJG; Leonardos, ED; Lanoue, J; Hao, XM; Micallef, BJ; Grodzinski, B</t>
  </si>
  <si>
    <t>Marie, Telesphore R. J. G.; Leonardos, Evangelos D.; Lanoue, Jason; Hao, Xiuming; Micallef, Barry J.; Grodzinski, Bernard</t>
  </si>
  <si>
    <t>A Perspective Emphasizing Circadian Rhythm Entrainment to Ensure Sustainable Crop Production in Controlled Environment Agriculture: Dynamic Use of LED Cues</t>
  </si>
  <si>
    <t>World-wide, sustainable crop production is increasingly dependent on the protection of crops from adverse local climate conditions by using controlled environment agriculture (CEA) facilities. Today's greenhouses and plant factories are becoming very technologically advanced. Important breakthroughs in our understanding of the deployment of affordable artificial lighting systems that can supplement and even replace solar radiation is the subject of this perspective article. The key to improving sustainable CEA is to synchronize those environmental cues that best entrain the natural circadian rhythm of the crop. Patterns of circadian rhythms reflect the balance of daily metabolic cycles and phenological stages of development that integrate and anticipate environmental changes for all complex organisms. Within the last decade, our understanding of the use of light-emitting diodes (LEDs) as spectrally tunable tools for stimulating plant responses has expanded rapidly. This perspective proposes that extending the photoperiod in CEA is an economically sustainable goal to for year-round productivity of tomato, using dynamic LED shifts that entrain the circadian rhythm. When the photoperiod is extended too far, tomato experiences injury. To avoid yield reduction, we look to nature for clues, and how circadian rhythms evolved in general to long-photoperiods during the summer in high-latitudes. It follows that circadian rhythm traits are good targets for breeders to select new tomato cultivars suitable for CEA. Circadian rhythm entrainment, using dynamic LED cues, can be tailored to any latitude-of-origin crop, and thus expands the strategies ensuring sustainable food security including healthy diets locally in any region of the world.</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</si>
  <si>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</si>
  <si>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</si>
  <si>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</si>
  <si>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</si>
  <si>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</si>
  <si>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</si>
  <si>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</si>
  <si>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</si>
  <si>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</si>
  <si>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</si>
  <si>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</si>
  <si>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</si>
  <si>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Murdad, R; Muhiddin, M; Osman, WH; Tajidin, NE; Haida, Z; Awang, A; Jalloh, MB</t>
  </si>
  <si>
    <t>Murdad, Rosmah; Muhiddin, Mardiana; Osman, Wan Hurani; Tajidin, Nor Elliza; Haida, Zainol; Awang, Azwan; Jalloh, Mohamadu Boyie</t>
  </si>
  <si>
    <t>Ensuring Urban Food Security in Malaysia during the COVID-19 Pandemic-Is Urban Farming the Answer? A Review</t>
  </si>
  <si>
    <t>Urbanisation and related insufficiency of food sources is due to the high urban population, insufficient urban food sources, and inability of some urban communities to afford food due to rising costs. Food supply can also be jeopardised by natural and man-made disasters, such as warfare, pandemics, or any other calamities which result in the destruction of crop fields and disruption of food distribution. The COVID-19 pandemic exposed the impact of such calamities on the fresh food supply chain in Malaysia, especially when the Movement Control Order (MCO) policy was first implemented. The resulting panic buying caused some food shortage, while more importantly, the fresh food supply chain was severely disrupted, especially in urban areas, in the early stages of implementation. In this regard, urban farming, while a simple concept, can have a significant impact in terms of securing food sources for urban households. It has been used in several countries such as Canada, The Netherlands, and Singapore to ensure a continuous food supply. This paper thus attempted to review how the pandemic has affected Malaysian participation in urban farming and, in relation to that, the acceptance of urban farming in Malaysia and the initiatives and approaches of local governmental and non-governmental organisations in encouraging the urban community to participate in urban farming through peer-reviewed journal articles and other articles related to urban agriculture using the ROSES protocol. About 93 articles were selected after screening to ensure that the articles were related to the study. During the COVID-19 pandemic, the surge in Malaysians' awareness of the importance of urban farming has offered great opportunities for the government to encourage more Malaysian urban communities to participate in urban farming activities. Limitations such as relevant knowledge, area, and space, however, are impediments to urban communities' participation in these activities. Government initiatives, such as the Urban Community Garden Policy (Dasar Kebun Komuniti Bandar (DKKB)), are still inadequate as some issues are still not addressed. Permanent Food Production Parks (TKPM) and technology-driven practices are seen as possible solutions to the primary problem of land and space. Additionally, relevant stakeholders play a crucial role in disseminating relevant and appropriate knowledge and methodology applicable for urban farming. Partnerships between government agencies, the education sector, and the private sector are necessary to develop modern urban agricultural technologies as well as knowledge, knowhow, and supports to build and sustain urban community participation in urban farming activities.</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</si>
  <si>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</si>
  <si>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</si>
  <si>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</si>
  <si>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</si>
  <si>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Sengodan, P</t>
  </si>
  <si>
    <t>Sengodan, Papathy</t>
  </si>
  <si>
    <t>An Overview of Vertical Farming: Highlighting the Potential in Malaysian High-Rise Buildings</t>
  </si>
  <si>
    <t>PERTANIKA JOURNAL OF SCIENCE AND TECHNOLOGY</t>
  </si>
  <si>
    <t>Recently, there has been a surge of interest in sustainable agriculture to address the impact of urban paradigm shifts on food demand and supply. Vertical Farming (VF) has attracted considerable attention, both scholarly and economically, as a way forward to improve food security in urban areas. Previous studies have documented and reviewed the benefits of VF against traditional agriculture. However, most research papers have only focused on case studies from temperate climate regions. There is a surprising paucity of empirical research in urban farming specifically related to VF in tropical countries. This study set out to examine the new emerging agricultural innovation-VF-in various building typologies the growing system and explores the feasibility in Malaysian high-rise buildings. The findings also revealed several successful outcomes of ongoing urban farming projects in Malaysia, Singapore and Thailand, which can significantly contribute to the planning and development of VF in a tropical climate. As a result, critical assessment criteria were identified for the successful development of the VF system in urban areas. This study implies significant opportunities for Malaysia to implement VF in local high-rise buildings.</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</si>
  <si>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</si>
  <si>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</si>
  <si>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</si>
  <si>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</si>
  <si>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</si>
  <si>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</si>
  <si>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</si>
  <si>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</si>
  <si>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Martin, M; Weidner, T; Gullstrom, C</t>
  </si>
  <si>
    <t>Martin, Michael; Weidner, Till; Gullstrom, Charlie</t>
  </si>
  <si>
    <t>Estimating the Potential of Building Integration and Regional Synergies to Improve the Environmental Performance of Urban Vertical Farming</t>
  </si>
  <si>
    <t>Vertical farms have expanded rapidly in urban areas to support food system resilience. However, many of these systems source a substantial share of their material and energy requirements outside their urban environments. As urban areas produce significant shares of residual material and energy streams, there is considerable potential to explore the utilization of these streams for urban agriculture in addition to the possibility of employing underutilized urban spaces in residential and commercial buildings. This study aims to explore and assess the potential for developing more circular vertical farming systems which integrate with buildings and utilize residual material and energy streams. We focus on the symbiotic development of a hypothetical urban farm located in the basement of a residential building in Stockholm. Life cycle assessment is used to quantify the environmental performance of synergies related to energy integration and circular material use. Energy-related scenarios include the integration of the farm's waste heat with the host building's heating system and the utilization of solar PV. Circular material synergies include growing media and fertilizers based on residual materials from a local brewery and biogas plant. Finally, a local pick-up system is studied to reduce transportation. The results point to large benefits from integrating the urban farm with the building energy system, reducing the vertical farm's GHG emissions up to 40%. Synergies with the brewery also result in GHG emissions reductions of roughly 20%. No significant change in the environmental impacts was found from the use of solar energy, while the local pick-up system reduces environmental impacts from logistics, although this does not substantially lower the overall environmental impacts. However, there are some trade-offs where scenarios with added infrastructure can also increase material and water resource depletion. The results from the synergies reviewed suggest that proximity and host-building synergies can improve the material and energy efficiency of urban vertical farms. The results provide insights to residential building owners on the benefits of employing residual space for urban food provisioning and knowledge to expand the use of vertical farming and circular economy principles in an urban context.</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</si>
  <si>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</si>
  <si>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</si>
  <si>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</si>
  <si>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</si>
  <si>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</si>
  <si>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</si>
  <si>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</si>
  <si>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</si>
  <si>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</si>
  <si>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</si>
  <si>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</si>
  <si>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</si>
  <si>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</si>
  <si>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</si>
  <si>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</si>
  <si>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</si>
  <si>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</si>
  <si>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</si>
  <si>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</si>
  <si>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</si>
  <si>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</si>
  <si>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Sugimura, N; Thinh, NQ; Kohama, S; Fukui, Y; Iwamura, K</t>
  </si>
  <si>
    <t>Sugimura, Nobuhiro; Nguyen Quang Thinh; Kohama, Shohei; Fukui, Yutaka; Iwamura, Koji</t>
  </si>
  <si>
    <t>A Study on Demand Forecasting of Wholesale Markets of Lettuces for Production Planning in Plant Factories</t>
  </si>
  <si>
    <t>INTERNATIONAL JOURNAL OF AUTOMATION TECHNOLOGY</t>
  </si>
  <si>
    <t>Much emphasis is now being placed on the research and development of fully closed and controlled plant factories aimed at supplying fresh vegetables safely and constantly. Plant factories produce large volumes of clean and safe vegetables in an artificially controlled environment. One of the important issues in the management and control of plant factories is establishing systematic methods for planning the production and shipping of daily produced vegetables to various customers, such as supermarkets, vegetable shops, and restaurants. Customer demand is influenced by the sales in the individual shops and trade volumes, and prices in the wholesale markets of the vegetables, since the share of the plant factory-made vegetables is very small. Systematic methods are required for the management and control of plant factories to forecast both orders from individual customers and wholesale market conditions. In the previous study, the market situations and the trading processes of the factory-made lettuces were investigated, and a market model was proposed to simulate the trading processes between the customers and the plant factories. This study deals with demand forecasting of wholesale markets for vegetables, aimed at taking into consideration the wholesale market conditions for production planning in plant factories.</t>
  </si>
  <si>
    <t>Zhou, HM; Specht, K; Kirby, CK</t>
  </si>
  <si>
    <t>Zhou, Hemeng; Specht, Kathrin; Kirby, Caitlin K.</t>
  </si>
  <si>
    <t>Consumers' and Stakeholders' Acceptance of Indoor Agritecture in Shanghai (China)</t>
  </si>
  <si>
    <t>During recent decades, there has been increasing awareness of the development of agritecture (agriculture + architecture) as a means to transform and revolutionize the food supply of future cities. The different forms of agritecture include building-integrated agricultural concepts such as vertical farms or indoor farms. In this way, urban food production could take place in proximity to consumers while employing so-called urban waste products (such as wastewater, waste heat, and organic waste) as valuable production inputs. Although scholars frequently highlight the potential of vertical farming and other agritecture approaches for Asian megacities, there is still a lack of academic research and completed projects related to this field in China. This study uses a mixed-methods approach, combining quantitative and qualitative research in the study location of Shanghai, to reveal the social acceptance of indoor agritecture among consumers and experts. First, to explore the perceptions of consumers, a survey of 713 potential consumers was conducted in Shanghai. Second, these surveys were complemented by 20 expert interviews with academics and practitioners from Shanghai to frame the quantitative research results. Our results revealed that the surveyed consumers' social acceptance of indoor agritecture and the expectations of the experts are high. Additionally, there is already a high level of demand and a potential market for indoor agritecture in Shanghai. This has been confirmed by the ongoing construction of the first moderate-scale vertical farm and several indoor farms, in combination with the increasing existence of edible landscape approaches and rooftop farms. This development can be viewed as the rise of urban agritecture in Shanghai. The interviews revealed that experts raise more doubts about the economic dimension, whereas its social and ecological dimensions and the contextual framework of indoor agritecture are considered to be positive.</t>
  </si>
  <si>
    <t>Weidner, T; Yang, AD; Forster, F; Hamm, MW</t>
  </si>
  <si>
    <t>Weidner, Till; Yang, Aidong; Forster, Florian; Hamm, Michael W.</t>
  </si>
  <si>
    <t>Regional conditions shape the food-energy-land nexus of low-carbon indoor farming</t>
  </si>
  <si>
    <t>NATURE FOOD</t>
  </si>
  <si>
    <t>Greenhouses and vertical farming enable food production in cities, but their energy and energy-related land demands may affect their overall sustainability in specific regions. Through geospatial and mathematical modelling, this study compares open-field and two indoor farming methods for vegetable production in nine city-regions around the world. Modern greenhouses and vertical farming projects promise increased food output per unit area relative to open-field farming. However, their high energy consumption calls for a low-carbon power supply such as solar photovoltaic and wind, which adds to cost and overall land footprint. Here we use geospatial and mathematical modelling to compare open-field and two indoor farming methods for vegetable production in nine city-regions chosen globally with varying land availability, climatic conditions and population density. We find that renewable electricity supply is more costly for greenhouses per unit energy demand satisfied, which is due to the greater fluctuation in their energy demand profile. However, greenhouses have a lower energy demand per unit food output, which makes them the least land-intensive option in most of the analysed regions. Our results challenge the land-savings claims of vertical farming compared with open-field production. We also show that regionalizing vegetable supply is feasible in most regions and give recommendations based on the regional context.</t>
  </si>
  <si>
    <t>Hu, JT; Wang, Z; Zhang, L; Peng, J; Huang, T; Yang, X; Jeong, BR; Yang, QC</t>
  </si>
  <si>
    <t>Hu, Jiangtao; Wang, Zheng; Zhang, Li; Peng, Jie; Huang, Tao; Yang, Xiao; Jeong, Byoung Ryong; Yang, Qichang</t>
  </si>
  <si>
    <t>Seleno-Amino Acids in Vegetables: A Review of Their Forms and Metabolism</t>
  </si>
  <si>
    <t>Seleno-amino acids are safe, health-promoting compounds for humans. Numerous studies have focused on the forms and metabolism of seleno-amino acids in vegetables. Based on research progress on seleno-amino acids, we provide insights into the production of selenium-enriched vegetables with high seleno-amino acids contents. To ensure safe and effective intake of selenium, several issues need to be addressed, including (1) how to improve the accumulation of seleno-amino acids and (2) how to control the total selenium and seleno-amino acids contents in vegetables. The combined use of plant factories with artificial lighting and multiple analytical technologies may help to resolve these issues. Moreover, we propose a Precise Control of Selenium Content production system, which has the potential to produce vegetables with specified amounts of selenium and high proportions of seleno-amino acids.</t>
  </si>
  <si>
    <t>Baldi, A; Bruschi, P; Campeggi, S; Egea, T; Rivera, D; Obon, C; Lenzi, A</t>
  </si>
  <si>
    <t>Baldi, Ada; Bruschi, Piero; Campeggi, Stephanie; Egea, Teresa; Rivera, Diego; Obon, Concepcion; Lenzi, Anna</t>
  </si>
  <si>
    <t>The Renaissance of Wild Food Plants: Insights from Tuscany (Italy)</t>
  </si>
  <si>
    <t>FOODS</t>
  </si>
  <si>
    <t>This paper provides an overview of wild food plants traditionally used in the gastronomy of Tuscany, an Italian region with high biological diversity and whose cultural heritage is well known. Forty-nine bibliographic sources, including five unpublished studies, were reviewed. A list of species with ecological characteristics, plant parts used, use category (food, liquor, or seasoning), methods of preparation (raw or cooked), and recipes is presented. The use of 357 taxa (3711 use reports, URs), was recorded, belonging to 215 genera and 72 botanical families. Over the total taxa, 12 are new for Tuscany, 52 seem not to be present in other Italian regions, and 54 were not detected in the consulted European ethnobotanical literature. Of these taxa, 324 (3117 URs) were used as food, while 49 (178 URs) and 81 (416 URs) were used for liquor and seasoning, respectively. Of the 17 different food recipes, cooked vegetables constituted the largest group, followed by salads, omelets, snacks, and fillings. The chemical composition of the recorded food plants and the possible safety risks associated to their consumption, as well as their traditional medicinal use, are also shown. This review highlights the richness of ethnobotanical knowledge in Tuscany. Such biocultural heritage can be a source of inspiration for agriculture. As a reservoir of potential new crops, wild edible flora may contribute to the development of emerging horticultural sectors such as vertical farming and microgreens production. Moreover, the nutrient content and healthy properties of many wild food plants reported in this study has the ability to meet consumer demand for functional foods.</t>
  </si>
  <si>
    <t>Kobayashi, H; Kurata, Y</t>
  </si>
  <si>
    <t>Kobayashi, Haruna; Kurata, Yohei</t>
  </si>
  <si>
    <t>Relationship between Photomorphogenesis and Tree Growth in Cryptomeria japonica Assessed Using Light Emitting Diodes</t>
  </si>
  <si>
    <t>BIORESOURCES</t>
  </si>
  <si>
    <t>Recently, there has been considerable interest in establishing tree-rearing methods for breeding nursery trees, which are similar to the methods employed in plant factories to produce vegetables. Studies have shown that the efficiency of tree cultivation can be improved by changing the wavelength of the lighting that is used to raise young plants and that light emitting diodes (LEDs) are effective for this purpose. In this study, the effect of blue (450 nm), red (660 nm), and white (combination of blue and yellow (525 nm) LED lights was investigated for rearing Cryptomeria japonica saplings. 7 saplings with each LED were prepared and reared for 52 weeks in a constant environment chamber (Temperature: 23 +/- 2 degrees C, relative humidity 50% +/- 10%), and their growth rates and root system morphology were compared. After 52 weeks of breeding, red light induced slightly more stem growth than white light. Blue light was nearly three times more effective in stem growth than white light. Furthermore, the wavelength of light affected the root system morphology. Many root branches were observed in saplings reared under red light, while marked taproot growth was observed in saplings reared under blue light. There was a possibility that saplings could be produced more efficiently by using LED.</t>
  </si>
  <si>
    <t>Mitchell, CA</t>
  </si>
  <si>
    <t>Mitchell, Cary A.</t>
  </si>
  <si>
    <t>History of Controlled Environment Horticulture: Indoor Farming and Its Key Technologies</t>
  </si>
  <si>
    <t>HORTSCIENCE</t>
  </si>
  <si>
    <t>The most recent platform for protected horticultural crop production, with the shortest history to date, is located entirely indoors, lacking even the benefit of free, natural sunlight. Although this may not sound offhand like a good idea for commercial specialty-crop production, the concept of indoor controlled-environment plant growth started originally for the benefit of researchers-to systematically investigate effects of specific environmental factors on plant growth and development in isolation from environmental factors varying in uncontrolled ways that would confound or change experimental findings. In addition to its value for basic and applied research, it soon was discovered that providing nonlimiting plant-growth environments greatly enhanced crop yield and enabled manipulation of plant development in ways that were never previously possible. As supporting technology for indoor crop production has improved in capability and efficiency, energy requirements have declined substantially for growing crops through entire production cycles in completely controlled environments, and this combination has spawned a new sector of the controlled-environment crop-production industry. This article chronicles the evolution of events, enabling technologies, and entrepreneurial efforts that have brought local, year-round indoor crop production to the forefront of public visibility and the threshold of profitability for a growing number of specialty crops in locations with seasonal climates.</t>
  </si>
  <si>
    <t>Rehman, NU</t>
  </si>
  <si>
    <t>Rehman, Naveed Ur</t>
  </si>
  <si>
    <t>Vertical Farms With Integrated Solar Photovoltaics</t>
  </si>
  <si>
    <t>JOURNAL OF SOLAR ENERGY ENGINEERING-TRANSACTIONS OF THE ASME</t>
  </si>
  <si>
    <t>This paper outlines a method for determining the maximum number of floors of a vertical farm (VF) that can be powered by building-integrated solar photovoltaic panels for supplying artificial lighting to the plants. The panels are mounted on all the walls and the rooftop of the building. It takes into account the location of the site, the monthly average daily solar irradiation, parameters associated with the luminaires, the geometrical dimensions and orientation of the layout, the tilt angle and row spacing between the rooftop panels, and the efficiency of the conversion system. It then provides linear equations representing the year-round electricity demand of the luminaires and the yearly electric yield from the panels. These equations are solved simultaneously to estimate the maximum number of floors. The results show that design performance can be maximized by optimizing the floor dimensions, layout orientation, tilt angle, and row spacing. Hypothetical 300 m(2) vertical farms, partially occupied by growing trays, located in Auckland and Dubai, were found to have maximum heights of 1.87 and 3.47 floors, respectively. A free online tool is also presented to help designers and researchers analyze designs located anywhere in the world.</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</si>
  <si>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</si>
  <si>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</si>
  <si>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</si>
  <si>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</si>
  <si>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</si>
  <si>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</si>
  <si>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</si>
  <si>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</si>
  <si>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</si>
  <si>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</si>
  <si>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</si>
  <si>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</si>
  <si>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Zhang, P; Li, DL</t>
  </si>
  <si>
    <t>Zhang, Pan; Li, Daoliang</t>
  </si>
  <si>
    <t>EPSA-YOLO-V5s: A novel method for detecting the survival rate of rapeseed in a plant factory based on multiple guarantee mechanisms</t>
  </si>
  <si>
    <t>As one of the important products of modern agricultural development, plant factories can provide a suitable environment for the growth and development of crops. Intelligently detecting the survival rate of crops in multiple key growth stages can not only improve the space utilization of plant factory, but also help increase crop yields. In this work, our main task is to use a novel method to detect the survival rate of rape seedlings at multiple growth stages in the plant factory. First of all, for the key growth stages where seedlings may die, we obtained image datasets of the whole process of seed germination, the early, and the middle stage of seedling transplanting. Second, we used the state-of-the-art method YOLO-V5s to construct the target detection model for the rape seedling dataset of the three key growth stages, and achieved good performance of the model mAP@0.5 as 0.994, 0.996, and 0.996 respectively. Finally, in order to construct a model suitable for the detection of the survival rate of rape in multiple key growth stages, we propose a new method called ESPA-YOLO-V5s, and achieved a good model performance with a mAP@0.5 of 0.996. The experimental results prove that our method has laid a good foundation for the survival rate detection of the key growth stages of plant.</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</si>
  <si>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</si>
  <si>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</si>
  <si>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</si>
  <si>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</si>
  <si>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</si>
  <si>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</si>
  <si>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</si>
  <si>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</si>
  <si>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Thomson, A; Price, GW; Arnold, P; Dixon, M; Graham, T</t>
  </si>
  <si>
    <t>Thomson, A.; Price, G. W.; Arnold, P.; Dixon, M.; Graham, T.</t>
  </si>
  <si>
    <t>Review of the potential for recycling CO2 from organic waste composting into plant production under controlled environment agriculture</t>
  </si>
  <si>
    <t>Composting has been used extensively as a sustainable approach for the management organic waste streams and conversion into stabilized soil amendments and horticultural growth media. In addition to these products, the composting process also generates by-products of microbial metabolism that includes gas (CO2) and energy (heat). High rates of food waste and commercial organic waste generation, along with greater diversion away from landfills, creates new opportunities to valorize these by-products from aerobic composting. Specifically, integrating carbon dioxide recapture and recycling into Controlled Environment Agriculture (CEA) production systems presents a pathway to circularize resources. CEA systems produce plants year round in an environmentally controlled space where elevating CO2 environments can boost plant production, creating a synergistic relationship with composting processes. The review evaluated CO2 emissions from an array of open and closed composting systems, as well as different feedstocks to demonstrate its potential for use in CEA. Rates of CO2 emissions varied widely, with a peak CO2 emission range of 0.32-429.27 g CO2-C kg(- 1) d(-1) depending on the aeration conditions and feedstock composition. Analysis of two hypothetical CEA scenarios reveals that integrating in-vessel composting as an on-site waste management process is comparable in cost to using natural gas as a regular CO2 source. The quantity of composting feedstocks required to generate CO2 emissions for a single tier and five tier CEA lettuce production system ranged from 3.38 to 69.94 kg dry biomass d(-1) and 9.93-205.50 kg dry biomass d(-1), respectively, but varied based on feedstock composition and compost operating conditions. The long-term research goal is toward valorizing non-edible biomass of CEA systems to create a circular economy model of commercial plant production.</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</si>
  <si>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</si>
  <si>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</si>
  <si>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</si>
  <si>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</si>
  <si>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</si>
  <si>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</si>
  <si>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</si>
  <si>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</si>
  <si>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Cohen, AR; Chen, G; Berger, EM; Warrier, S; Lan, GH; Grubert, E; Dellaert, F; Chen, YS</t>
  </si>
  <si>
    <t>Cohen, Abigail Rae; Chen, Gerry; Berger, Eli Matthew; Warrier, Sushmita; Lan, Guanghui; Grubert, Emily; Dellaert, Frank; Chen, Yongsheng</t>
  </si>
  <si>
    <t>Dynamically Controlled Environment Agriculture: Integrating Machine Learning and Mechanistic and Physiological Models for Sustainable Food Cultivation</t>
  </si>
  <si>
    <t>ACS ES&amp;T ENGINEERING</t>
  </si>
  <si>
    <t>Inefficiencies and imprecise input control in agriculture have caused devastating consequences to ecosystems. Urban controlled environment agriculture (CEA) is a proposed approach to mitigate the impacts of cultivation, but precise control of inputs (i.e., nutrient, water, etc.) is limited by the ability to monitor dynamic conditions. Current mechanistic and physiological plant growth models (MPMs) have not yet been unified and have uncovered knowledge gaps of the complex interplay among control variables. Moreover, because of their specificity, MPMs are of limited utility when extended to additional plant species or learning (ML) can uncover latent interactions across conditions, phenotyping bottlenecks have hindered successful application. To bridge these gaps, we propose an integrative approach whereby MPMs are used to construct the foundations of ML algorithms, reducing data requirements and costs, and ML is used to elucidate parameters and causal inference in MPM. This review highlights research about control and automation in CEA, synthesizing literature into a framework whereby ML, MPM, and biofeedback inform what we call dynamically controlled environment agriculture (DCEA). We highlight synergistic characteristics of MPM and ML to illustrate that a DCEA framework could contribute to urban resilience, human health, and optimized productivity and nutritional content.</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</si>
  <si>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</si>
  <si>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</si>
  <si>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</si>
  <si>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</si>
  <si>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Biancone, PP; Brescia, V; Lanzalonga, F; Alam, GM</t>
  </si>
  <si>
    <t>Biancone, Paolo Pietro; Brescia, Valerio; Lanzalonga, Federico; Alam, Gazi Mahabubul</t>
  </si>
  <si>
    <t>Using bibliometric analysis to map innovative business models for vertical farm entrepreneurs</t>
  </si>
  <si>
    <t>BRITISH FOOD JOURNAL</t>
  </si>
  <si>
    <t>Purpose This paper aims to explore the literature on vertical farming to define key elements to outline a business model for entrepreneurs. The research aims to stimulate entrepreneurship for vertical farming in a smart cities' context, recognising urban agriculture as technology to satisfy increasing food needs. Design/methodology/approach The research conducts a structured literature review on 186 articles on vertical farming extracted from the Scopus. Moreover, the bibliometric analysis revealed the descriptive statistics on this field and the main themes through the authors' keywords. Findings Different perspectives showed the multidisciplinary nature of the topic and how the intersection of different skills is necessary to understand the subject entirely. The keywords analysis allowed for identifying the topics covered by the authors and the business model's elements. Research limitations/implications The research explores a topic in the embryonic stage to define key strands of literature. It provides business model insights extending George and Bock's (2011) research to stimulate entrepreneurship in vertical farming. Limitations arise from the sources used to develop our analysis and how the topic appears as a frontier innovation. Originality/value Originality is the integration of literature strands related to vertical farming, highlighting its multidisciplinary nature to provide a holistic understanding of the themes. In smart cities' context, innovations allow traditional business models to be interpreted in a novel perspective and revealed the elements for transforming vertical farming from innovative technology to an effective source of food sustenance. Finally, the paper suggests a new methodology application for the analysis of word clusters by integrating correspondence analysis and multidimensional scaling analysis.</t>
  </si>
  <si>
    <t>Azzaretti, C; Schimelpfenig, G</t>
  </si>
  <si>
    <t>Azzaretti, Carmen; Schimelpfenig, Gretchen</t>
  </si>
  <si>
    <t>PERSPECTIVE: BENCHMARKING OPPORTUNITIES CAN CONTRIBUTE TO CIRCULAR FOOD SYSTEMS IN CONTROLLED ENVIRONMENT AGRICULTURE</t>
  </si>
  <si>
    <t>APPLIED ENGINEERING IN AGRICULTURE</t>
  </si>
  <si>
    <t>Controlled Environment Agriculture (CEA) approaches offer pathways to circular economy systems. CEA facilities have the potential to offer increased climate resiliency and efficient use of land. Recirculating water practices in CEA operations can substantially reduce water use in the face of resource scarcity. The greenhouse gas emissions associated with food production remain a major concern for both field agriculture and CEA facilities. Benchmarking tools and can and circular systems.</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</si>
  <si>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</si>
  <si>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</si>
  <si>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</si>
  <si>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</si>
  <si>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</si>
  <si>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Ekici, B; Turkcan, OFSF; Turrin, M; Sariyildiz, IS; Tasgetiren, MF</t>
  </si>
  <si>
    <t>Ekici, Berk; Turkcan, Okan F. S. F.; Turrin, Michela; Sariyildiz, Ikbal Sevil; Tasgetiren, Mehmet Fatih</t>
  </si>
  <si>
    <t>Optimising High-Rise Buildings for Self-Sufficiency in Energy Consumption and Food Production Using Artificial Intelligence: Case of Europoint Complex in Rotterdam</t>
  </si>
  <si>
    <t>ENERGIES</t>
  </si>
  <si>
    <t>The increase in global population, which negatively affects energy consumption, CO2 emissions, and arable land, necessitates designing sustainable habitation alternatives. Self-sufficient high-rise buildings, which integrate (electricity) generation and efficient usage of resources with dense habitation, can be a sustainable solution for future urbanisation. This paper focuses on transforming Europoint Towers in Rotterdam into self-sufficient buildings considering energy consumption and food production (lettuce crops) using artificial intelligence. Design parameters consist of the number of farming floors, shape, and the properties of the proposed facade skin that includes shading devices. Nine thousand samples are collected from various floor levels to predict self-sufficiency criteria using artificial neural networks (ANN). Optimisation problems with 117 decision variables are formulated using 45 ANN models that have very high prediction accuracies. 13 optimisation algorithms are used for an in-detail investigation of self-sufficiency at the building scale, and potential sufficiency at the neighbourhood scale. Results indicate that 100% and 43.7% self-sufficiencies could be reached for lettuce crops and electricity, respectively, for three buildings with 1800 residents. At the neighbourhood scale, lettuce production could be sufficient for 27,000 people with a decrease of self-sufficiency in terms of energy use of up to 11.6%. Consequently, this paper discusses the potentials and the improvements for self-sufficient high-rise buildings.</t>
  </si>
  <si>
    <t>Farooq, MS; Riaz, S; Abu Helou, M; Khan, FS; Abid, A; Alvi, A</t>
  </si>
  <si>
    <t>Farooq, Muhammad Shoaib; Riaz, Shamyla; Abu Helou, Mamoun; Khan, Falak Sher; Abid, Adnan; Alvi, Atif</t>
  </si>
  <si>
    <t>Internet of Things in Greenhouse Agriculture: A Survey on Enabling Technologies, Applications, and Protocols</t>
  </si>
  <si>
    <t>IEEE ACCESS</t>
  </si>
  <si>
    <t>The greenhouse is one of the sustainable forms of smart agricultural farming. It is considered as an alternate method to overcome the food crisis which is generated due to high population growth, climate change, and environmental pollution. Although this method supports off-the-season crops within the enclosed area even in severe climatic zones. It has required to efficiently control and manage the crop parameters at a greenhouse in a more precise and secure way. The advancement of the Internet of Things (IoT) has introduced smart solutions to automate the greenhouse farming parameters such as plant monitoring, internal atmosphere control, and irrigation control. The survey presents a hierarchy on the major components of IoT-based greenhouse farming. A rigorous discussion on greenhouse farming techniques, IoT-based greenhouse categories, network technologies (cloud/edge computing, IoT protocols, data analytics, sensors) has been presented. Furthermore, a detailed discussion on mobile-based greenhouse applications and IoT applications has been presented to manage the greenhouse farm. Moreover, the success stories and statistical analysis of some agricultural countries have been presented to standardize IoT-based greenhouse farming. Lastly, the open issues and research challenges related to IoT-enabled greenhouse farming has been presented with state-of-the-art future research directions.</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</si>
  <si>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</si>
  <si>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</si>
  <si>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</si>
  <si>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</si>
  <si>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</si>
  <si>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</si>
  <si>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</si>
  <si>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</si>
  <si>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</si>
  <si>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</si>
  <si>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Glaros, A; Marquis, S; Major, C; Quarshie, P; Ashton, L; Green, AG; Kc, KB; Newman, L; Newell, R; Yada, RY; Fraser, EDG</t>
  </si>
  <si>
    <t>Glaros, Alesandros; Marquis, Sarah; Major, Chelsea; Quarshie, Philip; Ashton, Lisa; Green, Arthur G.; Kc, Krishna B.; Newman, Lenore; Newell, Robert; Yada, Rickey Y.; Fraser, Evan D. G.</t>
  </si>
  <si>
    <t>Horizon scanning and review of the impact of five food and food production models for the global food system in 2050</t>
  </si>
  <si>
    <t>TRENDS IN FOOD SCIENCE &amp; TECHNOLOGY</t>
  </si>
  <si>
    <t>Background: There is recognition that a reduction of consumer demand for foods that have large environmental footprints is necessary. Recent innovations in food production technologies (food frontiers) claim to offer gains in ecological sustainability and global food security, thereby transitioning our food system toward a more sustainable future. Yet, scientific evidence to support these claims has not been critically reviewed for several high profile innovations. Scope and approach: In this paper, we undertake a critical review of the literature on five food frontiers: cellular agriculture, climate-driven northern agricultural expansion (NAE), controlled environment agriculture (CEA), entomophagy, and seaweed aquaculture. We estimate the feasibility of each frontier's widespread implementation by 2050 and their potential positive impacts on food system sustainability. We highlight uncertainty regarding ecological tradeoffs and future production potential in the literature, research gaps, and policy pathways that may maximize the benefits of these food frontiers. Key findings and conclusions: Entomophagy, cellular agriculture, CEA, and seaweed aquaculture have similar positive impact values. Yet, CEA appears to be the most feasible technology to implement at scale. The mixed potential impacts of NAE suggest that such expansion poses multiple risks to the global food system. Standardized approaches to modeling environmental parameters in life cycle analyses are required, so that predicted impacts can be reasonably compared within and among these bodies of literature. Further critical social scientific engagement is needed to better understand the political and institutional frameworks in which these food frontiers will be implemented.</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</si>
  <si>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</si>
  <si>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</si>
  <si>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</si>
  <si>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</si>
  <si>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Jandl, A; Frangoudis, PA; Dustdar, S</t>
  </si>
  <si>
    <t>Jandl, Adrian; Frangoudis, Pantelis A.; Dustdar, Schahram</t>
  </si>
  <si>
    <t>Edge-Based Autonomous Management of Vertical Farms</t>
  </si>
  <si>
    <t>IEEE INTERNET COMPUTING</t>
  </si>
  <si>
    <t>Vertical farming is the practice of growing crops vertically to increase total yield for a given space and is one approach toward sustainable food production. Concerns related with its operational costs, and the need to optimize plant growth parameters in a controlled environment call for advanced use of Internet of Things (IoT) technologies to develop low-cost mechanisms for continuous monitoring and optimization of vertical farming processes. This article lays the groundwork for such mechanisms, providing an extensible, edge-centric architecture for IoT-supported autonomous vertical farm monitoring and management. We study alternative deployment strategies for it, exploring the design and performance implications of using LoRaWAN as the device connectivity substrate. We show experimentally that it is possible to handle vertical farm monitoring workloads corresponding to thousands of IoT devices, even when operating purely on minimal edge compute infrastructure, making it feasible to support the management of vertical farms cheaply and at scale.</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</si>
  <si>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</si>
  <si>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</si>
  <si>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</si>
  <si>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</si>
  <si>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Kim, C; van Iersel, MW</t>
  </si>
  <si>
    <t>Kim, Changhyeon; van Iersel, Marc W.</t>
  </si>
  <si>
    <t>Morphological and Physiological Screening to Predict Lettuce Biomass Production in Controlled Environment Agriculture</t>
  </si>
  <si>
    <t>REMOTE SENSING</t>
  </si>
  <si>
    <t>Fast growth and rapid turnover is an important crop trait in controlled environment agriculture (CEA) due to its high cost. An ideal screening approach for fast-growing cultivars should detect desirable phenotypes non-invasively at an early growth stage, based on morphological and/or physiological traits. Hence, we established a rapid screening protocol based on a simple chlorophyll fluorescence imaging (CFI) technique to quantify the projected canopy size (PCS) of plants, combined with electron transport rate (ETR) measurements using a chlorophyll fluorometer. Eleven lettuce cultivars (Lactuca sativa), selected based on morphological differences, were grown in a greenhouse and imaged twice a week. Shoot dry weight (DW) of green cultivars at harvest 51 days after germination (DAG) was correlated with PCS at 13 DAG (R-2 = 0.74), when the first true leaves had just appeared and the PCS was &lt;8.5 cm(2). However, early PCS of high anthocyanin (red) cultivars was not predictive of DW. Because light absorption by anthocyanins reduces the amount of photons available for photosynthesis, anthocyanins lower light use efficiency (LUE; DW/total incident light on canopy over the cropping cycle) and reduce growth. Additionally, the total incident light on the canopy throughout the cropping cycle explained 90% and 55% of variability in DW within green and red cultivars, respectively. Estimated leaf level ETR at a photosynthetic photon flux density (PPFD) of 200 or 1000 mu mol m(-2) s(-1) were not correlated with DW in either green or red cultivars. In conclusion, early PCS quantification is a useful tool for the selection of fast-growing green lettuce phenotypes. However, this approach may not work in cultivars with high anthocyanin content because anthocyanins direct excitation energy away from photosynthesis and growth, weakening the correlation between incident light and growth.</t>
  </si>
  <si>
    <t>Kim, T; Lee, SH; Kim, JO</t>
  </si>
  <si>
    <t>Kim, Taehyeon; Lee, Sang-Ho; Kim, Jong-Ok</t>
  </si>
  <si>
    <t>A Novel Shape Based Plant Growth Prediction Algorithm Using Deep Learning and Spatial Transformation</t>
  </si>
  <si>
    <t>Plant growth prediction is challenging, as the growth rate varies depending on environmental factors. It is an essential task for efficient cultivation in controlled environments, such as in plant factories. In this paper, we propose a novel deep learning network for predicting future plant images from a number of past and current images. In particular, our focus is on the estimation of leaf shape in a plant, because the amount of plant growth is commonly quantified based on the leaf area. A spatial transform is applied to a sequence of plant images within the network, and the growth behavior is measured using a set of affine transform parameters. Instead of conventional sequential image fusion, the affine transform parameters for all pairs of successive images are fused together to predict the shape of the future plant image. Then, an RGB reconstruction subnet divides the plants into multiple patches to make global and local growth predictions based on hierarchical auto-encoders. A variety of experimental results show that the proposed network is robust to dynamic plant movements and can accurately predict the shapes of future plant images.</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</si>
  <si>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</si>
  <si>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</si>
  <si>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</si>
  <si>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</si>
  <si>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</si>
  <si>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</si>
  <si>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</si>
  <si>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</si>
  <si>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</si>
  <si>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</si>
  <si>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Liu, JR; Oita, A; Hayashi, K; Matsubae, K</t>
  </si>
  <si>
    <t>Liu, Jiarui; Oita, Azusa; Hayashi, Kentaro; Matsubae, Kazuyo</t>
  </si>
  <si>
    <t>Sustainability of Vertical Farming in Comparison with Conventional Farming: A Case Study in Miyagi Prefecture, Japan, on Nitrogen and Phosphorus Footprint</t>
  </si>
  <si>
    <t>The reduced requirement for nutrients in vertical farming (VF) implies that the potential for lower environmental impact is greater in VF than in conventional farming. In this study, the environmental impacts of VF were evaluated based on a case study of VF for vegetables in Miyagi Prefecture in Japan, where VF has been utilized in post-disaster relief operations in the wake of the 2011 Great East Japan Earthquake. The nitrogen (N) and phosphorus (P) footprints of these VFs were determined and analyzed to quantify the potential reduction in N and P emissions. First, the N and P footprints in conventional farming were calculated. Then, those footprints were compared with three different scenarios with different ratios for food imports, which equate to different levels of food self-sufficiency. The results show a decrease in the N and P footprints with increased prefectural self-sufficiency due to the introduction of VF. In addition to reducing the risks to food supply by reducing the dependence on imports and the environmental impacts of agriculture, further analysis reveals that VF is suitable for use in many scenarios around the world to reliably provide food to local communities. Its low vulnerability to natural disasters makes VF well suited to places most at risk from climate change anomalies.</t>
  </si>
  <si>
    <t>Liu, Y; Mousavi, S; Pang, ZB; Ni, ZJ; Karlsson, M; Gong, SF</t>
  </si>
  <si>
    <t>Liu, Yu; Mousavi, Sepehr; Pang, Zhibo; Ni, Zhongjun; Karlsson, Magnus; Gong, Shaofang</t>
  </si>
  <si>
    <t>Plant Factory: A New Playground of Industrial Communication and Computing</t>
  </si>
  <si>
    <t>SENSORS</t>
  </si>
  <si>
    <t>Plant Factory is a newly emerging industry aiming at transforming crop production to an unprecedented model by leveraging industrial automation and informatics. However, today's plant factory and vertical farming industry are still in a primitive phase, and existing industrial cyber-physical systems are not optimal for a plant factory due to diverse application requirements on communication, computing and artificial intelligence. In this paper, we review use cases and requirements for future plant factories, and then dedicate an architecture that incorporates the communication and computing domains to plant factories with a preliminary proof-of-concept, which has been validated by both academic and industrial practices. We also call for a holistic co-design methodology that crosses the boundaries of communication, computing and artificial intelligence disciplines to guarantee the completeness of solution design and to speed up engineering implementation of plant factories and other industries sharing the same demands.</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</si>
  <si>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</si>
  <si>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</si>
  <si>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</si>
  <si>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</si>
  <si>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Orsini, F</t>
  </si>
  <si>
    <t>Orsini, Filippo</t>
  </si>
  <si>
    <t>Food Vertigo. Processes and devices for metropolitan food resilience</t>
  </si>
  <si>
    <t>TECHNE-JOURNAL OF TECHNOLOGY FOR ARCHITECTURE AND ENVIRONMENT</t>
  </si>
  <si>
    <t>By 2050, more than 80% of the world's population will live in metropolitan conurbations. From a holstic and circular economy perspective, strategies for urban resilience that include universal access to food and alimentary security will be essential. This paper investigates the integration of existing traditional urban farming systems with new vertical farming techniques. The proposal is for an infrastructural strategy that improves human-environment interaction through the development of agricultural production on an intermediate scale and through architectural elements - such as urban vertical farms - configured as modular landmarks that respond to the technological complexity of the ago-industrial chain and can be adapted to different contexts, thus defining an inclusive and sustainable urban landscape.</t>
  </si>
  <si>
    <t>Tolga, AC; Basar, M</t>
  </si>
  <si>
    <t>Tolga, A. Cagri; Basar, Murat</t>
  </si>
  <si>
    <t>The assessment of a smart system in hydroponic vertical farming via fuzzy MCDM methods</t>
  </si>
  <si>
    <t>JOURNAL OF INTELLIGENT &amp; FUZZY SYSTEMS</t>
  </si>
  <si>
    <t>By 2050, the global population is estimated to rise to over 9 billion people, and the global food need is expected to ascend 50%. Moreover, by cause of climate change, agricultural production may decrease by 10%. Since cultivable land is constant, multi-layered farms are feasible alternatives to yield extra food from the unit land. Smart systems are logical options to assist production in these factory-like farms. When the amount of food grown per season is assessed, a single indoor hectare of a vertical farm could deliver yield equal to more than 30 hectares of land consuming 70% less water with nearly zero usage of pesticides. In this study, we evaluated technology selection for three vertical farm alternatives via MCDM methods. Even though commercial vertical farms are set up in several countries, area is still fresh and acquiring precise data is difficult. Therefore, we employed fuzzy logic as much as possible to overcome related uncertainties. WEDBA (Weighted Euclidean Distance Based Approximation) and MACBETH (Measuring Attractiveness by a Categorical Based Evaluation Technique) methods are employed to evaluate alternatives.</t>
  </si>
  <si>
    <t>Van Gerrewey, T; Boon, N; Geelen, D</t>
  </si>
  <si>
    <t>Van Gerrewey, Thijs; Boon, Nico; Geelen, Danny</t>
  </si>
  <si>
    <t>Vertical Farming: The Only Way Is Up?</t>
  </si>
  <si>
    <t>Vertical farming is on its way to becoming an addition to conventional agricultural practices, improving sustainable food production for the growing world population under increasing climate stress. While the early development of vertical farming systems mainly focused on technological advancement through design innovation, the automation of hydroponic cultivation, and advanced LED lighting systems, more recent studies focus on the resilience and circularity of vertical farming. These sustainability objectives are addressed by investigating water quality and microbial life in a hydroponic cultivation context. Plant growth-promoting rhizobacteria (PGPR) have been shown to improve plant performance and resilience to biotic and abiotic stresses. The application of PGPRs to plant-growing media increases microbial functional diversity, creating opportunities to improve the circularity and resilience of vertical farming systems by reducing our dependency on chemical fertilizers and crop protection products. Here, we give a brief historical overview of vertical farming, review its opportunities and challenges in an economic, environmental, social, and political context, and discuss advances in exploiting the rhizosphere microbiome in hydroponic cultivation systems.</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</si>
  <si>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</si>
  <si>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</si>
  <si>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Yano, A; Matsuda, R; Fujiwara, K</t>
  </si>
  <si>
    <t>Yano, Akira; Matsuda, Ryo; Fujiwara, Kazuhiro</t>
  </si>
  <si>
    <t>Implications of open circuit voltage of light-emitting diodes installed for plant cultivation</t>
  </si>
  <si>
    <t>This study investigated a light sensor function of light-emitting diodes (LEDs), the use of which is expanding in plant cultivations. Unimodal spectral LEDs of four types with respective emission peak wavelengths of 464, 501, 634, and 849 nm, and a white LED with a bimodal spectrum with 455-nm primary and 574-nm secondary peaks were used for this study. Open circuit voltage (VOC) of up to 1-2 V was induced in the LEDs when they were irradiated with sunlight. The VOC value of the 634 nm LED saturated with a low photon flux density can be used for binary discrimination between daylight and night. Each LED had a VOC inducible threshold wavelength of incident light. By virtue of the wavelength threshold feature, existence of a plant leaf between a light source and the LEDs is detectable by comparing the VOC values of blue-green range LEDs (464 nm, 501 nm) and near-infrared (NIR) LEDs (849 nm). Under leaf shadow, the NIR LED VOC exceeded those of the blue-green range LEDs. Under natural incident sunlight, the VOCs of the blue-green range LEDs were greater than that of the NIR LED. Another function of LEDs in agricultural use has been demonstrated.</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</si>
  <si>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</si>
  <si>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</si>
  <si>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</si>
  <si>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</si>
  <si>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</si>
  <si>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Zhang, X; Heuvelink, E; Melegkou, M; Yuan, X; Jiang, WJ; Marcelis, LFM</t>
  </si>
  <si>
    <t>Zhang, Xue; Heuvelink, Ep; Melegkou, Michaela; Yuan, Xin; Jiang, Weijie; Marcelis, Leo F. M.</t>
  </si>
  <si>
    <t>Effects of Green Light on Elongation Do Not Interact with Far-Red, Unless the Phytochrome Photostationary State (PSS) Changes in Tomato</t>
  </si>
  <si>
    <t>Simple Summary This paper focuses on the role of phytochromes (phys) in the interaction between green light and far-red light effects on shade avoidance syndrome. We grew wild type and phy mutants of tomato under a set of light conditions with different combinations of green, blue, red, and far-red light. Partial (20%) replacement of red/blue by green light in the absence of far-red light hardly affected the tomato plant morphology. However, when the spectrum contained far-red light, partially replacing red/blue by green light resulted in more elongation, which was associated with a lower phytochrome photostationary state (PSS) value. There was no effect of partial substitution of red/blue with green light when the PSS was kept constant. Thus, this study has revealed an interaction between green and far-red light effects on elongation unless PSS was kept constant. Green light was often a bit neglected in photobiology, but now an increasing number of researchers are realizing that green light deserves more attention. This study advances the understanding of light quality and plant growth and finding the optimal spectrum when growing plants under LED lighting in controlled environment agriculture. Green light (G) could trigger a shade avoidance syndrome (SAS) similarly to far-red light. We aimed to test the hypothesis that G interacts with far-red light to induce SAS, with this interaction mediated by phytochromes (phys). The tomato (Solanum lycopersicum cv. Moneymaker) wild-type (WT) and phyA, phyB1B2, and phyAB1B2 mutants were grown in a climate room with or without 30 mu mol m(-2) s(-1) G on red/blue and red/blue/far-red backgrounds, maintaining the same photosynthetically active radiation (400-700 nm) of 150 mu mol m(-2) s(-1) and red/blue ratio of 3. G hardly affected the dry mass accumulation or leaf area of WT, phyA, and phyB1B2 with or without far-red light. A lower phytochrome photostationary state (PSS) by adding far-red light significantly increased the total dry mass by enhancing the leaf area in WT plants but not in phy mutants. When the background light did not contain far-red light, partially replacing red/blue with G did not significantly affect stem elongation. However, when the background light contained far-red light, partially replacing red/blue with G enhanced elongation only when associated with a decrease in PSS, indicating that G interacts with far-red light on elongation only when the PSS changes.</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</si>
  <si>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</si>
  <si>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</si>
  <si>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</si>
  <si>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</si>
  <si>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</si>
  <si>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</si>
  <si>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</si>
  <si>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</si>
  <si>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Ares, G; Jaeger, SR</t>
  </si>
  <si>
    <t>Ares, Gaston; Jaeger, Sara R.</t>
  </si>
  <si>
    <t>Text highlighting for attitude measurement in cross-cultural consumer research: A methodological study</t>
  </si>
  <si>
    <t>JOURNAL OF SENSORY STUDIES</t>
  </si>
  <si>
    <t>Text highlighting was explored as a new method for direct attitude measurement in cross-cultural research. Participants in an online survey read a text about vertical farming. They used highlighter functions to mark parts of the text they liked and disliked. Four countries were included in the research-United Kingdom, United States, Singapore, and China (637-683 adults per country). The percentage of participants who highlighted words as like and dislike was calculated for each of the sentences and countries. Analysis of the highlighting responses did not point to response style or systematic differences in responding. This supported the use of text highlighting in cross-cultural research. Groups of consumers with different sentiment towards specific sentences in the text highlighting task (Positive, Neutral/Ambivalent, or Negative) showed predictable differences in their average scores for attitudinal statements. Practical Implications Likert scales are ubiquitous in attitude measurement but subject to response styles which is a hindrance in cross-cultural research. This suggests the need to develop scale-free methods. Results from the present research confirmed the ability of text highlighting to capture specific attitudes towards vertical farming across countries and languages, as well as its ability to overcome response style differences.</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</si>
  <si>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</si>
  <si>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</si>
  <si>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</si>
  <si>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</si>
  <si>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Kalantari, F; Akhyani, N</t>
  </si>
  <si>
    <t>Kalantari, Fatemeh; Akhyani, Narges</t>
  </si>
  <si>
    <t>Community acceptance studies in the field of vertical farming-A critical and systematic analysis to advance the conceptualisation of community acceptance in Kuala Lumpur</t>
  </si>
  <si>
    <t>INTERNATIONAL JOURNAL OF URBAN SUSTAINABLE DEVELOPMENT</t>
  </si>
  <si>
    <t>Vertical farming (VF) is a new idea for supplying food inside the cities. Therefore, there is a lack of academic research concerning community acceptance (CA) of VF. This study aims to identify the CA factors of VF in Kuala Lumpur (KL). The results are based on interviews with experts as well as a questionnaire survey, that says eight factors, Perceived Benefit, Perceived Risk, Location, Demographic characteristics, Value and Belief, Trust, Fairness, and Knowledge are affecting the CA of VF in KL. Also, the results revealed that the analysis of the related literature was different from the significant factors. Then the underlying components of these factors were identified and a new framework was developed. The findings of this study could positively contribute to knowledge generation, stakeholder network establishment, new project implementation, and improvement of the general perception of VF.</t>
  </si>
  <si>
    <t>van Delden, SH; SharathKumar, M; Butturini, M; Graamans, LJA; Heuvelink, E; Kacira, M; Kaiser, E; Klamer, RS; Klerkx, L; Kootstra, G; Loeber, A; Schouten, RE; Stanghellini, C; van Ieperen, W; Verdonk, JC; Vialet-Chabrand, S; Woltering, EJ; van de Zedde, R; Zhang, Y; Marcelis, LFM</t>
  </si>
  <si>
    <t>van Delden, S. H.; SharathKumar, M.; Butturini, M.; Graamans, L. J. A.; Heuvelink, E.; Kacira, M.; Kaiser, E.; Klamer, R. S.; Klerkx, L.; Kootstra, G.; Loeber, A.; Schouten, R. E.; Stanghellini, C.; van Ieperen, W.; Verdonk, J. C.; Vialet-Chabrand, S.; Woltering, E. J.; van de Zedde, R.; Zhang, Y.; Marcelis, L. F. M.</t>
  </si>
  <si>
    <t>Current status and future challenges in implementing and upscaling vertical farming systems</t>
  </si>
  <si>
    <t>Vertical farming can produce food in a climate-resilient manner, potentially emitting zero pesticides and fertilizers, and with lower land and water use than conventional agriculture. Vertical farming systems (VFS) can meet daily consumer demands for nutritious fresh products, forming a part of resilient food systems-particularly in and around densely populated areas. VFS currently produce a limited range of crops including fruits, vegetables and herbs, but successful implementation of vertical farming as part of mainstream agriculture will require improvements in profitability, energy efficiency, public policy and consumer acceptance. Here we discuss VFS as multi-layer indoor crop cultivation systems, exploring state-of-the-art vertical farming and future challenges in the fields of plant growth, product quality, automation, robotics, system control and environmental sustainability and how research and development, socio-economic and policy-related institutions must work together to ensure successful upscaling of VFS to future food systems. Vertical farming systems have the potential to form a part of resilient food systems through the production of reliable, high-quality crops in urban landscapes. This Review explores how multi-layer indoor crop cultivation systems currently operate and the conditions needed to upscale and support their integration into mainstream agriculture.</t>
  </si>
  <si>
    <t>Balasus, J; Blank, J; Babilon, S; Hegemann, T; Khanh, TQ</t>
  </si>
  <si>
    <t>Balasus, Jens; Blank, Janis; Babilon, Sebastian; Hegemann, Tim; Khanh, Tran Quoc</t>
  </si>
  <si>
    <t>Energy Efficient Lighting in Plant Factories: Addressing Utilance</t>
  </si>
  <si>
    <t>Vertical farming is considered to play a crucial role in future food supply. Until today, the high amount of electrical energy required for artificial lighting has been problematic in this context. Various possibilities for increasing efficiency through adapted lighting conditions have been and are being investigated. However, comparably little attention is paid to increasing utilance, i.e., the amount of photons that can effectively be used by the plant. In this work, a novel targeted lighting strategy is therefore proposed that allows for a dynamic adaptation of the luminaires' light distribution to match the effective crop size at each stage of plant growth in a fully-automated manner. It is shown that the resulting utilance can significantly be increased compared to standard full-coverage lighting. Moreover, it is found that the proposed strategy is likely to consume less than half of the electrical energy usually required for the latter. An additional increase in system efficiency can be prognosticated and the potential energy savings are estimated based on assumptions of future LED generations derived from literature.</t>
  </si>
  <si>
    <t>Borrero, JD</t>
  </si>
  <si>
    <t>Borrero, Juan D.</t>
  </si>
  <si>
    <t>Expanding the Level of Technological Readiness for a Low-Cost Vertical Hydroponic System</t>
  </si>
  <si>
    <t>INVENTIONS</t>
  </si>
  <si>
    <t>Climate and social changes are deeply affecting current agro-food systems. Unsustainable agricultural practices and the low profitability of small farmers are challenging the agricultural development of rural areas. This study aims to develop a novel, modular and low-cost vertical hydroponic farm system through reviews of the patented literature, research literature and variants of commercial products. After a detailed conceptualization process, a prototype was fabricated and tested at my university to validate its technology readiness level (TRL). The outcomes supported the usability and performance of the present utility model but highlighted several changes that are necessary before it can pass to the next TRL. This study shows that the prototype has the potential to not only solve food sovereignty but also to benefit society by advancing the innovations in food production and improving quality of life.</t>
  </si>
  <si>
    <t>Gomez, C; Poudel, M; Yegros, M; Fisher, PR</t>
  </si>
  <si>
    <t>Gomez, Celina; Poudel, Megha; Yegros, Matias; Fisher, Paul R.</t>
  </si>
  <si>
    <t>Radiation Intensity and Quality Affect Indoor Acclimation of Blueberry Transplants</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</si>
  <si>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</si>
  <si>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</si>
  <si>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</si>
  <si>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</si>
  <si>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</si>
  <si>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</si>
  <si>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</si>
  <si>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</si>
  <si>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</si>
  <si>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</si>
  <si>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Noh, K; Jeong, BR</t>
  </si>
  <si>
    <t>Noh, Kyungdeok; Jeong, Byoung Ryong</t>
  </si>
  <si>
    <t>Increased Carbon Dioxide by Occupants Promotes Growth of Leafy Vegetables Grown in Indoor Cultivation System</t>
  </si>
  <si>
    <t>The development of various types of plant factories is central to improving agriculture. In one form, it is expanding from the existing commercial plant factories to home cultivation systems or cultivators. The plant cultivation system grafted into the living space for people produces differences in the growth of the plant depending on the lifestyle (cooling and heating, residence time, number of residents, etc.) of the resident. In this study, identical home cultivation systems that automatically adjust environmental conditions (temperature, photoperiod, light, and nutrient solution supply) other than the carbon dioxide level were set in an office and warehouse. The study confirmed how plant growth can differ depending on the amount of carbon dioxide generated by humans occupying the space. In addition, it was confirmed whether the growth of plants can be further promoted depending on the external air exchange speed by a ventilation fan even if the indoor carbon dioxide concentration is the same. Due to the nature of the cultivation system that controls the temperature, the type and speed of the fan were set to minimize heat loss in the cultivator. The airspeed from ventilation fans attached to the indoor cultivation systems of an office and warehouse was adjusted to one of three levels (0.7, 1.0, or 1.3 m center dot s(-1)). In this study with two species, Ssamchoo and Romaine, it was confirmed that the office space was significantly advantageous for the growth of Ssamchoo, especially in terms of the fresh weight, root activity, and chlorophyll content. Romaine also had a significantly higher fresh weight when grown in the office. Shoot length, leaf length, and leaf width were longer, and there were more leaves. When comparing the relative yield based on an airspeed of 1.0 m center dot s(-1), the yield increased up to 156.9% more in the office than in the warehouse. The fan airspeed had an important influence on Ssamchoo. The higher the fan airspeed, the greater the yield, root activity, and chlorophyll. However, fan airspeed had no consistent effect on the growth tendencies of Romaine. In conclusion, carbon dioxide produced by humans occupying the space is a significant source of carbon dioxide for plants grown in the home cultivation system, although both the speed of the ventilation fan that can promote growth without heat loss and delayed growth caused by the photorespiration in a carbon dioxide-limited situation require additional experiments.</t>
  </si>
  <si>
    <t>Martin, M; Bustamante, MJ</t>
  </si>
  <si>
    <t>Martin, Michael; Bustamante, Maria J.</t>
  </si>
  <si>
    <t>Growing-Service Systems: New Business Models for Modular Urban-Vertical Farming</t>
  </si>
  <si>
    <t>To secure sustainable and resilient food systems, new approaches, innovations, techniques, and processes are needed. In recent years, urban farming firms have been developing and experimenting with innovative approaches to expand their offerings and connect with consumers in new ways. New business models are being developed to provide functions and services instead of traditional products to meet demands from consumers, retailers, and users. As such, modular growing systems are increasing in popularity to provide fresh produce, visual appeal, transparency, and other tailor-made functions and services in so-called growing-service systems (GSS). Using GSS approaches, firms are developing and providing modular and small-scale farms in restaurants, residential spaces, supermarkets, and other commercial spaces, often including a large degree of automation and optimization of digital solutions to remotely control their operation. Using qualitative methods, the aim of this study is to explore and analyze the development of these novel GSS systems, highlighting different strategies, business models, motivations, and challenges. The results illustrate the divergence in approaches to GSSs for vertical farming. This includes different scales of modular units and varying business models for capturing value from the combination of products and services. All of the systems include varying degrees of automation and digitalized solutions to ensure the services are monitored, which is done to improve growing conditions and improve the experience for the users. Business-to-business systems are being developed as both market expansion and awareness-building strategies, where modular units are provided as a rental or subscription model that includes a number of services. Business-to-consumer systems are being introduced as an alternative for consumers, particularly in urban areas, to have greater control and access over growing their own fresh produce. The modules are purchased by consumers, which includes a number of ongoing services from the GSS firms. By categorizing and exploring these systems, this article offers novel insights and a first endeavor to distinguish these new GSS systems in the growing segment of urban agriculture, controlled-environment agriculture, and product-service system literature.</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</si>
  <si>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</si>
  <si>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</si>
  <si>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</si>
  <si>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</si>
  <si>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Jaeger, SR; Ares, G</t>
  </si>
  <si>
    <t>Jaeger, Sara R.; Ares, Gaston</t>
  </si>
  <si>
    <t>Measuring consumer attitudes using text highlighting: Methodological considerations</t>
  </si>
  <si>
    <t>FOOD QUALITY AND PREFERENCE</t>
  </si>
  <si>
    <t>Direct attitude questions occupy a central position in consumer research despite concerns over validity and reliability. Text highlighting is an alternative method where participants use highlighter functions to indicate content that they 'ike' and 'dislike' as they read a text. Jaeger et al. (2022) [Food Qual Prefer, 95, 104356] introduced this approach and the present research investigated it methodologically to further assess its potential for attitude measurement. There were two research questions (RQ) that asked whether: 1) highlighting responses are independent of text characteristics (length, content); and 2) consumers' attitudes are altered by the process of completing the highlighting task. Data were collected in an online survey on vertical farming (VF) where 1466 UK consumers took part. For RQ1, results showed that word highlighting frequency was altered by textual context and decreased for longer texts. The sentiment scores for sentences were also altered, but the characteristics about VF that consumers responded positively and negatively to were minimally influenced by text length and content. For RQ2, results showed that completion of the text highlighting task did not influence attitudes to VF, meaning that the task of highlighting did not introduce response bias. Collectively, the findings of the present research further support that text highlighting has potential for attitude measurement.</t>
  </si>
  <si>
    <t>Ahn, TI; Park, JE; Jung, JH; Kim, SM; Yoo, G; Kim, HS; Lee, JY</t>
  </si>
  <si>
    <t>Ahn, Tae In; Park, Jai-Eok; Jung, Je Hyeong; Kim, Sang Min; Yoo, Gyhye; Kim, Hyoung Seok; Lee, Ju Young</t>
  </si>
  <si>
    <t>Nutrient Dosing Framework for an Emission-Free Urban Hydroponic Production</t>
  </si>
  <si>
    <t>The urban hydroponic production system is accelerating industrialization in step with the potentials for reducing environmental impact. In contrast, establishing sustainable fertilizer dosing techniques still lags behind the pace of expansion of the system. The reproducibility of root-zone nutrient dynamics in the system is poorly understood, and managing nutrients has so far primarily relied on periodic discharge or dumping of highly concentrated nutrient solutions. Here, we assayed root-zone nutrient concentration changes using three possible nutrient dosing types. Three Brassica species were hydroponically cultivated in a controlled environment to apply the nutrient absorption and transpiration parameters to the simulation analysis. We found that nutrient dosing based on total ion concentration could provide more reproducible root-zone nutrient dynamics. Our findings highlight the nutrient absorption parameter domain in management practice. This simplifies conventional nutrient management into an optimization problem. Collectively, our framework can be extended to fertilizer-emission-free urban hydroponic production.</t>
  </si>
  <si>
    <t>Schuerger, AC</t>
  </si>
  <si>
    <t>Schuerger, Andrew C.</t>
  </si>
  <si>
    <t>Integrated Pest Management Protocols for Space-Based Bioregenerative Life Support Systems</t>
  </si>
  <si>
    <t>FRONTIERS IN ASTRONOMY AND SPACE SCIENCES</t>
  </si>
  <si>
    <t>Human missions to the Moon and Mars will necessarily increase in both duration and complexity over the coming decades. In the past, short-term missions to low-Earth orbit (LEO) or the Moon (e.g., Apollo) utilized physiochemical life support systems for the crews. However, as the spatial and temporal durations of crewed missions to other planetary bodies increase, physiochemical life support systems become burdened with the requirement of frequent resupply missions. Bioregenerative life support systems (BLSS) have been proposed to replace much of the resupply required of physiochemical systems with modules that can regenerate water, oxygen, and food stocks with plant-based biological production systems. In order to protect the stability and productivity of BLSS modules (i.e., small scale units) or habitats (i.e., large scale systems), an integrated pest management (IPM) program is required to prevent, mitigate, and eliminate both insect pests and disease outbreaks in space-based plant-growing systems. A first-order BLSS IPM program is outlined herein that summarizes a collection of protocols that are similar to those used in field, greenhouse, and vertical-farming agricultural systems. However, the space environment offers numerous unusual stresses to plants, and thus, unique space-based IPM protocols will have to be developed. In general, successful operation of space-based BLSS units will be guided by IPM protocols that (1) should be established early in the mission design phase to be effective, (2) will be dynamic in nature changing both spatially and temporally depending on the successional processes afoot within the crewed spacecraft, plant-growing systems, and through time; and (3) can prevent insect/phytopathology outbreaks at very high levels that can approach 100% if properly implemented.</t>
  </si>
  <si>
    <t>Ares, G; Ha, B; Jaeger, SR</t>
  </si>
  <si>
    <t>Ares, Gaston; Ha, Birgit; Jaeger, Sara R.</t>
  </si>
  <si>
    <t>Consumer attitudes to vertical farming (indoor plant factory with artificial lighting) in China, Singapore, UK, and USA: A multi-method study</t>
  </si>
  <si>
    <t>FOOD RESEARCH INTERNATIONAL</t>
  </si>
  <si>
    <t>Major changes are needed both with regard to what we eat and how food is produced. The latter is the focus of the present research, specifically the rise of controlled environment agriculture. In this context, empirical research is presented on consumer attitudes to vertical farming (VF) (i.e., indoor plant factory with artificial lighting), conducted in four countries (USA, UK, Singapore, and China) using online surveys (637-683 participants per country with matched gender and age group distributions). A multi-method research approach was used, including a novel methodology of text highlighting, which requires that participants read a descriptive text about VF with mentions of pros and cons and use highlighter functions to select aspects of the text that they 'like' and 'dislike'. Based on the information provided in the text, attitudes towards VF were largely positive in the four countries. The characteristics of VF that aligned with the United Nations Sustainable Development Goals were identified as key drivers of positive attitudes (i.e., higher yield, reduction of carbon emissions, and securing access to food). On the other hand, high energy use and premium prices contributed to negative attitudes about VF. Although the majority of participants responded to the text with an overall positive attitude towards VF, there were smaller groups of participants in every country who expressed a negative or neutral/ambivalent attitude. These between-segment differences were larger than cross-cultural differences, although the latter did exist, particularly for selected aspects of VF. For example, Chinese participants tended to be the least negative about the use of robots to help planting and harvesting. Future research is needed to understand consumer responses to aspects VF not covered in the text (e.g., powering VF with renewable energy, product range), and consumer insights about VF should be sought in other countries.</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</si>
  <si>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</si>
  <si>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</si>
  <si>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</si>
  <si>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Chang, S; Lee, U; Hong, MJ; Jo, YD; Kim, JB</t>
  </si>
  <si>
    <t>Chang, Sungyul; Lee, Unseok; Hong, Min Jeong; Jo, Yeong Deuk; Kim, Jin-Baek</t>
  </si>
  <si>
    <t>Time-Series Growth Prediction Model Based on U-Net and Machine Learning in Arabidopsis</t>
  </si>
  <si>
    <t>Yield prediction for crops is essential information for food security. A high-throughput phenotyping platform (HTPP) generates the data of the complete life cycle of a plant. However, the data are rarely used for yield prediction because of the lack of quality image analysis methods, yield data associated with HTPP, and the time-series analysis method for yield prediction. To overcome limitations, this study employed multiple deep learning (DL) networks to extract high-quality HTTP data, establish an association between HTTP data and the yield performance of crops, and select essential time intervals using machine learning (ML). The images of Arabidopsis were taken 12 times under environmentally controlled HTPP over 23 days after sowing (DAS). First, the features from images were extracted using DL network U-Net with SE-ResXt101 encoder and divided into early (15-21 DAS) and late (similar to 21-23 DAS) pre-flowering developmental stages using the physiological characteristics of the Arabidopsis plant. Second, the late pre-flowering stage at 23 DAS can be predicted using the ML algorithm XGBoost, based only on a portion of the early pre-flowering stage (17-21 DAS). This was confirmed using an additional biological experiment (P &lt; 0.01). Finally, the projected area (PA) was estimated into fresh weight (FW), and the correlation coefficient between FW and predicted FW was calculated as 0.85. This was the first study that analyzed time-series data to predict the FW of related but different developmental stages and predict the PA. The results of this study were informative and enabled the understanding of the FW of Arabidopsis or yield of leafy plants and total biomass consumed in vertical farming. Moreover, this study highlighted the reduction of time-series data for examining interesting traits and future application of time-series analysis in various HTPPs.</t>
  </si>
  <si>
    <t>Ma, YC; Xu, A; Cheng, ZM</t>
  </si>
  <si>
    <t>Ma, Yuanchun; Xu, An; Cheng, Zong-Ming (max)</t>
  </si>
  <si>
    <t>Effects of light emitting diode lights on plant growth, development and traits a meta-analysis</t>
  </si>
  <si>
    <t>HORTICULTURAL PLANT JOURNAL</t>
  </si>
  <si>
    <t>The various monochromatic Light Emitting Diode (LED) lights are widely used in growth facility for cultivating various plants, particularly horticultural crops because of their higher luminous efficiency, lower radiation and power consumption than the traditional white fluorescent lamp light. However, considerable inconsistent effects have been reported in literature. We conducted a meta-analysis to assess the effects of different colors of LED light on plant growth, development and various traits. Compared to the light from white fluorescent lamps, the red LED light significantly changed 4 out 26 plant characteristics by at least 37%, and blue LED light significantly increased 5 of 26 assessed characteristics by 37% or more. The combination of red/blue LED lights only significantly increased dry weight by 161% among 25 plant characteristics analyzed. Compared to the white LED light, red LED light significantly decreased 2 of 9 plant characteristics by at least 36%, and blue LED light significantly decreased only 1 of 9 plant characteristics, total chlorophyll content, by 42%. In the moderators analyzed, plant taxonomic families significantly influenced the effects of LED lights on shoot dry weight, and plant life cycles and plant taxonomic families significantly affected the effect on stomatal conductance. Through systematic meta-analysis, we found that the effect of LED on plant growth and quality traits was speciesspecific, and the effect was affected by the cultivation conditions. Therefore, we suggest that researchers be more targeted to experiment, and collect traits associated with practical production, especially related to the quality of product data, such as carotenoids, anthocyanin and other antioxidant compounds. This article is to provide more data with practical application, guide the application of LED in horticultural plant factory.</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</si>
  <si>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</si>
  <si>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</si>
  <si>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</si>
  <si>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</si>
  <si>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</si>
  <si>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</si>
  <si>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</si>
  <si>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</si>
  <si>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</si>
  <si>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</si>
  <si>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Abdullah, MJ; Zhang, ZY; Matsubae, K</t>
  </si>
  <si>
    <t>Abdullah, Meshal J.; Zhang, Zhengyang; Matsubae, Kazuyo</t>
  </si>
  <si>
    <t>Potential for Food Self-Sufficiency Improvements through Indoor and Vertical Farming in the Gulf Cooperation Council: Challenges and Opportunities from the Case of Kuwait</t>
  </si>
  <si>
    <t>The countries of the Gulf Cooperation Council (GCC) are considered food secure due to their ability to import sufficient food to meet their populations' demand, despite considerable environmental limitations to conventional agriculture. However, over-reliance on externally produced food leaves these countries vulnerable to food shortages during crises that disrupt international production and shipping. Advanced Controlled Environment Agriculture technology has the potential to improve food self-sufficiency by multiplying vegetable crop yields while optimizing efficiency of agricultural inputs and minimizing land requirements. This paper demonstrates how approximately 15 km(2) of indoor farms or less than 0.1 km(2) of vertical farms could reduce or eliminate the need to import six important vegetable crops in the State of Kuwait. If properly contextualized and supported by clear legislation and well-managed regulatory bodies, indoor agriculture initiatives may provide a pathway for GCC countries to reduce their dependence on imported foods and increase resilience to food supply disruption during disasters or conflict. This case study contextualizes the need for improved food self-sufficiency in light of vulnerabilities from regional and global threats, illuminates unique challenges faced by GCC countries considering adoption of the proposed technologies, and summarizes opportunities inherent in the current legal and policy framework.</t>
  </si>
  <si>
    <t>Hao, X; Zhang, M; Zhou, TR; Guo, XC; Tomasetto, F; Tong, YX; Wang, MJ</t>
  </si>
  <si>
    <t>Hao, Xia; Zhang, Man; Zhou, Tianru; Guo, Xuchao; Tomasetto, Federico; Tong, Yuxin; Wang, Minjuan</t>
  </si>
  <si>
    <t>An Automatic Light Stress Grading Architecture Based on Feature Optimization and Convolutional Neural Network</t>
  </si>
  <si>
    <t>The identification of light stress is crucial for light control in plant factories. Image-based lighting classification of leafy vegetables has exhibited remarkable performance with high convenience and economy. Convolutional Neural Network (CNN) has been widely used for crop image analysis because of its architecture, high accuracy and efficiency. Among them, large intra-class differences and small inter-class differences are important factors affecting crop identification and a critical challenge for fine-grained classification tasks based on CNN. To address this problem, we took the Lettuce (Lactuca sativa L.) widely grown in plant factories as the research object and constructed a leaf image set containing four stress levels. Then a light stress grading model combined with classic pre-trained CNN and Triplet loss function is constructed, which is named Tr-CNN. The model uses the Triplet loss function to constrain the distance of images in the feature space, which can reduce the Euclidean distance of the samples from the same class and increase the heterogeneous Euclidean distance. Multiple sets of experimental results indicate that the model proposed in this paper (Tr-CNN) has obvious advantages in light stress grading dataset and generalized dataset.</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</si>
  <si>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</si>
  <si>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</si>
  <si>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</si>
  <si>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</si>
  <si>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</si>
  <si>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</si>
  <si>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</si>
  <si>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</si>
  <si>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Perambalam, L; Avgoustaki, DD; Efthimiadou, A; Liu, YM; Wang, Y; Ren, MZ; Petridis, A; Xydis, G</t>
  </si>
  <si>
    <t>Perambalam, Linthujan; Avgoustaki, Dafni D.; Efthimiadou, Aspasia; Liu, Yongming; Wang, Ying; Ren, Maozhi; Petridis, Antonios; Xydis, George</t>
  </si>
  <si>
    <t>How Young Consumers Perceive Vertical Farming in the Nordics. Is the Market Ready for the Coming Boom?</t>
  </si>
  <si>
    <t>Producing food via vertical farming (VF) is an efficient method since it requires less space with increased yield per unit area. Such a system can assist in solving major food-shortage problems since it presents a higher crop yield per unit area compared to conventional farming. Thus, VF can be seen as a production method that can cope with the challenge of the constantly growing population, making it also possible to cultivate crops in regions with adverse climate conditions. However, the public might be concerned about the sustainability of VF systems since plants are produced in an unconventional setting. Therefore, there is a need to consider and evaluate the consumers' acceptance of VF. The particular study attempts to both analyse consumer acceptance of VF in the Nordic areas and offer insights into VF acceptance among young customers in a comparative analysis. The results indicated that VF is not widely accepted by young Nordic consumers. The concept of sustainability is one of the principles driving forces behind consumer acceptance of vertical farms. The more cases of vertical farms in European cities, the better seems to be the level of acceptance among young customers and their willingness to purchase their products.</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</si>
  <si>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</si>
  <si>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</si>
  <si>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</si>
  <si>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</si>
  <si>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Zareba, A; Krzeminska, A; Kozik, R</t>
  </si>
  <si>
    <t>Zareba, Anna; Krzeminska, Alicja; Kozik, Renata</t>
  </si>
  <si>
    <t>Urban Vertical Farming as an Example of Nature-Based Solutions Supporting a Healthy Society Living in the Urban Environment</t>
  </si>
  <si>
    <t>RESOURCES-BASEL</t>
  </si>
  <si>
    <t>The subject of the article concerns vertical urban farms that play an important role in nature-based solutions and ecosystem services for the city. In the face of a changing climate, progressive environmental degradation, and the related loss of agricultural land, vertical farms can be seen as an alternative to traditional agriculture. Woven into the blue-green infrastructure of cities, they may not only constitute a base for food production, but can also create a new valuable ecological, social, and economic hub in contemporary cities, changed by the COVID-19 pandemic. The objective of this paper is to show whether it is possible to introduce various functions which support ecosystem and social services, and whether they affect measurable benefits for urban residents in a large-scale system of solutions in the field of vertical urban agriculture. This research shows that urban vertical farms can perform many functions and bring diverse benefits to the inhabitants of cities. In a multi-scale system, they allow for the creation of patchwork connections, which stabilise a specific city biome in the vertical space.</t>
  </si>
  <si>
    <t>Song, S; Hou, YJ; Lim, RBH; Gaw, LYF; Richards, DR; Tan, HTW</t>
  </si>
  <si>
    <t>Song, Shuang; Hou, Yujun; Lim, Rayson B. H.; Gaw, Leon Y. F.; Richards, Daniel R.; Tan, Hugh T. W.</t>
  </si>
  <si>
    <t>Comparison of vegetable production, resource-use efficiency and environmental performance of high-technology and conventional farming systems for urban agriculture in the tropical city of Singapore</t>
  </si>
  <si>
    <t>SCIENCE OF THE TOTAL ENVIRONMENT</t>
  </si>
  <si>
    <t>Urban farming can improve cities' food security and resilience, but the performance of different farming systems with respect to land and investment constraints has not been systematically investigated. Here, we compared conventional soil-based farming, vertical farming with natural lighting (Vnat), and indoor vertical farming. This study aimed to compare (1) the dynamic production of leafy vegetables over time given the same amount of investment and land constraints, (2) the associated water and energy use, and (3) the global warming potential (GWP) of the urban farming sector if each of the three farming systems was solely used in the tropical city-state of Singapore. A system dynamics (SD) model was constructed to map the potential quantity of leafy vegetables produced, together with the water and energy use of each farming system. The land and monetary investment constraints were set at an additional 0.3% of the total land area of Singapore and an annual investment of SGD 10-20 million (0.001-0.005% of Singapore's annual GDP). Vnat farming was predicted to have the highest production level (110,000 t) and self-sufficiency (76.9% of total demand) by 2050 based on the SD model. This would be 3 times the self-sufficiency level achieved by indoor and soil-based farming systems given the same investment and land constraints. Indoor farming was simulated to use &lt;14% the land area of Vnat while soil-based farming exhausted the additional 0.3% of the land allocated. Indoor farming was also the most energy intensive system, requiring 100 times more than Vnat farming. Comparison of the GHG emission rates showed that indoor farming had the greatest GWP-at 2.51 kg CO(2)(-)eq per kg of lettuce produced. Our results suggest that Vnat farming may be the best form of urban farming system to provide large amounts of food in Singapore, considering the production level, the amount of resources used, and the environmental impacts. (C) 2021 Elsevier B.V. All rights reserved.</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</si>
  <si>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</si>
  <si>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</si>
  <si>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</si>
  <si>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</si>
  <si>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Chaux, JD; Sanchez-Londono, D; Barbieri, G</t>
  </si>
  <si>
    <t>David Chaux, Jesus; Sanchez-Londono, David; Barbieri, Giacomo</t>
  </si>
  <si>
    <t>A Digital Twin Architecture to Optimize Productivity within Controlled Environment Agriculture</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</si>
  <si>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</si>
  <si>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Gu, S; Ji, HH; Yang, YL; Chu, Q; Yang, Y; Liu, HC; Jiang, XP</t>
  </si>
  <si>
    <t>Gu, Song; Ji, Hanhan; Yang, Yanli; Chu, Qi; Yang, Yi; Liu, Houcheng; Jiang, Xianping</t>
  </si>
  <si>
    <t>Analysis on Transporting Methods of Cultivation Unit for Vertical Cultivation in Plant Factory</t>
  </si>
  <si>
    <t>Automatic transport can improve the operational efficiency in plant factory production and reduce the use of labor. However, a determination of a plant factory automation operation mode should comprehensively consider the economic strength of the enterprise, operation objects and operation mode, production scale, technical strength, labor costs, and other factors. In this study, a logistics transport system comprising a set of cultivation units was developed for plant factories, using a mode based on shelf-end delivery without power inside the shelf. Moreover, an analysis was conducted on four modes of common transportation methods for the cultivation units for vertical cultivation in plant factories. The results showed that, when comparing the progressive transport type and warehousing/reciprocating transport type for cultivation units, the transport productivity of the former is higher than that of the latter, and the difference in the two transport productivities is proportional to the capacity for cultivation units in each layer. When the capacities for cultivation units in each layer are 20 and 40, the transport productivity of the former is 115-200% and 130-250% higher than that of the latter, respectively. Moreover, the logistics transport system developed herein reaches an input (output) transport productivity of 330 (270) cultivation units h(-1).&lt;/p&gt;</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</si>
  <si>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</si>
  <si>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</si>
  <si>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</si>
  <si>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</si>
  <si>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Tetreault, J; Fogle, R; Guerdat, T</t>
  </si>
  <si>
    <t>Tetreault, Joseph; Fogle, Rachel; Guerdat, Todd</t>
  </si>
  <si>
    <t>Towards a Capture and Reuse Model for Aquaculture Effluent as a Hydroponic Nutrient Solution Using Aerobic Microbial Reactors</t>
  </si>
  <si>
    <t>Controlled environment agriculture (CEA) technologies are required to meet current and future food production demand as the global population rises, arable land decreases, and minerals for fertilizer production are depleted. Hydroponics and recirculating aquaculture systems (RAS) are intensive production methods that can provide season-independent vegetables and seafood in urban settings but are limited by a reliance on fertilizing solutions made from finite mineral reserves and the treatment and disposal costs of nutrient rich effluent, respectively. The development of a capture and reuse system where RAS effluent is solubilized to become plant-available and utilized as a hydroponic nutrient solution would aid both industries and increase food security in urban food deserts. Aerobic mineralization is used in domestic wastewater treatment to reduce solid content and solubilize particulate-bound nutrients. Preliminary studies have also shown that aerobic mineralization can be an effective method for RAS effluent treatment. Aerobic batch reactors were used to mineralize RAS effluent in this study. Suspended solids reduction achieved in the reactors was measured throughout the experiment and the plant-availability of twelve nutrients was determined before and after treatment. It was shown that aerobic mineralization can effectively reduce particulate-bound solids and solubilize nutrients to increase plant utilization in RAS effluent.&lt;/p&gt;</t>
  </si>
  <si>
    <t>Avgoustaki, DD; Xydis, G</t>
  </si>
  <si>
    <t>Avgoustaki, Dafni Despoina; Xydis, George</t>
  </si>
  <si>
    <t>Energy cost reduction by shifting electricity demand in indoor vertical farms with artificial lighting</t>
  </si>
  <si>
    <t>The article focuses on the energy demand optimisation of indoor vertical farms (IVFs) with artificial lighting using load shifting. The solution in agriculture of IVFs attracts interest; however, operating them without a plan is costly and inefficient. In this research, it was experimentally proven that by electricity load shifting on IVFs, it can result in a 16-26% reduction of artificial lighting costs for all months throughout the year, by simply selecting the times of the day that the required darkness will be provided to the plants (in this experiment, basil). Therefore, one could understand that mass deployment of IVFs within cities could minimise the operational costs, decrease CO2 emissions-since for a large number of leafy products the production will take place in cities - and increase the number of agriculture-based jobs offered in the urban environment. Cash flow analysis of various scenarios revealed that possible investors in indoor vertical farms, in most of the cases, have a full payback period of their investment amount in less than 9 years, while in the majority of the cases the repayment period is as low as 2 years. (C) 2021 The Author(s). Published by Elsevier Ltd on behalf of IAgrE.</t>
  </si>
  <si>
    <t>Wang, LP; Iddio, E; Ewers, B</t>
  </si>
  <si>
    <t>Wang, Liping; Iddio, Emmanuel; Ewers, Brent</t>
  </si>
  <si>
    <t>Introductory overview: Evapotranspiration (ET) models for controlled environment agriculture (CEA)</t>
  </si>
  <si>
    <t>Evapotranspiration (ET) is the total amount of water lost from evaporation and transpiration via plant growing media and plant surfaces. ET models have been widely researched for outdoor plants, forests, and wetlands. However, studies on ET models for controlled environment agriculture (CEA) are limited. Reliable predictions of ET in CEA are essential for quantifying the performance of CEA systems. This review focused on evaluating the twelve existing ET models that have been used for indoor ET estimation. Also, we provided an overview of the key parameters that affect ET in existing ET models and different calibration methods for ET models. We summarized existing studies on crop coefficient and stomatal conductance and reviewed case studies that utilized ET models for different CEA applications. We identified research gaps in ET modeling and highlighted research needs for ET parameter interdependence, validation of existing models for indoor farming, and a comprehensive crop resistance model.</t>
  </si>
  <si>
    <t>Yorifuji, R; Obara, S</t>
  </si>
  <si>
    <t>Yorifuji, Ryota; Obara, Shin'ya</t>
  </si>
  <si>
    <t>Economic design of artificial light plant factories based on the energy conversion efficiency of biomass</t>
  </si>
  <si>
    <t>Since plants with a high biomass conversion efficiency of light energy consume less energy and require shorter cultivation periods, it is expected that plant factories can have more output with less energy. However, there have been few studies on the biomass conversion efficiency of light energy in various cultivated plants, and this agricultural engineering field is still unexplored. If the amount of energy consumed by a plant factory can be obtained from the biomass conversion efficiency of light energy, the plant types that can be grown in a plant factory and the economic efficiency of the plant factory can be clarified. In this study, we determined the amount of light energy required for plant cultivation by measuring the wavelength distribution of sunlight and plantgrowing light-emitting diodes. Also, we investigated the light to biomass conversion efficiency from the amount of heat generated by the biomass of cultivated plants. The light to biomass conversion efficiency was also used to analyze the payback period of plant factories so as to estimate the profitability of various cultivated plants. The solar to biomass conversion efficiency of the tested leafy vegetables ranged from 0.03% to 0.62%, while the efficiency of the cultivation LEDs ranged from 1.21% to 20.1%. The conversion efficiency including the energy consumption of air conditioning ranged from 0.13 to 5.7%. By measuring the biomass conversion efficiency of plants, it is possible to analyze the profitability of plant factories with a high degree of accuracy.</t>
  </si>
  <si>
    <t>Appolloni, E; Pennisi, G; Zauli, I; Carotti, L; Paucek, I; Quaini, S; Orsini, F; Gianquinto, G</t>
  </si>
  <si>
    <t>Appolloni, Elisa; Pennisi, Giuseppina; Zauli, Ilaria; Carotti, Laura; Paucek, Ivan; Quaini, Stefania; Orsini, Francesco; Gianquinto, Giorgio</t>
  </si>
  <si>
    <t>Beyond vegetables: effects of indoor LED light on specialized metabolite biosynthesis in medicinal and aromatic plants, edible flowers, and microgreens</t>
  </si>
  <si>
    <t>JOURNAL OF THE SCIENCE OF FOOD AND AGRICULTURE</t>
  </si>
  <si>
    <t>Specialized metabolites from plants are important for human health due to their antioxidant properties. Light is one of the main factors modulating the biosynthesis of specialized metabolites, determining the cascade response activated by photoreceptors and the consequent modulation of expressed genes and biosynthetic pathways. Recent developments in light emitting diode (LED) technology have enabled improvements in artificial light applications for horticulture. In particular, the possibility to select specific spectral light compositions, intensities and photoperiods has been associated with altered metabolite content in a variety of crops. This review aims to analyze the effects of indoor LED lighting recipes and management on the specialized metabolite content in different groups of crop plants (namely medicinal and aromatic plants, microgreens and edible flowers), focusing on the literature from the last 5 years. The literature collection produced a total of 40 papers, which were analyzed according to the effects of artificial LED lighting on the content of anthocyanins, carotenoids, phenols, tocopherols, glycosides, and terpenes, and ranked on a scale of 1 to 3. Most studies applied a combination of red and blue light (22%) or monochromatic blue (23%), with a 16 h day(-1) photoperiod (78%) and an intensity greater than 200 mu mol m(-2) s(-1) (77%). These treatment features were often the most efficient in enhancing specialized metabolite content, although large variations in performance were observed, according to the species considered and the compound analyzed. The review aims to provide valuable indications for the definition of the most promising spectral components toward the achievement of nutrient-rich indoor-grown products. (c) 2021 The Authors. Journal of The Science of Food and Agriculture published by John Wiley &amp; Sons Ltd on behalf of Society of Chemical Industry.</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</si>
  <si>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</si>
  <si>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</si>
  <si>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</si>
  <si>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</si>
  <si>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</si>
  <si>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Ragaveena, S; Edward, AS; Surendran, U</t>
  </si>
  <si>
    <t>Ragaveena, S.; Shirly Edward, A.; Surendran, U.</t>
  </si>
  <si>
    <t>Smart controlled environment agriculture methods: a holistic review</t>
  </si>
  <si>
    <t>REVIEWS IN ENVIRONMENTAL SCIENCE AND BIO-TECHNOLOGY</t>
  </si>
  <si>
    <t>Agriculture is the basic necessity all over the world which provides food for the existence of humans. India is expected to be home to 1.6 billion people by 2050, and India has to double the food production from the current level of 260 MT to feed the entire population. Providing food for growing population is becoming tedious and the deficiency of fertile lands makes it more difficult to increase the production beyond a certain limit. Under such scenario, maximizing the production per unit area using precision technologies in agriculture will help to achieve the same. Smart technologies are getting attention in every domain by the inclusion of advanced technologies like Big data analytics, Robotics, Artificial Intelligence (AI), Internet of Things (IoT) etc. This article reviews the current literature published in the stream controlled environment agriculture like soil less hydroponics, aquaponics, nutrient film technique and aeroponics for the period of 1999-2020. In this article, different types of soilless agriculture, their advantages over traditional soil methods, different types of sensors employed in agriculture, implementation of recent precision technologies in soilless agriculture are discussed. The review suggests that smart farming is an emerging trend in the area of agriculture, which makes, every individual to practice farming and grow vegetables and fruits on their own in their house without soil. However, future research ideas should focus on areas of real time monitoring of nutrition solution management and pest management for the plants growing in controlled environment to maximize the production are also discussed.</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</si>
  <si>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</si>
  <si>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</si>
  <si>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</si>
  <si>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</si>
  <si>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Citiulo, F; Crosatti, C; Cattivelli, L; Biselli, C</t>
  </si>
  <si>
    <t>Citiulo, Francesco; Crosatti, Cristina; Cattivelli, Luigi; Biselli, Chiara</t>
  </si>
  <si>
    <t>Frontiers in the Standardization of the Plant Platform for High Scale Production of Vaccines</t>
  </si>
  <si>
    <t>The recent COVID-19 pandemic has highlighted the value of technologies that allow a fast setup and production of biopharmaceuticals in emergency situations. The plant factory system can provide a fast response to epidemics/pandemics. Thanks to their scalability and genome plasticity, plants represent advantageous platforms to produce vaccines. Plant systems imply less complicated production processes and quality controls with respect to mammalian and bacterial cells. The expression of vaccines in plants is based on transient or stable transformation systems and the recent progresses in genome editing techniques, based on the CRISPR/Cas method, allow the manipulation of DNA in an efficient, fast, and easy way by introducing specific modifications in specific sites of a genome. Nonetheless, CRISPR/Cas is far away from being fully exploited for vaccine expression in plants. In this review, an overview of the potential conjugation of the renewed vaccine technologies (i.e., virus-like particles-VLPs, and industrialization of the production process) with genome editing to produce vaccines in plants is reported, illustrating the potential advantages in the standardization of the plant platforms, with the overtaking of constancy of large-scale production challenges, facilitating regulatory requirements and expediting the release and commercialization of the vaccine products of genome edited plants.</t>
  </si>
  <si>
    <t>Didenko, N; Skripnuk, D; Ilin, I; Cherenkov, V; Tanichev, A; Kulik, SV</t>
  </si>
  <si>
    <t>Didenko, Nikolay; Skripnuk, Djamilia; Ilin, Igor; Cherenkov, Vitally; Tanichev, Alexander; Kulik, Sergei, V</t>
  </si>
  <si>
    <t>An Economic Model of Sustainable Development in the Russian Arctic: The Idea of Building Vertical Farms</t>
  </si>
  <si>
    <t>The main aim of the article is to find out the key factors of sustainable development of the Russian Arctic, which is strategically significant for Russia. The academic literature was reviewed to find out the time dynamics of the references to the economic models suitable for achieving the goals of sustainable development, and there has been hyperbolic growth in the attention paid to similar problems all around the world. The article compares three relatively new economic models in order to understand which of them is the most applicable to the promotion of sustainable development in the Russian Arctic: (a) bioeconomy, (b) green economy and (c) circular economy. The analysis of the relevant sources shows that the model of the circular economy is preferable for the Russian Arctic. Most of the article is dedicated to understanding the sources and mechanisms of the circular economy. The schematic description of vertical greenhouses and possibility of using vertical farms are presented in the paper as an example of organization of local food production according to the principles of the circular economy. The article considers a modeled project of creating a vertical farm in the Russian Arctic and a simulated indicator-profit of the vertical farm.</t>
  </si>
  <si>
    <t>Eaton, M; Harbick, K; Shelford, T; Mattson, N</t>
  </si>
  <si>
    <t>Eaton, Michael; Harbick, Kale; Shelford, Timothy; Mattson, Neil</t>
  </si>
  <si>
    <t>Modeling Natural Light Availability in Skyscraper Farms</t>
  </si>
  <si>
    <t>Lighting is a major component of energy consumption in controlled environment agriculture (CEA) operations. Skyscraper farms (multilevel production in buildings with transparent glazing) have been proposed as alternatives to greenhouse or plant factories (opaque warehouses) to increase space-use efficiency while accessing some natural light. However, there are no previous models on natural light availability and distribution in skyscraper farms. This study employed climate-based daylight modeling software and the Typical Meteorological Year (TMY) dataset to investigate the effects of building geometry and context shading on the availability and spatial distribution of natural light in skyscraper farms in Los Angeles (LA) and New York City (NYC). Electric energy consumption for supplemental lighting in 20-storey skyscraper farms to reach a daily light integral target was calculated using simulation results. Natural lighting in our baseline skyscraper farms without surrounding buildings provides 13% and 15% of the light required to meet a target of 17 mol.m(-2).day(-1). More elongated buildings may meet up to 27% of the lighting requirements with natural light. However, shading from surrounding buildings can reduce available natural light considerably; in the worst case, natural light only supplies 5% of the lighting requirements. Overall, skyscraper farms require between 4 to 11 times more input for lighting than greenhouses per crop canopy area in the same location. We conclude that the accessibility of natural light in skyscraper farms in dense urban settings provides little advantage over plant factories.</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</si>
  <si>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</si>
  <si>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</si>
  <si>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</si>
  <si>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</si>
  <si>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</si>
  <si>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</si>
  <si>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</si>
  <si>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</si>
  <si>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</si>
  <si>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</si>
  <si>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</si>
  <si>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</si>
  <si>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</si>
  <si>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Zheng, JF; Gan, PD; Ji, F; He, DX; Yang, P</t>
  </si>
  <si>
    <t>Zheng, Jianfeng; Gan, Peidian; Ji, Fang; He, Dongxian; Yang, Po</t>
  </si>
  <si>
    <t>Growth and Energy Use Efficiency of Grafted Tomato Transplants as Affected by LED Light Quality and Photon Flux Density</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</si>
  <si>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</si>
  <si>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Broad, GM; Marschall, W; Ezzeddine, M</t>
  </si>
  <si>
    <t>Broad, Garrett M.; Marschall, Wythe; Ezzeddine, Maya</t>
  </si>
  <si>
    <t>Perceptions of high-tech controlled environment agriculture among local food consumers: using interviews to explore sense-making and connections to good food</t>
  </si>
  <si>
    <t>AGRICULTURE AND HUMAN VALUES</t>
  </si>
  <si>
    <t>In recent years, new forms of high-tech controlled environment agriculture (CEA) have received increased attention and investment. These systems integrate a suite of technologies - including automation, LED lighting, vertical plant stacking, and hydroponic fertilization - to allow for greater control of temperature, humidity, carbon dioxide, oxygen, and light in an enclosed growing environment. Proponents insist that CEA can produce sustainable, nutritious, and tasty local food, particularly for the cities of the future. At the same time, a variety of critics raise concerns about its environmental impacts and energy use, high startup costs, and consumer accessibility challenges, among other issues. At this stage, however, relatively little research has explored actual consumer knowledge and attitudes related to CEA processes and products. Guided by theories of sense-making, this article draws from structured interviews with local food consumers in New York City to examine what people know and think about high-tech CEA. From there, it explores the extent to which CEA fits into consumer conceptualizations of what makes for good food. Key findings emphasize that significant gaps in public understanding of CEA remain, that CEA products' success will depend on the ability of the industry to deliver on its environmental promises, and that concerns about unnatural aspects of CEA will need to be allayed. Given the price premium at which high-tech CEA products are currently sold, the industry's expansion will depend in large part on its ability to convince value-oriented food consumers that the products meet the triple-bottom-line of economic, social, and environmental sustainability goals.</t>
  </si>
  <si>
    <t>Jaeger, SR; Chheang, SL; Ares, G</t>
  </si>
  <si>
    <t>Jaeger, Sara R.; Chheang, Sok L.; Ares, Gastron</t>
  </si>
  <si>
    <t>Text highlighting as a new way of measuring consumers' attitudes: A case study on vertical farming</t>
  </si>
  <si>
    <t>Attitude measurement occupies a central position in consumer research. Concerns over the validity and reliability of traditional measures have motivated the development of alternative approaches. The present research introduces text highlighting as a method for measurement of explicit attitudes using a case study on vertical farming (VF) with 837 UK consumers. They participated in an online survey, where they read a text about VF and used highlighting functions to mark text as 'like' and 'dislike.' Consumers approached the task in a systematic and logical way and desirable aspects of VF were frequently highlighted as 'like', whereas undesirable aspects were more frequently highlighted as 'dislike'. The text highlighting responses were summarised using word clouds, frequency tables and through sentiment scores to reveal an overall positive attitude to VF among participants. Sentiment scores enabled the identification of consumer segments with interpretable differences in their attitude towards VF. Two approaches to method validation - comparison with direct attitude questions and consumer profiling - further confirmed the potential of the text highlighting method. The sentiment of specific sentences in the text highlighting task matched results from self-reported attitudinal based on Likert scales. Consumer segments with different sentiment in the text highlighting task also differed in their food technology neophobia scores in the expected direction. Future research should investigate methodological aspects of text highlighting and explore its suitability to other applications.</t>
  </si>
  <si>
    <t>Sipos, L; Balazs, L; Szekely, G; Jung, A; Sarosi, S; Radacsi, P; Csambalik, L</t>
  </si>
  <si>
    <t>Sipos, Laszlo; Balazs, Laszlo; Szekely, Geza; Jung, Andras; Sarosi, Szilvia; Radacsi, Peter; Csambalik, Laszlo</t>
  </si>
  <si>
    <t>Optimization of basil (Ocimum basilicum L.) production in LED light environments - a review</t>
  </si>
  <si>
    <t>Basil (Ocimum basilicum L.) is a popular crop worldwide among farmers; it is relatively easy to grow and is well adapted to hydroponic and Controlled Environment Agriculture (CEA) systems having a high profitability margin. Several studies investigated the effect of the environmental factors on the qualitative and quantitative factors of basil: the effect of light is crucial for development, nutritional properties and sensory characteristics. The principles of sustainability, profitability and resource-effectiveness all encourages farmers to use energy-efficient LED light sources. These tools easily allow for the modification of spectral distribution and light intensity; numerous suggestions have been made for developing goal-driven light recipes for maximum cost-effectiveness and for reducing carbon footprint. Here, the results of several studies are summarized for providing a solid base for light recipe utilization of basil production in terms of light intensity, duration, and spectral distribution. Experimental results related to the impact of light treatments on vegetative parameters, phytonutrient content and sensory properties of basil are discussed, and optimal ranges of light parameters are summarized. Due to the increasing number of promising specialized research the wider application of purposedriven high-tech production systems is expected in future basil growing.</t>
  </si>
  <si>
    <t>Nesteruk, S; Shadrin, D; Pukalchik, M; Somov, A; Zeidler, C; Zabel, P; Schubert, D</t>
  </si>
  <si>
    <t>Nesteruk, Sergey; Shadrin, Dmitrii; Pukalchik, Mariia; Somov, Andrey; Zeidler, Conrad; Zabel, Paul; Schubert, Daniel</t>
  </si>
  <si>
    <t>Image Compression and Plants Classification Using Machine Learning in Controlled-Environment Agriculture: Antarctic Station Use Case</t>
  </si>
  <si>
    <t>IEEE SENSORS JOURNAL</t>
  </si>
  <si>
    <t>In this article, we share our experience in the scope of controlled-environment agriculture automation in the Antarctic station greenhouse facility called EDEN ISS. For remote plant monitoring, control, and maintenance, we solve the problem of plant classification. Due to the inherent communication limitations between Antarctica and Europe, we first propose the image compression mechanism for the data collection. We show that we can compress the images, on average, 7.2 times for efficient transmission over the weak channel. Moreover, we prove that decompressed images can be further used for computer vision applications. Upon decompressing images, we apply machine learning for the classification task. We achieve 92.6% accuracy on an 18-classes unbalanced dataset. The proposed approach is promising for a number of agriculture related applications, including the plant classification, identification of plant diseases, and deviation of plant phenology.</t>
  </si>
  <si>
    <t>Tan, B; Li, YH; Liu, TG; Tan, X; He, YX; You, XJ; Leong, KH; Liu, C; Li, LG</t>
  </si>
  <si>
    <t>Tan, Bo; Li, Yihan; Liu, Tiegang; Tan, Xiao; He, Yuxin; You, Xueji; Leong, Kah Hon; Liu, Chao; Li, Longguo</t>
  </si>
  <si>
    <t>Response of Plant Rhizosphere Microenvironment to Water Management in Soil- and Substrate-Based Controlled Environment Agriculture (CEA) Systems: A Review</t>
  </si>
  <si>
    <t>As natural agroecology deteriorates, controlled environment agriculture (CEA) systems become the backup support for coping with future resource consumption and potential food crises. Compared with natural agroecology, most of the environmental parameters of the CEA system rely on manual management. Such a system is dependent and fragile and prone to degradation, which includes harmful bacteria proliferation and productivity decline. Proper water management is significant for constructing a stabilized rhizosphere microenvironment. It has been proved that water is an efficient tool for changing the availability of nutrients, plant physiological processes, and microbial communities within. However, for CEA issues, relevant research is lacking at present. The article reviews the interactive mechanism between water management and rhizosphere microenvironments from the perspectives of physicochemical properties, physiological processes, and microbiology in CEA systems. We presented a synthesis of relevant research on water-root-microbes interplay, which aimed to provide detailed references to the conceptualization, research, diagnosis, and troubleshooting for CEA systems, and attempted to give suggestions for the construction of a high-tech artificial agricultural ecology.</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</si>
  <si>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</si>
  <si>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</si>
  <si>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</si>
  <si>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</si>
  <si>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</si>
  <si>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</si>
  <si>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</si>
  <si>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</si>
  <si>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</si>
  <si>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</si>
  <si>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</si>
  <si>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</si>
  <si>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</si>
  <si>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</si>
  <si>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</si>
  <si>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</si>
  <si>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</si>
  <si>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Wu, YE</t>
  </si>
  <si>
    <t>Wu, Yu-En</t>
  </si>
  <si>
    <t>Design and Implementation of an LED Automatic Lighting System for Plant Factories</t>
  </si>
  <si>
    <t>IEEE PHOTONICS JOURNAL</t>
  </si>
  <si>
    <t>This paper proposed a light-emitting diode (LED) automatic lighting system for plant factories. This system can achieve the simultaneous effects of automatic dimming and seven-segment mixing; the light intensity and color can therefore be adjusted according to the properties of the plants to increase crop harvest. The operation method comprises detection of the light source through a photosensitive diode CdS, and sending the analog value obtained from the light intensity to the single chip dsPIC30F4011 for analog-to-digital conversion. This single chip stores the digital value in the internal pulse width modulation (PWM) register and outputs it to the dimming circuit to achieve the effect of automatic dimming. In addition, the operator can also connect to the system using smartphone Bluetooth and an ATmega328 single chip and manually select the color of the light source through the human-machine interface. The ATmega328 chip receives the operating signal and transfers it to the dsPIC30F4011, which automatically changes the PWM output channel to achieve seven-segment light mixing.</t>
  </si>
  <si>
    <t>Liebman-Pelaez, M; Kongoletos, J; Norford, LK; Reinhart, C</t>
  </si>
  <si>
    <t>Liebman-Pelaez, Mariana; Kongoletos, Johnathan; Norford, Leslie K.; Reinhart, Christoph</t>
  </si>
  <si>
    <t>Validation of a building energy model of a hydroponic container farm and its application in urban design</t>
  </si>
  <si>
    <t>ENERGY AND BUILDINGS</t>
  </si>
  <si>
    <t>Plant factories have developed within urban contexts following efforts to expand local food production, create local jobs, and provide alternatives to conventional agriculture with lower greenhouse gas emissions. One plant factory system, container farms, consists of artificially lit, vertically stacked hydroponic farms inside retrofitted shipping containers and support crop production in otherwise unused locations regardless of climate and daylight availability. Given their high energy intensity, municipalities considering container farms require reliable models to study their overall environmental performance and feasibility. While previous studies have used co-simulators to consider plant-air interactions within building performance simulation (BPS) tools, energy validation studies are lacking for such models. This research presents the validation of an EnergyPlus model of a hydroponic container farm in Boston, Massachusetts based on nine months of measured data. Despite shortcomings in predicting of hourly conditioning energy, the resulting calibrated energy model achieves a Normalized Mean Bias Error of 3% and a Coefficient of Variation of the Root-Mean-Square Error of 11%. Results show that through representing plant-air interactions within EnergyPlus and modeling cooling coefficient of performance as a function of outdoor air temperature, stakeholders can reliably predict annual container farm energy use. (c) 2021 Elsevier B.V. All rights reserved.</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</si>
  <si>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</si>
  <si>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</si>
  <si>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</si>
  <si>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</si>
  <si>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</si>
  <si>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</si>
  <si>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</si>
  <si>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</si>
  <si>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Koch, JA; Bolderdijk, JW; van Ittersum, K</t>
  </si>
  <si>
    <t>Koch, Jan Andre; Bolderdijk, Jan Willem; van Ittersum, Koert</t>
  </si>
  <si>
    <t>Disgusting? No, just deviating from internalized norms. Understanding consumer skepticism toward sustainable food alternatives</t>
  </si>
  <si>
    <t>JOURNAL OF ENVIRONMENTAL PSYCHOLOGY</t>
  </si>
  <si>
    <t>In recent years, edible insects, lab-grown meat, and vertically farmed produce have been praised as potential sustainable food alternatives to the increasingly unsustainable Western diet. Although these sustainable food alternatives offer considerable benefits, consumers typically reject them without much consideration. When prompted to explain their rejection, consumers often report specific concerns regarding these foods. Edible insects, for instance, are argued to carry diseases, lab-grown meat is seen as unhealthy, and vertically farmed produce is perceived to be less natural. Addressing these self-reported concerns has, however, proven insufficient in fully overcoming consumers' rejection. The results of the three empirical studies presented in this manuscript offer a new explanation as to why. Specifically, we argue that consumers' self-reported concerns regarding sustainable food alternatives may not per se convey the root cause of their rejection. Instead, we argue that people may also report such concerns as the result of an underlying problem: sustainable food alternatives may elicit disgust because they typically deviate from what consumers have internalized to be normal food, causing consumers to intuitively reject them. Importantly, in an attempt to appear rational, disgusted consumers may consequently rationalize their intuitive rejection with seemingly reasonable concerns, such as insects carry diseases. Rather than exclusively addressing consumers' self-reported concerns, our results suggest that marketers seeking to promote sustainable food alternatives should consider a subtle, less mentioned cause of consumers' rejection: the perception that these foods deviate from people's internalized norms.</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</si>
  <si>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</si>
  <si>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</si>
  <si>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</si>
  <si>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</si>
  <si>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</si>
  <si>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Zheng, ZH; Deng, MX; Wang, CY; Zhang, X; Liu, Q; Xu, XK; Gao, L</t>
  </si>
  <si>
    <t>Zheng, Zhehan; Deng, Mingxue; Wang, Caiyan; Zhang, Xiang; Liu, Qian; Xu, Xiaoke; Gao, Le</t>
  </si>
  <si>
    <t>Dual-ion substituted (MeY)(3)(AlSi)(5)O-12:Eu garnet phosphors: combinatorial screening, reductive annealing, and luminescence property</t>
  </si>
  <si>
    <t>RSC ADVANCES</t>
  </si>
  <si>
    <t>In recent years, the efficiency of combinatorial methods has been utilized to accelerate the finding or screening of inorganic materials. In this work, based on the double substitution strategy of the cation ions Me2+/Si4+, a series of MeyY3-yAl5-ySiyO12:Eu-x garnet phosphors (MeYASG:Eu, Me = Mg, Ca, Sr, Ba) were rapidly prepared and screened by a combinatorial method in microreactor arrays. Through parallel experiments of solid-state synthesis, the reliability of the combinatorial screening was verified and an optimal composition of CaY2Al4SiO12:Eu-0.03 (CYASG:Eu) with advanced luminous intensity was obtained. Annealing experiments under air and reductive atmospheres were performed and demonstrated the controllability and reversibility of the Eu3+ &lt;-&gt; Eu2+ valence transition process, thus realizing the tuning of the dominant emission from divalent Eu2+ or trivalent Eu3+. The optimal CYASG:Eu sample showed excellent thermal quenching resistance after annealing at 800 degrees C for 1 h in a reducing atmosphere. The abnormal intensity of PL increased by 10% in the 50-100 degrees C region, and retained 63% of the initial value at 250 degrees C. With the assistance of thermoluminescence characterization, the complementary effect of the release of captured electrons or charge carriers in trap levels on the abnormal increase of PL intensity during the high-temperature luminescence process was revealed. By combination of the double substitution strategy of cations and annealing, a new approach is proposed to creating the coexistence of activator Eu ions with a mixed-valence state. Also, the prepared CYASG:Eu phosphors have promising applications in fields such as plant light supplements in greenhouses and plant factories and as luminescent materials for energy-saving light sources.</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</si>
  <si>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</si>
  <si>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</si>
  <si>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</si>
  <si>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</si>
  <si>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Wang, C; Du, JT; Liu, Y; Chow, D</t>
  </si>
  <si>
    <t>Wang, Cong; Du, Jiangtao; Liu, Yu; Chow, David</t>
  </si>
  <si>
    <t>A climate-based analysis of photosynthetically active radiation availability in large-scale greenhouses across China</t>
  </si>
  <si>
    <t>Photosynthetically Active Radiation (PAR) is critically required for sustaining plant and vegetable growth. This study investigated PAR availabilities in two typical large-scale greenhouses using an advanced method of climate-based solar modelling in China. Seven Chinese locations in terms of daylight (solar) climate zones and latitudes were studied. The PAR prediction was conducted via RADIANCE (ray-tracing solar and light simulation package). Key findings were: 1) A climate-based analysis was proved as more practical than the methods based on only clear sky and solar geometries. 2) A ray-tracing solar modelling could effectively predict PAR levels at specific positions (e.g. vertical planes), which could benefit the development of vertical farming activities. 3) The PAR availability could receive insignificant impact from roof configuration in these large-scale greenhouses. 4) For the approach of vertical farming, the vertical arrangement of planting system could be significantly affected by greenhouse orientations, while horizontally no such effect can be found. These findings could be developed into design strategies to support greenhouse planning.</t>
  </si>
  <si>
    <t>Xu, D; Ahmed, HA; Tong, YX; Yang, QC; van Willigenburg, LG</t>
  </si>
  <si>
    <t>Xu, Dan; Ahmed, Hesham A.; Tong, Yuxin; Yang, Qichang; van Willigenburg, L. Gerard</t>
  </si>
  <si>
    <t>Optimal control as a tool to investigate the profitability of a Chinese plant factory - lettuce production system</t>
  </si>
  <si>
    <t>Although optimal control has been used extensively for greenhouse climate management, its application to plant factories is still in its infancy. In this paper, profitability of growing lettuce in a Chinese plant factory is investigated by means of optimal control computations. To that end, first, a lettuce growth model is adapted to fit a plant factory environment. Next, this model is calibrated and validated using nine sets of experimental data with different LED light intensities. Using the calibrated and validated model, optimal control computations are used to produce a 3D plot revealing the influence of the electricity and lettuce price on maximum profit. Lettuce's physiological demand for dark periods during artificial lighting is incorporated by fixing this dark period to eight hours a day. Therefore, the optimal LED light intensity pattern obtained from the optimal control computations could be used in the actual production process. Maximum profit can reach 264.88 RMB m(-2) assuming a Chinese plant factory fresh lettuce price of 34.5 RMB kg(-1). When lettuce must be sold at 5.01 RMB kg(-1), which represents the price for an open field product, profit always comes out negative. Besides, LED lighting is not advised when the electricity price is greater than 0.84 RMB kWh(-1) under these circumstances. Profit is only positive when the lettuce price is over 20 RMB kg(-1). (C) 2021 Published by Elsevier Ltd on behalf of IAgrE.</t>
  </si>
  <si>
    <t>Perone, C; Orsino, M; La Fianza, G; Giametta, F; Catalano, P</t>
  </si>
  <si>
    <t>Perone, Claudio; Orsino, Michela; La Fianza, Giovanna; Giametta, Ferruccio; Catalano, Pasquale</t>
  </si>
  <si>
    <t>Study of a mechanical ventilation system with heat recovery to control temperature in a monitored agricultural environment under Summer conditions</t>
  </si>
  <si>
    <t>JOURNAL OF BUILDING ENGINEERING</t>
  </si>
  <si>
    <t>Proper management of the microclimatic environment plays a main role for a more rational use of energy in greenhouses. In particular, ventilation systems in controlled environment agriculture (CEA) are essential to make the indoor environment as compatible as possible with production needs. In this study, a prototype of mechanical ventilation (SIVeMeC: Integrated System for Controlled Mechanical Ventilation) was analysed in cooling mode by simulating, through two climatic rooms, typical Summer outdoor temperature (i.e., 29 degrees C, 32 degrees C, 35 degrees C, 38 degrees C and 40 degrees C) and an indoor set-point of 24 degrees C. The main results show a very high performance of the system and reliable temperature control within the confined environment. Finally, a comparison was made with a representative commercial unit, which confirmed the suitability of SIVeMeC to efficiently manage the internal temperature.</t>
  </si>
  <si>
    <t>Xydis, G; Strasszer, D; Avgoustaki, DD; Nanaki, E</t>
  </si>
  <si>
    <t>Xydis, George; Strasszer, David; Avgoustaki, Dafni Despoina; Nanaki, Evanthia</t>
  </si>
  <si>
    <t>Mass deployment of plant factories as a source of load flexibility in the grid under an energy-food nexus. A technoeconomics-based comparison</t>
  </si>
  <si>
    <t>SUSTAINABLE ENERGY TECHNOLOGIES AND ASSESSMENTS</t>
  </si>
  <si>
    <t>There is no clear solution for dealing with the severe consequences of rapid urbanization. Since it cannot be reverted as a phenomenon, the scientific community has decided to look for sustainable solutions within the urban environment. An Energy-Food Nexus could optimize the way cities interact with meeting energy and food demands in intense urban environments. This work proposed a decisive solution by introducing plant factories as a support to the grid and to the local leafy greens industry. The work studied how plant factories can act as a source of load flexibility via a wind energy project. Under various scenarios analysed for a specific case in Central Greece, it was revealed that possible investors in both wind energy and plant factories, in most of the cases, they will have a full repayment period of their investment in less than 8 years, while in some cases even as low as 4 years.</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</si>
  <si>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</si>
  <si>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</si>
  <si>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</si>
  <si>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</si>
  <si>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</si>
  <si>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</si>
  <si>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</si>
  <si>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</si>
  <si>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</si>
  <si>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</si>
  <si>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</si>
  <si>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</si>
  <si>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Buyukozkan, G; Gocer, F; Uzturk, D</t>
  </si>
  <si>
    <t>Buyukozkan, Gulcin; Gocer, Fethullah; Uzturk, Deniz</t>
  </si>
  <si>
    <t>A novel Pythagorean fuzzy set integrated Choquet integral approach for vertical farming technology assessment</t>
  </si>
  <si>
    <t>COMPUTERS &amp; INDUSTRIAL ENGINEERING</t>
  </si>
  <si>
    <t>The fourth industrial revolution transforms the way we approach the existing traditional systems. Agriculture is one of the crucial areas where the transformation showed its effects. With the unstoppable growth of the world population, agricultural production is under pressure to meet the increasing food demand. Today, alternative solutions such as vertical farming (VF) are sought to reach sustainable and secure food chains. VF is an indoor plant production system. The investment cost for a VF is still a challenging issue for entrepreneurs and municipalities. Therefore, having in-depth analyses is the first critical step to create sustainable food systems. This paper mainly deals with the VF technology evaluation and establishes a multi-criteria decision-making (MCDM) framework to assess the VF systems. A novel Pythagorean fuzzy set (PFS) with Choquet Integral model integrated is recommended for VF technology evaluation. This study aims to characterize the most feasible option from a group of VF technologies considering a group of decision makers' opinions. A real-case study for an ecological farm in Turkey is applied to test the proposed methodology's plausibility. The VF alternatives are assessed, and a suitable option is detected for the farm. A comparative assessment and a sensitivity analysis are conducted to test the suggested methodology's robustness and reliability. The outcomes and analysis are presented, and finally, conclusions and perspectives are provided.</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</si>
  <si>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</si>
  <si>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</si>
  <si>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</si>
  <si>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</si>
  <si>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Avgoustaki, DD; Bartzanas, T; Xydis, G</t>
  </si>
  <si>
    <t>Avgoustaki, Dafni Despoina; Bartzanas, Thomas; Xydis, George</t>
  </si>
  <si>
    <t>Minimising the energy footprint of indoor food production while maintaining a high growth rate: Introducing disruptive cultivation protocols</t>
  </si>
  <si>
    <t>FOOD CONTROL</t>
  </si>
  <si>
    <t>The majority of the cultivated species in indoor vertical farms require many hours of light each day to reach their full potential in terms of biomass, leaf size, nutritional value, taste, and colour. At the same time, the cost of electricity can be very high due to the many hours of operation, which can be an inhibiting factor for the advancement of technology and the profitability of the farm. In this study, we tested the growth of basil plants (Ocimum basilicum) under continuous and intermittent photoperiods. The leaf physiological traits of three different photoperiod treatments were assessed and used to estimate the toleration rate of the plants under different light schedules. In the first indoor growth chamber, the plants were grown under 16 h of continuous light, in the second chamber under a normal photoperiod of 14 h with intermittent light, and in the third chamber under a load-shifting demand response with 14 h of intermittent light. The purpose was to evaluate and design flexible intermittent light exposure to reduce the electricity consumption for crops grown in indoor environments while maintaining a high growth rate and biomass production of the plants. The presented results of this experimental research show a positive correlation of the plants' responses to abiotic stress when exposed to short 10-min periods of intermittent light, without having significant effects on the physiological responses of the cultivation. The physiological, biochemical, and morphological status of the plants were assessed in terms of photosynthetic rate, chlorophyll pigments, stomatal conductance, and transpiration rate of the plants. The protocol with intermittent light exposure induced a significantly 47% increase in biomass production compared to the continuous photoperiod, resulting in a more economical, sustainable, business, and ecological impact on the energy footprint of indoor food production.</t>
  </si>
  <si>
    <t>Weidner, T; Yang, AD; Hamm, MW</t>
  </si>
  <si>
    <t>Weidner, Till; Yang, Aidong; Hamm, Michael W.</t>
  </si>
  <si>
    <t>Energy optimisation of plant factories and greenhouses for different climatic conditions</t>
  </si>
  <si>
    <t>The trend to localise food production promises reduced reliance on increasingly uncertain global supply chains. Controlled-environment agriculture, in particular indoor vertical farming, is developing as part of this trend, to ensure a year-round supply of healthy food and protection from extreme weather events. However, high energy consumption is a major concern that could greatly impact the environmental sustainability of high-tech farms. Addressing the lack of comprehensive comparisons between different controlled-environment agriculture systems on a consistent basis, this work investigates the favourability of indoor vertical farms (i.e. plant factories) over modern ventilated open and closed greenhouses from an energy intensity perspective. This was based on a flexible yield-energy model incorporating detailed air conditioning system dynamics, which was developed to evaluate the influence of outside climate conditions on energy consumption and vegetable yield. The model was used to optimise the climate control strategy and to minimise hourly specific energy consumption for multiple systems, parameter settings, and locations. The hourly model performance is demonstrated for Stockholm, which indicates that advanced climate control allows for very low-energy operations in summer compared to winter. The results show a strong parametric sensitivity for the thermal transmittance of the cover, the target light intensity and the crop climate preference in all three systems, as well as the efficiency of lighting and water cooling for plant factories. Considering the yearly average for multiple locations, open greenhouses were substantially more energy-efficient than plant factories in all ten locations (from -45% in Reykjavik to -94% in Gauteng). The option to ventilate a greenhouse (open vs closed) had the greatest positive effect on specific energy consumption in less extreme climates (from -36% in Massachusetts to -83% in Gauteng) but increased water consumption considerably (from an average of similar to 2 l/kg to 26 l/kg). Although local availability of land and water plays a significant role in the choice between growing systems, the results imply that high-tech ventilated greenhouses perform significantly better than vertical farms from an energy perspective in most inhabited regions of the planet.</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</si>
  <si>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</si>
  <si>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</si>
  <si>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</si>
  <si>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</si>
  <si>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</si>
  <si>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</si>
  <si>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</si>
  <si>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</si>
  <si>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Saad, MHM; Hamdan, NM; Sarker, MR</t>
  </si>
  <si>
    <t>Saad, Mohamad Hanif Md; Hamdan, Nurul Maisarah; Sarker, Mahidur R.</t>
  </si>
  <si>
    <t>State of the Art of Urban Smart Vertical Farming Automation System: Advanced Topologies, Issues and Recommendations</t>
  </si>
  <si>
    <t>ELECTRONICS</t>
  </si>
  <si>
    <t>The global economy is now under threat due to the ongoing domestic and international lockdown for COVID-19. Many have already lost their jobs, and businesses have been unstable in the Corona era. Apart from educational institutions, banks, privately owned institutions, and agriculture, there are signs of economic recession in almost all sectors. The roles of modern technology, the Internet of things, and artificial intelligence are undeniable in helping the world achieve economic prosperity in the post-COVID-19 economic downturn. Food production must increase by 60% by 2050 to meet global food security demands in the face of uncertainty such as the COVID-19 pandemic and a growing population. Given COVID 19's intensity and isolation, improving food production and distribution systems is critical to combating hunger and addressing the double burden of malnutrition. As the world's population is growing day by day, according to an estimation world's population reaches 9.6 billion by 2050, so there is a growing need to modify the agriculture methods, technologies so that maximum crops can be attained and human effort can be reduced. The urban smart vertical farming (USVF) is a solution to secure food production, which can be introduced at any adaptive reuse, retrofit, or new buildings in vertical manners. This paper aims to provide a comprehensive review of the concept of USVF using various techniques to enhance productivity as well as its types, topologies, technologies, control systems, social acceptance, and benefits. This review has focused on numerous issues, challenges, and recommendations in the development of the system, vertical farming management, and modern technologies approach.</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</si>
  <si>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</si>
  <si>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</si>
  <si>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</si>
  <si>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</si>
  <si>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</si>
  <si>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</si>
  <si>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</si>
  <si>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</si>
  <si>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</si>
  <si>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</si>
  <si>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</si>
  <si>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</si>
  <si>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</si>
  <si>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</si>
  <si>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</si>
  <si>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</si>
  <si>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Santini, A; Bartolini, E; Schneider, M; de Lemos, VG</t>
  </si>
  <si>
    <t>Santini, Alberto; Bartolini, Enrico; Schneider, Michael; de Lemos, Vinicius Greco</t>
  </si>
  <si>
    <t>The crop growth planning problem in vertical farming</t>
  </si>
  <si>
    <t>EUROPEAN JOURNAL OF OPERATIONAL RESEARCH</t>
  </si>
  <si>
    <t>In this paper, we study the problem of planning the growth of crops on shelves in vertical farming cabinets under controlled growth conditions. By adjusting temperature, humidity, light, and other environmental conditions in different parts of the cabinets, a planner must ensure that crop growth is able to satisfy some deterministic demand. We prove this problem to be N P-hard and propose an integer programming formulation able to capture real-life operational characteristics, including changes of growth conditions on a daily, shelf-by-shelf basis, over a planning horizon of months. We compare four objective functions from which a planner can choose, depending on the specific operations of the company. A computational study on realistic instances, which we make available as a public dataset, shows that the choice of objective function heavily influences both the difficulty of solving the model with a standard solver and the solution characteristics. (c) 2021 Elsevier B.V. All rights reserved.</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</si>
  <si>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</si>
  <si>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</si>
  <si>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</si>
  <si>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</si>
  <si>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Liu, XQ; Ma, XH; Wang, H; Li, SZ; Yang, WZ; Nugroho, RD; Luo, LL; Zhou, XJ; Tang, CH; Fan, YL; Zhao, QY; Zhang, JM; Chen, RM</t>
  </si>
  <si>
    <t>Liu, Xiaoqing; Ma, Xuhui; Wang, Hao; Li, Suzhen; Yang, Wenzhu; Nugroho, Ramdhan Dwi; Luo, Lili; Zhou, Xiaojin; Tang, Chaohua; Fan, Yunliu; Zhao, Qingyu; Zhang, Junmin; Chen, Rumei</t>
  </si>
  <si>
    <t>Metabolic engineering of astaxanthin-rich maize and its use in the production of biofortified eggs</t>
  </si>
  <si>
    <t>PLANT BIOTECHNOLOGY JOURNAL</t>
  </si>
  <si>
    <t>Production of the high-value carotenoid astaxanthin, which is widely used in food and feed due to its strong antioxidant activity and colour, is less efficient in cereals than in model plants. Here, we report a new strategy for expressing beta-carotene ketolase and hydroxylase genes from algae, yeasts and flowering plants in the whole seed using a seed-specific bidirectional promoter. Engineered maize events were backcrossed to inbred maize lines with yellow endosperm to generate progenies that accumulate astaxanthin from 47.76 to 111.82 mg/kg DW in seeds, and the maximum level is approximately sixfold higher than those in previous reports (16.2-16.8 mg/kg DW) in cereals. A feeding trial with laying hens indicated that they could take up astaxanthin from the maize and accumulate it in egg yolks (12.10-14.15 mg/kg) without affecting egg production and quality, as observed using astaxanthin from Haematococcus pluvialis. Storage stability evaluation analysis showed that the optimal conditions for long-term storage of astaxanthin-rich maize are at 4 degrees C in the dark. This study shows that co-expressing of functional genes driven by seed-specific bidirectional promoter could dramatically boost astaxanthin biosynthesis in every parts of kernel including embryo, aleurone layer and starch endosperm other than previous reports in the starch endosperm only. And the staple crop maize could serve as a cost-effective plant factory for reliably producing astaxanthin.</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</si>
  <si>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</si>
  <si>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</si>
  <si>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</si>
  <si>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</si>
  <si>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Kim, KY; Huh, JH; Ko, HJ</t>
  </si>
  <si>
    <t>Kim, Ki-Youn; Huh, Jun-Ho; Ko, Han-Jong</t>
  </si>
  <si>
    <t>Research on Crop Growing Factory: Focusing on Lighting and Environmental Control with Technological Proposal</t>
  </si>
  <si>
    <t>Recently, the interest in the plant factory-based crop production technologies is rising following the application of the smart farm technology to the agricultural arena. A lettuce production system platform is proposed in this study considering the effects of indoor environmental conditions and artificial light sources. The spectral characteristics of a visible ray according to growth performances were analyzed first to develop a control algorithm that can stimulate the plant's growth for the proposal. Secondly, an imaging system was designed to analyze the plant's growth characteristics based on the images and set up the system configuration. Lastly, a crop production system was proposed by using an experimental crop production group for environmental control and monitoring.</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</si>
  <si>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</si>
  <si>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</si>
  <si>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</si>
  <si>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</si>
  <si>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Roberts, JA; Hardy, K; Orridge, T; Heynes, X; Gunasena, S; Grundy, S; Lu, CG</t>
  </si>
  <si>
    <t>Roberts, Jeremy A.; Hardy, Katherine; Orridge, Thomas; Heynes, Xanthea; Gunasena, Sulochana; Grundy, Steven; Lu, Chungui</t>
  </si>
  <si>
    <t>FARMING THE FUTURE: CONTEMPORARY INNOVATIONS ENHANCING SUSTAINABILITY IN THE AGRI-SECTOR</t>
  </si>
  <si>
    <t>ANNUAL PLANT REVIEWS ONLINE</t>
  </si>
  <si>
    <t>Threats from climate change, environmental degradation, and exhausted Green Revolution technologies have caused widespread concern for the future of global crop production and food security. Today, the agri-sector is transitioning on a global scale, away from traditional farming practices and towards adopting the novel technologies needed to sustainably intensify food production. With the global population projected to reach nine billion by 2050, with 68% of us living in urban environments, it is essential to find ways of producing food crops sustainably both in cities as well as out in the field. Modern innovation presents an opportunity to remedy these issues through the implementation of novel technologies and practices, including vertical farming, light supplementation via light-emitting diodes (LEDs), artificial intelligence (AI), advances within plant breeding genetics, and the application of biostimulants made from organic extracts. Throughout this review, we will provide insights into the future of farming by discussing a range of contemporary agricultural techniques and technologies, alongside the cultural, economic, and environmental contexts that necessitate their increased application.</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</si>
  <si>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</si>
  <si>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</si>
  <si>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</si>
  <si>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</si>
  <si>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Zhang, MQ; Zhang, W; Chen, XY; Wang, F; Wang, H; Zhang, JS; Liu, LH</t>
  </si>
  <si>
    <t>Zhang, Mingqiu; Zhang, Wei; Chen, Xiaoyu; Wang, Fei; Wang, Hui; Zhang, Jisheng; Liu, Linhui</t>
  </si>
  <si>
    <t>Modeling and simulation of temperature control system in plant factory using energy balance</t>
  </si>
  <si>
    <t>Closed production systems, such as plant factories and vertical farms, have emerged to ensure a sustainable supply of fresh food, to cope with the increasing consumption of natural resource for the growing population. In a plant factory, a microclimate model is one of the direct control components of a whole system. In order to better realize the dynamic regulation for the microclimate model, energy-saving and consumption reduction, it is necessary to optimize the environmental parameters in the plant factory, and thereby to determine the influencing factors of atmosphere control systems. Therefore, this study aims to identify accurate microclimate models, and further to predict temperature change based on the experimental data, using the classification and regression trees (CART) algorithm. A random forest theory was used to represent the temperature control system. A mechanism model of the temperature control system was proposed to improve the performance of the plant factories. In terms of energy efficiency, the main influencing factors on temperature change in the plant factories were obtained, including the temperature and air volume flow of the temperature control device, as well as the internal relative humidity. The generalization error of the prediction model can reach 0.0907. The results demonstrated that the proposed model can present the quantitative relationship and prediction function. This study can provide a reference for the design of high-precision environmental control systems in plant factories.</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</si>
  <si>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</si>
  <si>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</si>
  <si>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</si>
  <si>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</si>
  <si>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Halgamuge, MN; Bojovschi, A; Fisher, PMJ; Le, TC; Adeloju, S; Murphy, S</t>
  </si>
  <si>
    <t>Halgamuge, Malka N.; Bojovschi, Alexe; Fisher, Peter M. J.; Le, Tu C.; Adeloju, Samuel; Murphy, Susan</t>
  </si>
  <si>
    <t>Internet of Things and autonomous control for vertical cultivation walls towards smart food growing: A review</t>
  </si>
  <si>
    <t>URBAN FORESTRY &amp; URBAN GREENING</t>
  </si>
  <si>
    <t>The development of green spaces in urban areas is rapidly on the rise as more people are keen to maintain a clean and green atmosphere around where they live and work. Also, the link between the physical world and the internet has been a driving force in enhancing people?s quality of life which has resulted in the most recent and rising technologies, collectively referred to as the Internet of Things (IoT). The adoption of vertical gardens (VG) and/or vertical farms (VF) can be beneficial for maintaining a sustainable environment, as well as for expanding food security in an urban context around the world with limited land space. IoT technologies have the potential to be key enablers in the accelerated adoption of VG. In this study, we investigate the critical parameters for automating sustainable vertical gardening systems by using the IoT concept in smart cities towards smart living. This involves collection and review of data from 30 peer-reviewed publications published between 2004 and 2018, including real-world VG implementations. The key criteria considered include: (i) crop/plant type, (ii) VG topology (size), (iii) sensing data, (iv) used hardware (sensors, actuators, etc.), (v) power supplies, (vi) velocity or frequency of data collection, (vii) data storage method, (viii) communication technologies, (ix) data analysis methods/algorithm, (x) other used strategies, and (xi) countries that implemented VGs. The data were subsequently analyzed to obtain a detailed understanding of using IoT in VGs. The results of the analysis revealed that most of the studies used 6-20 tiers (40%) when implementing VGs, and the most popular crop was lettuce (28.6%). The sensors used were commonly connected to AC power and battery (each 44.4%), while only a small proportion of VGs used solar power (11.1%). The majority of IoT sensors used were to measure room temperature (22.5%), light intensity (21.1%), humidity level (14%) and soil nutrition (7%). The frequency of data collection by these sensors was between 1 and 3 minutes (42.8%). The frequently used data transmission technology was Zigbee and Wi-Fi (42.8%) for collecting sensor data from VGs. We also found that, using the server database, remote data management platform and cloud were the most popular data storage methods (each 25%). After data collection, many studies used threshold-based algorithms (50%) for the decision making, and the soil-based (42%) and hydroponic (38%) were the most popular plant cultivation technologies. The use of recycled and reused water (30%), solar power (20%) and controlled indoor environment, without sun or soil (20%) are some of the other essential considerations in VGs. Furthermore, it was found that the most significant focus on automation of VGs incorporating IoT were in USA (41.2%) and China (23.5%). The impact of vertical cultivation walls on human well-being was discussed. In addition to this, eight international patents on VGs have been analyzed to acquire an implementation understanding of autonomous control or using IoT in vertical gardens.</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</si>
  <si>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</si>
  <si>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</si>
  <si>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</si>
  <si>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</si>
  <si>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</si>
  <si>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</si>
  <si>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</si>
  <si>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</si>
  <si>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</si>
  <si>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</si>
  <si>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</si>
  <si>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</si>
  <si>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Teo, YL; Go, YL</t>
  </si>
  <si>
    <t>Teo, Yi Lin; Go, Yun li</t>
  </si>
  <si>
    <t>Techno-economic-environmental analysis of solar/hybrid/storage for vertical farming system: A case study, Malaysia</t>
  </si>
  <si>
    <t>RENEWABLE ENERGY FOCUS</t>
  </si>
  <si>
    <t>Human population is projected to reach 9.7 billion in 2050 and strike 11.2 billion by 2100. Residence shift from countryside to cities will occur and the human population resides in the cities is envisaged to rise from 55% to 68%. Vertical farming was proposed to address food insecurity caused by overcrowded population and farmland shortages. The compound annual growth rate (CAGR) of vertical farming in the Asia Pacific is forecasted to grow at 22.1% with a market size reaching USD 2,101.0 million by 2024. Malaysian government encourages the implementation of vertical farming as the production of major agricultural commodities has contracted by 3.4% from 2015 to 2017. However, high energy consumption is one of the shortcomings of a vertical farm as the estimated annual energy consumption for each square meter of growing area is 3500 kW h. Thus, this paper proposes an optimized building geometry modeling integrated with energy yield estimation tool to evaluate the potential of integrating green energy into urban agriculture. This research examines the load demand in the vertical farming systems and develops solar/hybrid/storage for vertical farming system with energy yield, performance ratio, economics and environmental assessments. Preliminary resources assessment by analyzing the solar radiation of the sites was carried out at stage 1. At stage 2, load consumption was calculated, and specifications of the system were justified. Stage 3 included the development of solar PV system for the vertical farms, the economic evaluation in the context of net present cost (NPC), levelized cost of energy (LCOE) and investigation of the environmental impact. Grid-connected and standalone solar PV systems were developed for comparative studies. The estimated daily energy consumption for vertical farms in Selangor and Kuching was 430.116 kW h and 1002.024 kW h. Energy generated by grid-connected solar PV systems supported 11.6% and 8.35% of the load consumption in Selangor and Sarawak. The performance ratios of grid-connected solar PV systems in both selected sites were 82.22% and 82.56%. The finding proved that proposed work has significantly reduced the dependency of the utility grid. Additionally, the LCOE with solar PV integration vertical farming system appeared to be lower than the LCOE of the grid and lower CO2 emission. This paper serves as a reference guide to the vertical farming stakeholders, national policy-decision makers and non-profit organizations who planned for similar initiatives especially those within the tropical climate regions.</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</si>
  <si>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</si>
  <si>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</si>
  <si>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</si>
  <si>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</si>
  <si>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</si>
  <si>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</si>
  <si>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</si>
  <si>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</si>
  <si>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</si>
  <si>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</si>
  <si>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</si>
  <si>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</si>
  <si>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Petrovics, D; Giezen, M</t>
  </si>
  <si>
    <t>Petrovics, Daniel; Giezen, Mendel</t>
  </si>
  <si>
    <t>Planning for sustainable urban food systems: An analysis of the up-scaling potential of vertical farming</t>
  </si>
  <si>
    <t>JOURNAL OF ENVIRONMENTAL PLANNING AND MANAGEMENT</t>
  </si>
  <si>
    <t>Food production and consumption related environmental challenges have come to the forefront of policy discourse in the past decade. This links primarily to concerns in terms of agriculture fueling climate change, but also in terms of long-term food security and availability for growing populations. A proposed solution to these pressures at the urban scale is Vertical Farming (VF), in the understanding of this article, a high-yield form of controlled environment agriculture, staked on multiple layers, which promises to produce leafy greens and vegetables within cities, with potential to reduce the resource intensity of urban food production and consumption. The particular contextual conditions required for VF to be sustainable have not as of yet been holistically assessed. Accordingly, by analyzing these contextual conditions in the Global North, this research assesses how VF can be up-scaled for the sake of sustainability - particularly climate mitigation - by viewing urban food systems through the Multi-Level Perspective. The article presents three findings in relation to the up-scaling potential of VF. Firstly, singular VF interventions in cities should have further functions integrated at the scale of the farm for the sake of viability. Secondly, VF interventions carry the most potential for climate mitigation if they are viewed through urban-level systemic food planning, which sheds light on the contextual conditions needed for VF to contribute to sustainability. Finally, the globalized dynamics of the neoliberal political economy, and in turn the localized effects for food systems, have implications for VF that need to be taken into consideration in framing up-scaling policy.</t>
  </si>
  <si>
    <t>Shao, YM; Li, JQ; Zhou, ZW; Hu, ZY; Zhang, F; Cui, YL; Chen, HJ</t>
  </si>
  <si>
    <t>Shao, Yiming; Li, Jiaqiang; Zhou, Zhiwei; Hu, Zhenyu; Zhang, Fan; Cui, Yuanlong; Chen, Haojing</t>
  </si>
  <si>
    <t>The effects of vertical farming on indoor carbon dioxide concentration and fresh air energy consumption in office buildings</t>
  </si>
  <si>
    <t>BUILDING AND ENVIRONMENT</t>
  </si>
  <si>
    <t>Common pollutants in indoor air include carbon dioxide (CO2), particulate matter (PM) and volatile organic compounds (VOC). Apart from ventilation and dilution method, there are currently many practical filtration and absorption methods for PM and VOC pollutants. However, most of these approaches are not applicable for reducing indoor CO2 concentration. The introduction of vertical farming (VF) into buildings is one of the latest directions in ecological design, which can absorb CO2 and release oxygen based on the plant photosynthesis. Office buildings are particularly suitable for integrated VF due to their spatial form, working hours and other characteristics. In this study, the effect of VF on indoor CO2 concentration was investigated in an enclosed office. Additionally, the reduction in building ventilating energy consumption by using the VF was assessed. Results concluded that the CO2 absorption rate of the VF vegetables can be up to 9.2 times higher than that of shadeloving landscape plants owing to higher net photosynthetic rate (NPR). And also, for a normal 30 m2 office with 1?3 occupants, the indoor CO2 concentration of a 100-plant-scale VF could be reduced by 25.7%?34.3% resulting in a reduction in building ventilating energy consumption by 12.7%?58.4% on the basis of the number of occupants and growth status of VF.</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</si>
  <si>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</si>
  <si>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</si>
  <si>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</si>
  <si>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</si>
  <si>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</si>
  <si>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</si>
  <si>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</si>
  <si>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</si>
  <si>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Dsouza, A; Price, GW; Dixon, M; Graham, T</t>
  </si>
  <si>
    <t>Dsouza, Ajwal; Price, Gordon W.; Dixon, Mike; Graham, Thomas</t>
  </si>
  <si>
    <t>A Conceptual Framework for Incorporation of Composting in Closed-Loop Urban Controlled Environment Agriculture</t>
  </si>
  <si>
    <t>Controlled environment agriculture (CEA), specifically advanced greenhouses, plant factories, and vertical farms, has a significant role to play in the urban agri-food landscape through provision of fresh and nutritious food for urban populations. With the push towards improving sustainability of these systems, a circular or closed-loop approach for managing resources is desirable. These crop production systems generate biowaste in the form of crop and growing substrate residues, the disposal of which not only impacts the immediate environment, but also represents a loss of valuable resources. Closing the resource loop through composting of crop residues and urban biowaste is presented. Composting allows for the recovery of carbon dioxide and plant nutrients that can be reused as inputs for crop production, while also providing a mechanism for managing and valorizing biowastes. A conceptual framework for integrating carbon dioxide and nutrient recovery through composting in a CEA system is described along with potential environmental benefits over conventional inputs. Challenges involved in the recovery and reuse of each component, as well as possible solutions, are discussed. Supplementary technologies such as biofiltration, bioponics, ozonation, and electrochemical oxidation are presented as means to overcome some operational challenges. Gaps in research are identified and future research directions are proposed.</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</si>
  <si>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</si>
  <si>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</si>
  <si>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</si>
  <si>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</si>
  <si>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Olvera-Gonzalez, E; Escalante-Garcia, N; Myers, D; Ampim, P; Obeng, E; Alaniz-Lumbreras, D; Castano, V</t>
  </si>
  <si>
    <t>Olvera-Gonzalez, Ernesto; Escalante-Garcia, Nivia; Myers, Deland; Ampim, Peter; Obeng, Eric; Alaniz-Lumbreras, Daniel; Castano, Victor</t>
  </si>
  <si>
    <t>Pulsed LED-Lighting as an Alternative Energy Savings Technique for Vertical Farms and Plant Factories</t>
  </si>
  <si>
    <t>Different strategies are reported in the literature for energy saving in Closed Plant Production Systems (CPPS). However, not reliable evidences about energy consumption with the use of pulsed LED light technique in lighting system available in Plant Factory and Vertical Farm. In this work, three key points to determine the effects of pulsed LED light versus continuous LED light are presented: (1) A mathematical model and its practical application for stabilizing the energy equivalence using LED light in continuous and pulsed mode in different light treatments. (2) The quantum efficiency of the photosystem II was used to determine positive and/or negative effects of the light operating mode (continuous or pulsed) on chili pepper plants (Capsicum annuum var. Serrano). (3) Evaluation of energy consumption with both operation modes using ten recipes from the literature to grow plants applied in Closed Plant Production Systems, different Photosynthetic Photon Flux Density at 50, 110, and 180 mu mol m(-2) s(-1), Frequencies at 100, 500, and 1000 Hz, and Duty Cycles of 40, 50, 60, 70, 80, and 90%. The results show no significant statistical differences between the operation modes (continuous and pulsed LED light). For each light recipe analyzed, a pulsed frequency and a duty cycle were obtained, achieving significant energy savings in every light intensity. The results can be useful guide for real-life applications in CPPS.</t>
  </si>
  <si>
    <t>Riaz, MH; Imran, H; Younas, R; Alam, MA; Butt, NZ</t>
  </si>
  <si>
    <t>Riaz, Muhammad Hussnain; Imran, Hassan; Younas, Rehan; Alam, Muhammad Ashraful; Butt, Nauman Zafar</t>
  </si>
  <si>
    <t>Module Technology for Agrivoltaics: Vertical Bifacial Versus Tilted Monofacial Farms</t>
  </si>
  <si>
    <t>IEEE JOURNAL OF PHOTOVOLTAICS</t>
  </si>
  <si>
    <t>Agrivoltaics (AV) is an innovative approach in which solar photovoltaic (PV) energy generation is collocated with agricultural production to enable food-energy-water synergies and landscape ecological conservation. This dual-use requirement leads to unique cooptimization challenges (e.g., shading, soiling, and spacing) that make module technology and farm topology choices distinctly different from the traditional solar farms. Here, we compare the performance of the traditional optimally titled North/South (N/S)-faced monofacial farms with a potential alternative based on vertical East/West (E/W)-faced bifacial farms. Remarkably, the vertical farm produces essentially the same energy output and photosynthetically active radiation (PAR) compared with the traditional farms as long as the PV array density is reduced to half or lower relative to that for the standard ground-mounted PV farms. Our results explain the relative merits of the traditional monofacial versus vertical bifacial farms as a function of array density, acceptable PAR deficit, and energy production. The combined PAR/Energy yields for the vertical bifacial farm may not always be superior, it could still be an attractive choice for AV due to its distinct advantages such as minimum land coverage, least hindrance to the farm machinery and rainfall, inherent resilience to PV soiling, easier cleaning, and cost advantages due to the potentially reduced elevation.</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</si>
  <si>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</si>
  <si>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</si>
  <si>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</si>
  <si>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</si>
  <si>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Stein, EW</t>
  </si>
  <si>
    <t>Stein, Eric W.</t>
  </si>
  <si>
    <t>The Transformative Environmental Effects Large-Scale Indoor Farming May Have On Air, Water, and Soil</t>
  </si>
  <si>
    <t>AIR SOIL AND WATER RESEARCH</t>
  </si>
  <si>
    <t>This article identifies the potential environmental effects large-scale indoor farming may have on air, water, and soil. We begin with an overview of what indoor farming is with a focus on greenhouses and indoor vertical farms (eg, plant factories). Next, the differences between these 2 primary methods of indoor farming are presented based on their structural requirements, methods of growing, media, nutrient sources, lighting requirements, facility capacity, and methods of climate control. We also highlight the benefits and challenges facing indoor farming. In the next section, an overview of research and the knowledge domain of indoor and vertical farming is provided. Various authors and topics for research are highlighted. In the next section, the transformative environmental effects that indoor farming may have on air, soil, and water are discussed. This article closes with suggestions for additional research on indoor farming and its influence on the environment.</t>
  </si>
  <si>
    <t>Yano, Y; Nakamura, T; Ishitsuka, S; Maruyama, A</t>
  </si>
  <si>
    <t>Yano, Yuki; Nakamura, Tetsuya; Ishitsuka, Satoshi; Maruyama, Atsushi</t>
  </si>
  <si>
    <t>Consumer Attitudes toward Vertically Farmed Produce in Russia: A Study Using Ordered Logit and Co-Occurrence Network Analysis</t>
  </si>
  <si>
    <t>Vertical indoor farming under artificial lighting has gained attention as a novel means of food production. However, consumer acceptance of vegetable crops grown under artificial conditions is not well understood. Our nationwide online survey of 289 Russians gathered attitudes and opinions toward vertically farmed vegetables. Employing an ordered logit model and a two-mode co-occurrence network analysis, we show how respondents' attitudes relate to their key demographic characteristics and opinions about the vegetables. Results indicate that respondents' attitudes are heterogeneous and related to their region of residence, income level, and opinions regarding nutrients, safety, and taste. Respondents in the Central and Volga districts exhibited less favorable attitudes. Less favorably inclined respondents viewed the produce as unnatural, less nutritious, bad-tasting, and even dangerous, presumably because of misconceptions or lack of knowledge. On the other hand, respondents with monthly income above RUB 60,001 (1018 USD, 867 EURO) had relatively positive attitudes toward such vegetables. Respondents having positive attitudes saw the vegetables as safe, tasty, and of good quality. We discuss the political and commercial implications of these findings.</t>
  </si>
  <si>
    <t>Yeoh, ME; Chan, KY</t>
  </si>
  <si>
    <t>Yeoh, Mian-En; Chan, Kah-Yoong</t>
  </si>
  <si>
    <t>A Review on Semitransparent Solar Cells for Real-Life Applications Based on Dye-Sensitized Technology</t>
  </si>
  <si>
    <t>A dye-sensitized solar cell (DSSC) is one of the emerging photovoltaic technologies that shows promising prospects in the commercial applications because of its semitransparency, low manufacturing cost, facile fabrication procedures, and good performance under low-light conditions. Despite the aforementioned advantages of DSSC technology, the transition from laboratory to industrial applications is hindered by several major obstacles. This article aims to explore the potential of DSSC technology in real-life applications, namely, building-integrated photovoltaic, indoor energy harvesting, and smart farming, and the research challenges that must be overcome to pave the way for DSSC commercialization. The challenges can be categorized into the long-term stability issue and difficulty related to the scale-up processes. This article also presents insights into the potentials of DSSCs in smart farming and controlled-environment agriculture, which were never been reported before.</t>
  </si>
  <si>
    <t>Costantino, A; Comba, L; Sicardi, G; Bariani, M; Fabrizio, E</t>
  </si>
  <si>
    <t>Costantino, Andrea; Comba, Lorenzo; Sicardi, Giacomo; Bariani, Mauro; Fabrizio, Enrico</t>
  </si>
  <si>
    <t>Energy performance and climate control in mechanically ventilated greenhouses: A dynamic modelling-based assessment and investigation</t>
  </si>
  <si>
    <t>Controlled environment agriculture in greenhouse is a promising solution for meeting the increasing food demand of world population. The accurate control of the indoor environmental conditions proper of greenhouses enhances high crop productivity but, contemporarily, it entails considerable energy consumption due to the adoption of mechanical systems. This work presents a new modelling approach for estimating the energy consumption for climate control of mechanically ventilated greenhouses. The novelty of the proposed energy model lies in its integrated approach in simulating the greenhouse dynamics, considering the dynamic thermal and hygric behaviour of the building and the dynamic response of the cultivated crops to the variation of the solar radiation. The presented model simulates the operation of the systems and the energy performance, considering also the variable angular speed fans that are a new promising energy-efficient technology for this productive sector. The main outputs of the model are the hourly thermal and electrical energy use for climate control and the main indoor environmental conditions. The presented modelling approach was validated against a dataset acquired in a case study of a new fully mechanically controlled greenhouse during a long-term monitoring campaign. The present work contributes to increase the knowledge about the dynamics and the energy consumption of greenhouses, and it can be a valuable decision support tool for industry, farmers, and researchers to properly address an energy efficiency optimisation in mechanically ventilated greenhouses to reach the overall objective of decreasing the rising energy consumption of the agricultural sector.</t>
  </si>
  <si>
    <t>Waller, L; Gugganig, M</t>
  </si>
  <si>
    <t>Waller, Laurie; Gugganig, Mascha</t>
  </si>
  <si>
    <t>Re-visioning public engagement with emerging technology: A digital methods experiment on 'vertical farming'</t>
  </si>
  <si>
    <t>PUBLIC UNDERSTANDING OF SCIENCE</t>
  </si>
  <si>
    <t>This article presents the results of a public engagement experiment on a project trialling 'vertical farming', an emerging technology addressing urban food issues. The experiment developed within an issue mapping project, analysing debates about vertical farming on the digital platforms, Twitter and Instagram. The article presents a software tool designed to engage 'offline' publics in the issue mapping process, using images collected from Instagram. We describe testing this software tool with visitors to exhibitions of vertical farming in two science and technology museums. Our findings highlight the predominance of commercial publicity about vertical farming on Twitter and Instagram and the organisation of public attention around technological novelty. The article discusses the challenges such publicity dynamics pose to mapping issues on platforms. We suggest some ways digital methods might contribute to public engagement with technologies, like vertical farming, that are a focus of organised commercialised innovation.</t>
  </si>
  <si>
    <t>Engler, N; Krarti, M</t>
  </si>
  <si>
    <t>Engler, Nicholas; Krarti, Moncef</t>
  </si>
  <si>
    <t>Review of energy efficiency in controlled environment agriculture</t>
  </si>
  <si>
    <t>RENEWABLE &amp; SUSTAINABLE ENERGY REVIEWS</t>
  </si>
  <si>
    <t>Controlled Environment Agriculture (CEA) applications, such as vertical farms and plant factories, have the potential to shift food production to be close to urban centers helping meet demands of large populations as well as achieving global climate goals. Growing crops in controlled environments has proven to be feasible for several applications, however, most involve energy intensive processes. The review analysis presented in this paper seeks to overview current CEA practices as well as potential energy efficiency technologies that can enhance the sustainability and the profitability of the indoor farming industry. Specifically, the paper reviews various CEA techniques, optimal indoor growing environments, successful case studies, and recommended energy systems research. The review analysis indicates that changes to a facility?s envelope, HVAC, lighting, and incorporation of distributed generation technology can reduce consumption of electricity up to 75% in several CEA case studies. Future research into controls, dehumidification, lighting, and crop variety are vital for a wider adoption of CEA applications.</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</si>
  <si>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</si>
  <si>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</si>
  <si>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</si>
  <si>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</si>
  <si>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</si>
  <si>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</si>
  <si>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</si>
  <si>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</si>
  <si>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</si>
  <si>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</si>
  <si>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</si>
  <si>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</si>
  <si>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</si>
  <si>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</si>
  <si>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</si>
  <si>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</si>
  <si>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</si>
  <si>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</si>
  <si>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</si>
  <si>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</si>
  <si>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</si>
  <si>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</si>
  <si>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Tavan, M; Wee, B; Brodie, G; Fuentes, S; Pang, A; Gupta, D</t>
  </si>
  <si>
    <t>Tavan, Mahya; Wee, Benjamin; Brodie, Graham; Fuentes, Sigfredo; Pang, Alexis; Gupta, Dorin</t>
  </si>
  <si>
    <t>Optimizing Sensor-Based Irrigation Management in a Soilless Vertical Farm for Growing Microgreens</t>
  </si>
  <si>
    <t>With water resources constantly becoming scarcer, and 70% of freshwater used for the agriculture sector, there is a growing need for innovative methods to increase water use efficiency (WUE) of food production systems and provide nutrient-dense food to an increasing population. Sensor technology has recently been introduced to the horticulture industry to increase resource use efficiency and minimize the environmental impacts of excessive water use. Identifying the effects of irrigation levels on crop performance is crucial for the success of sensor-based water management. This research aimed to optimize WUE in a soilless microgreen production system through identification of an optimal irrigation level using a sensor that could facilitate the development of a more efficient, low-cost automated irrigation system. A dielectric moisture sensor was implemented to monitor water levels at five irrigation setpoints: 7.5, 17.5, 25, 30, and 35 percent of the effective volume of the container (EVC) during a 14-day growth cycle. To validate the sensor performance, the same irrigation levels were applied to a parallel trial, without sensor, and water levels were monitored gravimetrically. Plant water status and stress reaction were evaluated using infrared thermal imaging, and the accumulation of osmolytes (proline) was determined. Results showed that, proline concentration, canopy temperature (Tc), canopy temperature depression (CTD), and crop water stress index (CWSI) increased at 7.5% EVC in both sensor-based and gravimetric treatments, and infrared index (Ig) and fresh yield decreased. The dielectric moisture sensor was effective in increasing WUE. The irrigation level of 17.5% EVC was found to be optimal. It resulted in a WUE of 88 g/L, an improvement of 30% over the gravimetric method at the same irrigation level. Furthermore, fresh yield increased by 11.5%. The outcome of this study could contribute to the automation of precision irrigation in hydroponically grown microgreens.</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</si>
  <si>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</si>
  <si>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</si>
  <si>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</si>
  <si>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</si>
  <si>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</si>
  <si>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</si>
  <si>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</si>
  <si>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</si>
  <si>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</si>
  <si>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</si>
  <si>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</si>
  <si>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</si>
  <si>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</si>
  <si>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</si>
  <si>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</si>
  <si>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</si>
  <si>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Ahn, JH; Lee, SY</t>
  </si>
  <si>
    <t>Ahn, Jeong Ho; Lee, Seung Yeob</t>
  </si>
  <si>
    <t>High-frequency Microtuberization by One-step Culture without Medium Renewal from Leaf Explants of Pinellia ternata, a Medicinal Plant</t>
  </si>
  <si>
    <t>HORTICULTURAL SCIENCE &amp; TECHNOLOGY</t>
  </si>
  <si>
    <t>Pinellia ternata is an important medicinal herb in Northeast Asia, but its propagation rate is quite low in nature. This study was performed to develop a simple and rapid micropropagation method for applying to a plant factory system. In the regeneration process for the sustainable production of in vitro leaf explants, callus induction and propagation from leaf explants of P. ternata were excellent in MS medium containing 2.0 mg center dot L-1 2,4-D and 0.2 mg center dot L-1 BA. The highest number of shoots (8.8 per callus) was regenerated from calluses cultured on a medium containing 2.0 mg center dot L-1 NAA and 0.2 mg center dot L-1 KIN. The callus proliferation with subsequent plant regeneration was achieved at the same time in regeneration medium, and the year-round production of in vitro leaf explants was possible in the regeneration cycle. The direct microtuberization from in vitro whole leaf explants was also achieved through the one-step culture without medium renewal. The highest frequency of microtuber formation (93.0%) as well as the highest number of microtubers per explant (6.1) was observed by one-step culture in MS medium containing 2.0 mg center dot L-1 NAA and 0.2 mg center dot L-1 BA. Thus, the direct microtuberization from in vitro leaf explants was successfully achieved by the one-step culture protocol without medium renewal from microtuber induction to harvest. The adequately dried microtubers were well grown like an artificial seed in the pot culture containing a commercial soil. Accordingly, the in vitro microtubers through one-step culture could be commercially used as seed tubers for a plant factory system.</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</si>
  <si>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</si>
  <si>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</si>
  <si>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</si>
  <si>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</si>
  <si>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</si>
  <si>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An, S; Bae, JH; Kim, HC; Kwack, Y</t>
  </si>
  <si>
    <t>An, Sewoong; Bae, Jong Hyang; Kim, Ho Cheol; Kwack, Yurina</t>
  </si>
  <si>
    <t>Production of Grafted Vegetable Seedlings in the Republic of Korea: Achievements, Challenges and Perspectives</t>
  </si>
  <si>
    <t>Since the first commercial vegetable seedling production business was established in the Republic of Korea in 1992, technologies for the production of vegetable grafted seedlings have been developed. Commercial grafting nurseries have promoted the efficiency of grafted seedling production by the selection and concentration strategy. At present, most scions and rootstocks are concentrated on one or two cultivars and all grafted seedlings are made by the splice grafting method. To overcome the disadvantages of the splice grafting method, such as delayed formation of the grafted union and delayed rooting, light-emitting diode (LED) healing chambers (LHCs) have been developed for enhancing grafted union formation, and are currently used in 20% of commercial grafting nurseries. The commercial grafting nurseries in Korea have been facing highly difficult situations because of climate change, increased seedling production cost and labor shortage. To confront this challengeable circumstance, it is essential to optimize grafted seedling production practices to produce high-quality seedlings at lower cost and low impact on the environment, and to ensure a consistent supply to vegetable growers year round. Here, we explored several practices to improve productivity and reduce the environmental impact of grafted seedling production, including the development of disease resistant or abiotic stress tolerant rootstock cultivars, the development of more precise and efficient facilities and cultivation systems such as a grafting robot, the application of a plant factory with artificial lighting, the improvement of light condition in LHCs, and wastewater reuse.</t>
  </si>
  <si>
    <t>Brockhagen, B; Schoden, F; Storck, JL; Grothe, T; Esselmann, C; Bottjer, R; Rattenholl, A; Gudermann, F</t>
  </si>
  <si>
    <t>Brockhagen, Bennet; Schoden, Fabian; Storck, Jan Lukas; Grothe, Timo; Esselmann, Christian; Boettjer, Robin; Rattenholl, Anke; Gudermann, Frank</t>
  </si>
  <si>
    <t>Investigating minimal requirements for plants on textile substrates in low-cost hydroponic systems</t>
  </si>
  <si>
    <t>AIMS BIOENGINEERING</t>
  </si>
  <si>
    <t>With a growing world population and the concentration of citizens in big cities new methods of agriculture are required. Vertical farming attracts more attention in mending these growing problems. To enable a widespread use of low-cost hydroponic systems this study investigates minimal requirements for plants (different herbs and vegetables) in such a hydroponic vertical farming system and the suitability of textiles as sustainable substrates. Therefore, this study aims to investigate plant stress levels, germination rates and water usage in a low-cost hydroponic system with no special lightning in principle comparison with indoor cultivation in soil. The results of the pulse-amplitude-modulation (PAM) measurements as measure of photosynthetic performance indicate that the plants were equally stressed in hydroponic and in soil cultivation. In this respect, the photosynthetic quantum yield in both cultivation systems is on average only slightly lower than the values expected under optimal conditions. It was observed that chive and lovage not only had a significantly higher germination rate in the hydroponic system but also accumulated significantly more fresh as well as dry biomass, while spinach, thyme and marjoram showed higher germination rates in soil cultivation. The water consumption in the setup was considerably higher for the hydroponic system compared to indoor soil cultivation.</t>
  </si>
  <si>
    <t>De Oliveira, FJB; Ferson, S; Dyer, R</t>
  </si>
  <si>
    <t>De Oliveira, Francis J. Baumont; Ferson, Scott; Dyer, Ronald</t>
  </si>
  <si>
    <t>A Collaborative Decision Support System Framework for Vertical Farming Business Developments</t>
  </si>
  <si>
    <t>INTERNATIONAL JOURNAL OF DECISION SUPPORT SYSTEM TECHNOLOGY</t>
  </si>
  <si>
    <t>The emerging industry of vertical farming (VF) faces three key challenges: standardisation, environmental sustainability, and profitability. High failure rates are costly and can stem from premature business decisions about location choice, pricing strategy, system design, and other critical issues. Improving knowledge transfer and developing adaptable economic analysis for VF is necessary for profitable business models to satisfy investors and policy makers. A review of current horticultural software identifies a need for a decision support system (DSS) that facilitates risk-empowered business planning for vertical farmers. Data from the literature alongside lessons learned from industry practitioners are centralised in the proposed DSS, using imprecise data techniques to accommodate for partial information. The DSS evaluates business sustainability using financial risk assessment. This is necessary for complex/new sectors such as VF with scarce data.</t>
  </si>
  <si>
    <t>Didenko, NI; Davydenko, VA; Magaril, ER; Romashkina, GF; Skripnuk, DF; Kulik, SV</t>
  </si>
  <si>
    <t>Didenko, Nikolay I.; Davydenko, Vladimir A.; Magaril, Elena R.; Romashkina, Gulnara F.; Skripnuk, Djamilia F.; Kulik, Sergei V.</t>
  </si>
  <si>
    <t>The Nutrition and Health Status of Residents of the Northern Regions of Russia: Outlook of Vertical Agricultural Farms</t>
  </si>
  <si>
    <t>INTERNATIONAL JOURNAL OF ENVIRONMENTAL RESEARCH AND PUBLIC HEALTH</t>
  </si>
  <si>
    <t>This paper is dedicated to studying the nutrition, health status and food provision of the people living the northern regions of Russia. The authors developed a concept of comprehensive interdisciplinary research of traditional and innovative behavioral practices of actors in the northern regions of Russia in the field of food production and consumption in order to study the structure of nutrition of the population, its health status and the technologies that are used to provide the people with food products. The interdisciplinary comprehensive research applied the following methods: (a) statistical method; (b) sociological method of mass survey; (c) sociological method of expert interviews; (d) method of feasibility study; (e) method of mathematical modeling. According to the results of the analysis, the nutrition of the people living in the norther regions is characterized by insufficient consumption of fresh vegetables, meat and processed meat, fish and seafood, milk and dairy products, some vitamins and bio-elements (such as selenium, calcium) and excessive consumption of saturated fats and flour products. The following problems related to providing the population of the northern regions of Russia with food products were identified: the agriculture in almost all northern regions of Russia has negative profitability; imported food products and food ingredients are mostly used; there are drawbacks of logistics, transportation and storage of food products; the natural and climate conditions are unfavorable for traditional agriculture. The paper substantiates the economic, environmental, social, and political advantages of highly automated agro-industrial complex of vertical farming as an alternative method for providing food security of the inhabitants of the northern regions of Russia.</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</si>
  <si>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</si>
  <si>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</si>
  <si>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</si>
  <si>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</si>
  <si>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</si>
  <si>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Hsiao, SJ; Sung, WT</t>
  </si>
  <si>
    <t>Hsiao, Sung-Jung; Sung, Wen-Tsai</t>
  </si>
  <si>
    <t>A Study on Using a Wireless Sensor Network to Design a Plant Monitoring System</t>
  </si>
  <si>
    <t>INTELLIGENT AUTOMATION AND SOFT COMPUTING</t>
  </si>
  <si>
    <t>Traditional agriculture has to face different climatic factors, resulting in unstable crop yields, whereas a plant factory is indoors, thus avoiding different natural disasters and insect pests. It is also available for bulk production in all-weather all year-round, guaranteeing crop quality. This study uses a wireless sensor network (WSN) architecture for multi-monitoring of a plant environment, aiming to improve its growing environment quality. In terms of monitoring environment, the sensor modules at the end device nodes are combined with Arduino for capturing the sensor values, which are transmitted by wireless signal transmission. The data of wireless signals are further transmitted by multiple end devices XBee to the coordinator XBee. The coordinator is in charge of collecting data, which are transferred via a Com port to the monitoring-end computer; the system interface classifies the sensing data and displays the sensor values on the screen; at the same time, the sense data are transferred to the Access database and stored. The sensor values are uploaded to a Cloud hard disk database MySQL, and real-time environment data can be seen on webpage. In terms of control, whenever an abnormal warning occurs as the environment sensing value exceeds the preset plant growing condition, the system interface displays a warning and transfers a wireless control signal via WSN to the control module of the terminal node. The electric apparatus is actuated when the control instruction is received to improve the environmental quality, until the abnormal warning stops, and the operation stops. There is an additional time setting function, whereby the user can set the sprinkling and lighting-up time in the system interface, so that at the present time, the program sends an instruction to the controller to activate the designated action. According to multiple experimental analyses, the combination of Arduino and XBee is applicable to different scenarios, such as an environmental monitoring system and an interaction with scenario, even robot making Different wireless sensor applications can be constructed, so that the users can make further WSN technology development and innovations based on the results of this study.</t>
  </si>
  <si>
    <t>Huebbers, JW; Buyel, JF</t>
  </si>
  <si>
    <t>Huebbers, J. W.; Buyel, J. F.</t>
  </si>
  <si>
    <t>On the verge of the market - Plant factories for the automated and standardized production of biopharmaceuticals</t>
  </si>
  <si>
    <t>BIOTECHNOLOGY ADVANCES</t>
  </si>
  <si>
    <t>The market for biopharmaceuticals is dominated by recombinant proteins and is driven mainly by the development of vaccines and antibodies. Manufacturing predominantly relies on fermentation-based production platforms, which have limited scalability and suffer from high upstream process costs. As an alternative, the production of recombinant proteins in whole plants (plant molecular farming) provides a scalable and cost efficient upstream process because each plant functions as a self-contained bioreactor, avoiding costs associated with single-use devices and cleaning-in-place. Despite many proof-of-concept studies and the approval of a few products as medical devices, the only approved pharmaceutical proteins manufactured in whole plants have been authorized under emergency protocols. The absence of approvals under standard clinical development pathways in part reflects the lack of standardized process equipment and unit operations, leading to industry inertia based on familiarity with fermenter systems. Here we discuss the upstream production steps of plant molecular farming by transient expression in intact plants, including seeding, plant cultivation, infiltration with Agrobacterium tumefaciens, post-infiltration incubation, and harvesting. We focus on cultivation techniques because they strongly affect the subsequent steps and overall process design. We compare the benefits and drawbacks of open field, greenhouse and vertical farm strategies in terms of upfront investment costs, batch reproducibility, and decoupling from environmental impacts. We consider process automation, monitoring and adaptive process design in the context of Industry 4.0, which can boost process efficiency and batch-to-batch uniformity to improve regulatory compliance. Finally, we discuss the costs-benefit aspects of the different cultivation systems.</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</si>
  <si>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</si>
  <si>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</si>
  <si>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</si>
  <si>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</si>
  <si>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</si>
  <si>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</si>
  <si>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</si>
  <si>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</si>
  <si>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</si>
  <si>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</si>
  <si>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Jishi, T; Fujiwara, K</t>
  </si>
  <si>
    <t>Jishi, Tomohiro; Fujiwara, Kazuhiro</t>
  </si>
  <si>
    <t>Time-varying Photosynthetic Photon Flux Density and Relative Spectral Photon Flux Density Distribution to Improve Plant Growth and Morphology in Plant Factories with Artificial Lighting</t>
  </si>
  <si>
    <t>In contrast to fluorescent lamps and high-power sodium lamps, the use of light-emitting diode (LED) lamps enables the control of not only photosynthetic photon flux density (PPFD) at the plant level, but also the relative spectral photon flux density distribution (RSPD) of light because of the variet, even at different times of day, of producible light emitted by LEDs of different types. Effects of the spectral photon flux density on plant growth and morphology have been investigated using several types of LEDs and plant species. However, few studies on lighting methods with time-varying PPFD or RSPD have been published to date. In this paper, we summarize the effects of time-varying PPFD on the net photosynthetic rate (P-n) and those of time-varying RSPD on plant growth and morphology. Detailed modeling studies have been conducted on the reactions of the photosynthetic pathway under time-varying PPFD at a cycle of milliseconds to seconds. The results of these modeling studies and actual measurements of P-n under pulsed light clearly indicate that pulsed light is not advantageous to improve P-n. Although the integrated PPFD of blue and red light was unchanged, the growth of leaf lettuce was promoted by asynchronous irradiation with blue light and red light compared with growth under simultaneous irradiation. We think that blue-light monochromatic irradiation promotes leaf elongation through leaf expansion as a primary factor in the enhancement of plant growth. In addition, changes in leaf photosynthetic capacity caused by blue-light monochromatic irradiation may be involved in plant growth promotion. An increasing number of studies have investigated the effects of time-varying RSPD on plants. However, the mechanisms underlying these effects remain to be elucidated.</t>
  </si>
  <si>
    <t>Jurga, A; Pacak, A; Pandelidis, D; Kazmierczak, B</t>
  </si>
  <si>
    <t>Jurga, Anna; Pacak, Anna; Pandelidis, Demis; Kazmierczak, Bartosz</t>
  </si>
  <si>
    <t>A Long-Term Analysis of the Possibility of Water Recovery for Hydroponic Lettuce Irrigation in an Indoor Vertical Farm. Part 2: Rainwater Harvesting</t>
  </si>
  <si>
    <t>Featured Application The presented analysis allows one to evaluate the use of rainwater for the purposes of watering plants for indoor cultivation halls potentially located in Wroclaw (Poland, Lower Silesia). The aim of this study was to determine the suitability of a rainwater harvesting system to cover the water demand for indoor hydroponic lettuce cultivation located in Wroclaw (Poland). The analysis was performed on the basis of the recorded rainfall in Wroclaw in 2000-2019. The analyzed cultivation is located in a hall with an area of 300 m(2), where the lettuce is grown vertically by the hydroponic method. The calculations of the rainwater harvesting (RWH) system were carried out considering the selection of the tank capacity for the collected water. The operation of the water storage is simulated using a yield after spillage (YAS) algorithm. It was evident that the proposed system might be an auxiliary system that relieves the water supply network or supports other water recovery systems (e.g., the water vapor condensation in a cross-flow heat exchanger operating as an element of the air conditioning system, proposed in Part 1 of this study). The harvesting system for the selected vertical farming indoor hall covers an average of 35.9% of water needs and allows a saving of 146,510 L of water annually for the cultivation. An average water demand coverage increases up to 90.4%, which allows a saving of 340,300 L per year when the RWH system is combined with water recovery from exhaust air from the hall.</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</si>
  <si>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</si>
  <si>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</si>
  <si>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</si>
  <si>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</si>
  <si>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Lin, ZY; Yang, Q; Jiang, Y; Wang, JW; Lu, HW; Zhu, JW; Chu, ZH; Hou, MM; Zhong, FL; Qiu, DL</t>
  </si>
  <si>
    <t>Lin, Zhiyuan; Yang, Qi; Jiang, Yang; Wang, Jinwei; Lu, Haowei; Zhu, Jingwen; Chu, Zehong; Hou, Maomao; Zhong, Fenglin; Qiu, Dongliang</t>
  </si>
  <si>
    <t>ADVANCE OF ENVIRONMENTAL CONTROL IN PLANT FACTORY BASED ON COMPUTATIONAL FLUID DYNAMICS</t>
  </si>
  <si>
    <t>FRESENIUS ENVIRONMENTAL BULLETIN</t>
  </si>
  <si>
    <t>Plant factory is the senior form of modern agriculture. Plant factory were widely used in scientific research and actual production due to their high-precision control, high-efficient land utilization, water saving, fertilizer and pollution-free. This study summarized the research progress of the plant factory from three main aspects: the development of the plant factory industry, the environmental regulation for plant growth. the application of computer fluid simulation technology in plant factory. With the indepth research of scholars and development of economy, the plant factory has received extensive attention in many countries. Worldwide, the present environmental control technologies include the regulation of temperature. humidity. and carbon dioxide in plant factory. These technologies are relatively mature and can meet the requirements of scientific research and actual production. Computational Fluid Dynamics technology was widely used in agriculture, and mainly focuses on the simulation of microclimate in solar greenhouses, particularly the ventilation, The position, quantity, and angle of the inlet and outlet were taken as the entry points for most studies to the ventilation simulation for plant factory. This study aims to provide useful information for further research on environmental regulation of plant factory.</t>
  </si>
  <si>
    <t>Liu, ZL; Li, F; Huang, GX; Wei, JH; Jiang, GY; Huang, Y; Jin, X; Li, QH</t>
  </si>
  <si>
    <t>Liu, Zilei; Li, Feng; Huang, Gaoxiang; Wei, Jiahu; Jiang, Guangyu; Huang, Yan; Jin, Xiao; Li, Qinghua</t>
  </si>
  <si>
    <t>Spectral Design of Light-Emitting Diodes for Plant Photosynthesis Based on Quantum Dots</t>
  </si>
  <si>
    <t>Light is one of the five indispensable factors for plant growth. Green houses and plant factories have advantages of growing vegetables off-season and high production. However, artificial lighting occupies most of the running cost during the operation of plant factories, and intelligent and programmable light-emitting diodes (LEDs) have been considered to be used as growing lamps to save energy. Taking both the photosynthetic and the visual performances into consideration, luminescent spectrum of LEDs based on quantum dot (QD) materials is designed and optimized according to the photosynthetic action spectrum (PAS) of plants. In our calculation, the three-band QD-based LEDs (QLEDs) show a highest photosynthetic action factor (PAF) of 8.088 and a highest induced photosynthetic index (IPI) of 4.012. The four-band QLEDs show a highest PAF of 7.689 and a highest IPI of 3.818. CdZnS/ZnS and CdZnS/ZnSe QDs are also synthesized for fabricating three- and four-band QLEDs. Investigations of the photosynthetic and the vison performances on these devices are consistent with those theoretical simulation results. Both the simulation and the experimental results show that either the three- or the four-band QLEDs has better photosynthetic parameters than those of the conventional light sources. The fabricated four-band QLED under different applied current exhibits a highest PAF of 2.6942 and a highest IPI of 1.3621. For the vison performances, the four-band device demonstrate a highest CRI of 93 and a highest CCT of 2053 K. Despite the visual performances of the four-band QLEDs show improvement than those of the three-band ones, they still need to be improved to offer better visual experience for human eyes. With further investigation on the synthesis of emission tunable QD materials and the optimization of the spectrum, highly efficient QLEDs with both good photosynthetic and visual performances are expected to be applied in the field of growing lamps.</t>
  </si>
  <si>
    <t>McClements, DJ; Barrangou, R; Hill, C; Kokini, JL; Lila, MA; Meyer, AS; Yu, LL</t>
  </si>
  <si>
    <t>McClements, David Julian; Barrangou, Rodolphe; Hill, Colin; Kokini, Jozef L.; Lila, Mary Ann; Meyer, Anne S.; Yu, Liangli</t>
  </si>
  <si>
    <t>Building a Resilient, Sustainable, and Healthier Food Supply Through Innovation and Technology</t>
  </si>
  <si>
    <t>ANNUAL REVIEW OF FOOD SCIENCE AND TECHNOLOGY, VOL 12, 2021</t>
  </si>
  <si>
    <t>The modern food supply faces many challenges. The global population continues to grow and people are becoming wealthier, so the food production system must respond by creating enough high-quality food to feed everyone with minimal damage to our environment. The number of people suffering or dying from diet-related chronic diseases, such as obesity, diabetes, heart disease, stroke, and cancer, continues to rise, which is partly linked to overconsumption of highly processed foods, especially high-calorie or rapidly digestible foods. After falling for many years, the number of people suffering from starvation or malnutrition is rising, and this has been exacerbated by the global COVID-19 pandemic. The highly integrated food supply chains that spread around the world are susceptible to disruptions due to policy changes, economic stresses, and natural disasters, as highlighted by the recent pandemic. In this perspective article, written by members of the Editorial Committee of the Annual Review of Food Science and Technology, we highlight some of the major challenges confronting the modern food supply chain as well as how innovations in policy and technology can be used to address them. Pertinent technological innovations include robotics, machine learning, artificial intelligence, advanced diagnostics, nanotechnology, biotechnology, gene editing, vertical farming, and soft matter physics. Many of these technologies are already being employed across the food chain by farmers, distributors, manufacturers, and consumers to improve the quality, nutrition, safety, and sustainability of the food supply. These innovations are required to stimulate the development and implementation of new technologies to ensure a more equitable, resilient, and efficient food production system. Where appropriate, these technologies should be carefully tested before widespread implementation so that proper risk-benefit analyses can be carried out. They can then be employed without causing unforeseen adverse consequences. Finally, it is important to actively engage all stakeholders involved in the food supply chain throughout the development and testing of these new technologies to support their adoption if proven safe and effective.</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</si>
  <si>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</si>
  <si>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</si>
  <si>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</si>
  <si>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</si>
  <si>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</si>
  <si>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Paraschivu, M; Cotuna, O; Sarateanu, V; Durau, CC; Paunescu, RA</t>
  </si>
  <si>
    <t>Paraschivu, Mirela; Cotuna, Otilia; Sarateanu, Veronica; Durau, Carmen Claudia; Paunescu, Ramona Aida</t>
  </si>
  <si>
    <t>MICROGREENS - CURRENT STATUS, GLOBAL MARKET TRENDS AND FORWARD STATEMENTS</t>
  </si>
  <si>
    <t>SCIENTIFIC PAPERS-SERIES MANAGEMENT ECONOMIC ENGINEERING IN AGRICULTURE AND RURAL DEVELOPMENT</t>
  </si>
  <si>
    <t>The recent statistical data and market studies have shown that the microgreens market is on a continuously upward trend in Europe and globally due to their healthier and nutritious qualities and for fast adoption of indoor and vertical farming especially in the cities. Worldwide the microgreens become of great interest due to their benefits for people's health and beauty, being 40 times more nutritious than mature vegetables, increasing also the amount of available space that might be put into food production, with environmental benefits and economic profitability. The evolution of microgreens market to its real development potential depends of consumers behaviour and income level. Microgreens are considered 'desert food' by their huge potential to provide food in marginal areas affected by climate change becoming a part of sustainable farming. The present study pursued the evaluation of microgreens global market trends and forward statements in order to identify them as a potential profitable business in the era of Covid 19 pandemic when farmers should adapt food production to the new economic and social contexts. The study showed an increased consumer interest for healthy products, so that the change according to their behaviour shall generate an increase in the microgreens market worldwide.</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</si>
  <si>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</si>
  <si>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</si>
  <si>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</si>
  <si>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</si>
  <si>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</si>
  <si>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</si>
  <si>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</si>
  <si>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</si>
  <si>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</si>
  <si>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</si>
  <si>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</si>
  <si>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</si>
  <si>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</si>
  <si>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</si>
  <si>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</si>
  <si>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</si>
  <si>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</si>
  <si>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</si>
  <si>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</si>
  <si>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</si>
  <si>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</si>
  <si>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</si>
  <si>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Wilkinson, A; Gerlach, C; Karlsson, M; Penn, H</t>
  </si>
  <si>
    <t>Wilkinson, Alex; Gerlach, Craig; Karlsson, Meriam; Penn, Henry</t>
  </si>
  <si>
    <t>Controlled environment agriculture and containerized food production in northern North America</t>
  </si>
  <si>
    <t>JOURNAL OF AGRICULTURE FOOD SYSTEMS AND COMMUNITY DEVELOPMENT</t>
  </si>
  <si>
    <t>There is an ongoing debate about the role of controlled environment agriculture and containerized food production in local food systems in Northern North American communities. Some critics dismiss these applications as ineffective, arguing that because they marginalize certain populations they do not have a place in northern food systems. However, such critiques are premature and undermine what may prove to be an important and complementary component of local and regional food systems in the north, particularly if designed and implemented in a culturally appropriate and placebased context. Containerized food production can offer enhanced food production capabilities for communities through year-round production. While there are still concerns about proper growing protocols, scalability, output, durability, and economics, these can be addressed, modified and improved through research and continued applications. New opportunities requiring further exploration in the application of containerized food production systems include, but are not limited to, integrative systems design, the enhancement of community development initiatives, and the integration of the social networks that are necessary for diversified local food production.</t>
  </si>
  <si>
    <t>Yoneda, Y</t>
  </si>
  <si>
    <t>Yoneda, Yuki</t>
  </si>
  <si>
    <t>Optimization Process of Plant Growth Environment for Improving Content Compounds Using Physiological and Genetic Information in a Closed-type Plant Factory</t>
  </si>
  <si>
    <t>JARQ-JAPAN AGRICULTURAL RESEARCH QUARTERLY</t>
  </si>
  <si>
    <t>A closed-type plant factory (plant factory) can control growth environments in confined spaces with artificial lights and hydroponic systems. The growth environment of a plant factory can be modulated without having to consider the natural climate, so that high value plants rich in useful compounds or low in toxic compounds can be uniformly and consistently produced. However, the process of optimizing growth condition settings to increase or decrease the target compounds tends to be complicated, given the various control parameters in a plant factory. An efficient optimization process for producing high value plants was shown using physiological and genetic information in the case of Stevia rebaudiana (stevia). This case study was conducted to determine the optimal conditions for producing stevia rich in sweet steviol glycosides (SGs) compounds. All environmental condition settings were selected based on previous studies relating to the biosynthesis of such SGs as stevioside (Stev) or rebaudioside-A (Reb-A). A yield evaluation of Stev and Reb-A was conducted based on the transcription levels of SGs-related genes. The process of producing SGs-rich stevia provides an example of an efficient optimization process for producing high value plants with increased or decreased target compounds in a plant factory system.</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</si>
  <si>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</si>
  <si>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</si>
  <si>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</si>
  <si>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</si>
  <si>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Zhang, XT; Ng, EYK</t>
  </si>
  <si>
    <t>Zhang, Xiaotie; Ng, Eddie Y. K.</t>
  </si>
  <si>
    <t>EVALUATION OF WINDOW GLASSES TRANSMISSION AND SUNLIGHT GUIDING SYSTEM IN A SOLAR-BASED VERTICAL GREENHOUSE</t>
  </si>
  <si>
    <t>CARPATHIAN JOURNAL OF FOOD SCIENCE AND TECHNOLOGY</t>
  </si>
  <si>
    <t>Vertical farming is believed to be a solution to the potential global food shortage in the future. However, it also receives many doubts about using excessive energy to support its artificial lighting system. In this paper, a solar-based vertical greenhouse is investigated based on a baseline greenhouse configuration. Ray tracing method is utilized to simulate the solar energy delivered to crop surfaces through window glasses transmission and artificially from a sunlight guiding system. Simulated results demonstrated that elevating the floor height and introducing a sunlight guiding system can improve the sunlight amount without using artificial lighting.</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</si>
  <si>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</si>
  <si>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</si>
  <si>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</si>
  <si>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</si>
  <si>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</si>
  <si>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</si>
  <si>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</si>
  <si>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</si>
  <si>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</si>
  <si>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</si>
  <si>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</si>
  <si>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</si>
  <si>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</si>
  <si>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</si>
  <si>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</si>
  <si>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</si>
  <si>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</si>
  <si>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</si>
  <si>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</si>
  <si>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</si>
  <si>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</si>
  <si>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Ando, K; Igarashi, H; Shinoda, H; Mutsukura, N</t>
  </si>
  <si>
    <t>Ando, Ki; Igarashi, Hiroshi; Shinoda, Hiroyuki; Mutsukura, Nobuki</t>
  </si>
  <si>
    <t>Improvement of photosynthetic rate evaluation by plant bioelectric potential using illuminating information and a neural network</t>
  </si>
  <si>
    <t>Measuring the bioelectric potential of plants is believed to be a suitable real time and noninvasive method of evaluating plant activities, including photosynthetic reactions. When plants are illuminated, the amplitude of their bioelectric potential response correlates to their photosynthetic rate. However, in practice, the variation of the illuminating colors, the bioelectric potential responses, and the photosynthetic rates relate nonlinearly. This makes the photosynthesis evaluation very difficult. This study analyzes the nonlinear relationship using a neural network to improve the accuracy of evaluation. The analysis result shows that the correlation coefficient between the measured and estimated photosynthetic rates provided by the neural network is 0.95. This result is superior to those provided by multiple linear regression analysis. In addition, we demonstrate that the information on the plant bioelectric potential is necessary to estimate the accurate photosynthetic rate.</t>
  </si>
  <si>
    <t>Avgoustaki, DD; Li, JY; Xydis, G</t>
  </si>
  <si>
    <t>Avgoustaki, Dafni Despoina; Li, Jinyue; Xydis, George</t>
  </si>
  <si>
    <t>Basil plants grown under intermittent light stress in a small-scale indoor environment: Introducing energy demand reduction intelligent technologies</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</si>
  <si>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</si>
  <si>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Bustamante, MJ</t>
  </si>
  <si>
    <t>Bustamante, Maria J.</t>
  </si>
  <si>
    <t>USING SUSTAINABILITY-ORIENTED PROCESS INNOVATION TO SHAPE PRODUCT MARKETS</t>
  </si>
  <si>
    <t>INTERNATIONAL JOURNAL OF INNOVATION MANAGEMENT</t>
  </si>
  <si>
    <t>Traditionally, the innovation literature has viewed product innovation as the key competitive driver for firms in the market. But as demands for sustainability increase and technology is advancing sustainability-oriented innovation across industries, there is an opportunity to reconsider the role of process innovations. This study follows the market development process of a start-up founded on the principle of sustainability-oriented innovation and explores how the process innovation itself is used to shape the external market. This paper considers the relationship between process innovations and external market development through a longitudinal case study of a vertical farm start-up in Stockholm, Sweden. Findings show that through a number of representational practices, process innovation can also serve external objectives and play a role in external market development for firms incorporating the principles of sustainability-oriented innovation.</t>
  </si>
  <si>
    <t>Fang, H; Li, K; Wu, G; Cheng, RF; Zhang, Y; Yang, QC</t>
  </si>
  <si>
    <t>Fang, Hui; Li, Kun; Wu, Gang; Cheng, Ruifeng; Zhang, Yi; Yang, Qichang</t>
  </si>
  <si>
    <t>A CFD analysis on improving lettuce canopy airflow distribution in a plant factory considering the crop resistance and LEDs heat dissipation</t>
  </si>
  <si>
    <t>In a plant factory, improper design of the indoor ventilation system may cause tip burn on lettuce plants due to the existence of stagnant air in the leaf boundary layer and low transpiration rates. In this study, three types of air ducts with different pore numbers and diameters were designed to generate a constant horizontal airflow on the surface of plant canopy. A three-dimensional computational fluid dynamics (CFD) model was established to analyse the airflow pattern on the crop canopy under different ventilation modes in a single cultivation bed. For this simulation model, the lettuce leaves were treated as a porous medium, and the drag coefficient (C-D) was assumed to be 0.02, which resulted in a permeability (K-p) and nonlinear momentum loss coefficient (C-F) of 0.02 and 0.134, respectively. The LED lamps were set as the energy source, and the heat released was calculated to be 297.5 kW m(-3). All the data above were validated. Three Designs with different pore numbers and diameters were simulated to predict the distribution of airflow. The design with 12 pores and 15 mm diameter was predicted to give the highest percentage of mean air velocity between 0.28 m s(-1) and 1.04 m s(-1) on the lettuce canopy surface, at 70.3%. This duct design is recommended as the best of the three Designs in this study. (C) 2020 IAgrE. Published by Elsevier Ltd. All rights reserved.</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</si>
  <si>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</si>
  <si>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</si>
  <si>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</si>
  <si>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</si>
  <si>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Huang, KL; Yang, CL; Kuo, CM</t>
  </si>
  <si>
    <t>Huang, Kwei-Long; Yang, Chao-Lung; Kuo, Che-Ming</t>
  </si>
  <si>
    <t>Plant factory crop scheduling considering volume, yield changes and multi-period harvests using Lagrangian relaxation</t>
  </si>
  <si>
    <t>A plant factory is an environmentally controlled facility that can sustain stable crop cultivation while ensuring fast production and better crop quality by manipulating temperature, humidity, lighting, nutrient supply, and other cultivation factors. It requires better cultivation planning to fully utilise the facility since the set up and operating costs are high. This study aims to schedule crops in a commercial plant factory to maximise revenue by determining which crops are cultivated, the quantity, and at what time. The model considers not only crop market prices but also crop properties such as cultivation duration, volume change, multiple periods of harvests, and yield rates under different environmental settings. The problem is formulated as a mixed integer programming problem to find an optimal schedule. For a large size problem, Lagrangian relaxation with surrogate subgradient method is applied to obtain a good solution in a short time. The numerical results show that, compared to the integer program solver, the proposed method provides faster solutions with more than 80% efficacy when longer planning periods and multiple cultivation rooms are considered. (C) 2020 IAgrE. Published by Elsevier Ltd. All rights reserved.</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</si>
  <si>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</si>
  <si>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</si>
  <si>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</si>
  <si>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</si>
  <si>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</si>
  <si>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</si>
  <si>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</si>
  <si>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</si>
  <si>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Pacak, A; Jurga, A; Drag, P; Pandelidis, D; Kazmierczak, B</t>
  </si>
  <si>
    <t>Pacak, Anna; Jurga, Anna; Drag, Pawel; Pandelidis, Demis; Kazmierczak, Bartosz</t>
  </si>
  <si>
    <t>A Long-Term Analysis of the Possibility of Water Recovery for Hydroponic Lettuce Irrigation in Indoor Vertical Farm. Part 1: Water Recovery from Exhaust Air</t>
  </si>
  <si>
    <t>Featured Application The presented analysis allows to estimate the sense of using exhaust air as a source of water recovery for the purposes of watering plants in the cultivated halls potentially located in Wroclaw (Poland, Lower Silesia). This paper presents the characteristics of the operation of the system for recovery of water from exhaust air in moderate climates in the years 2012-2019. The proposed system for water recovery uses the phenomenon of condensation in a cross-flow heat exchanger operating as an element of the air conditioning system. The parameters of exhaust air behind the heat exchanger have been determined using a mathematical model of the so-called black box. The mathematical model considers the risk of the cross-freezing of the heat exchanger. The calculations carried out for variable parameters of external air during the analyzed period confirm that the system allows to cover the demand for water for lettuce irrigation during the cold and transitional period, which is a major part of the year. It has been noted that the effectiveness of the system is very high (av. 67.12% per year) due to the specific parameters of the internal air in which the lettuce must be grown and the need for continuous air exchange in such facilities. This means that air is a stable source of water recovery, where the recovery rate depends on the parameters of external air.</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</si>
  <si>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</si>
  <si>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</si>
  <si>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</si>
  <si>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</si>
  <si>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</si>
  <si>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</si>
  <si>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</si>
  <si>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</si>
  <si>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Vermeulen, ACJ; Hubers, C; de Vries, L; Brazier, F</t>
  </si>
  <si>
    <t>Vermeulen, Angelo C. J.; Hubers, Coen; de Vries, Liselotte; Brazier, Frances</t>
  </si>
  <si>
    <t>What horticulture and space exploration can learn from each other: The Mission to Mars initiative in the Netherlands</t>
  </si>
  <si>
    <t>ACTA ASTRONAUTICA</t>
  </si>
  <si>
    <t>The horticulture sector in the Netherlands is a global leader due to technological advancements, knowledge of greenhouse cultivation with high productivities and low resource usage, and entrepreneurship. The Netherlands is the second largest exporter of vegetables in the world, and more than half of its land area is used for agriculture with some greenhouse complexes covering 175 acres. However, to retain this leading position, the sector has acknowledged that it needs to keep innovating. To further reduce waste and environmental impact, an innovative production strategy is being developed to support a circular economy: the circular greenhouse. LDE Greenport Hub is an entity of the strategic alliance of the universities of Leiden, Delft and Erasmus and is focused on horticulture scientific research and education in collaboration with major horticulture industry partners (such as sector association Glastuinbouw Nederland). It has initiated 'Mission to Mars', a program to boost innovation and development of the circular greenhouse by adopting concepts and technologies from space. Space is inherently focused on circularity because of scarce resources. A good example is the MELiSSA concept of the European Space Agency in which human waste is broken down into nutrients for crops and algae by a series of bioreactors. The crops and algae consequently provide food and oxygen for the crew again. The Mission to Mars program started with a lecture series in the beginning of 2018 at the World Horti Center, a horticulture business and innovation center in Naaldwijk. In seven lectures different aspects of sustainability and circularity were explored together with researchers, students, growers and horticulturists. The lectures covered (1) energy, (2) water, (3) lighting and climate, (4) soil, substrate and plant health, (5) material and energy streams, (6) digitization and automation, and (7) urban and vertical farming. It quickly became clear that not only terrestrial horticulture could benefit from space technologies, but that human space exploration could equally benefit from the technical and tacit knowledge of growers and horticulturists for food production in space. A list of potential research topics was identified. These topics are to be explored in a follow-up ESA Innovation Exchange, together with space technology partner ICE Cubes. The goal is to go beyond the circular greenhouse and demonstrate how space itself can be an environment for plant biology innovation, and hence increase future food security on Earth.</t>
  </si>
  <si>
    <t>Wong, CE; Teo, ZWN; Shen, LS; Yu, H</t>
  </si>
  <si>
    <t>Wong, Chui Eng; Teo, Zhi Wei Norman; Shen, Lisha; Yu, Hao</t>
  </si>
  <si>
    <t>Seeing the lights for leafy greens in indoor vertical farming</t>
  </si>
  <si>
    <t>Background: Agricultural production in controlled indoor farming offers a reliable alternative to food and nutrition supply for densely populated cities and contributes to addressing the impending food insecurity. Leafy vegetables, rich in vitamins, minerals, fibres and antioxidants, account for over half of the indoor farming operations worldwide. Light is the foremost environmental factor for plant growth and development, and the success of indoor farming largely depends on lighting qualities. The energy efficient light-emitting diode (LED) has been increasingly used in indoor farming systems. Scope and approach: Here we provide an updated overview of the current indoor vertical farming systems, the mechanisms of light perception by photoreceptors, and the effects of LED spectra or intensity on growth and phytonutrient accumulation of leafy greens. We also outline the challenges in interpreting and applying the research findings in the field and highlight issues to be addressed. Key findings and conclusions: Lighting quality and quantity can be manipulated to improve yield and phytonutrient contents of leafy greens. As responses of leafy greens to light are dependent on genotype and developmental stage, light recipe targeting different developmental stages should be formulated for different species for maximizing yield. While it has been known that blue wavelength has a more prominent positive impact on phytonutrient accumulation than red, little is known for other wavelengths. Moreover, recent findings that green wavelength inhibits plant growth in a blue-wavelength-dependent manner highlight the need for future research to investigate interactive effects of different wavelengths on modulating plant growth and metabolism.</t>
  </si>
  <si>
    <t>Sipos, L; Boros, IF; Csambalik, L; Szekely, G; Jung, A; Balazs, L</t>
  </si>
  <si>
    <t>Sipos, Laszlo; Boros, Ildiko Fruzsina; Csambalik, Laszlo; Szekely, Geza; Jung, Andras; Balazs, Laszlo</t>
  </si>
  <si>
    <t>Horticultural lighting system optimalization: A review</t>
  </si>
  <si>
    <t>Light conditions are crucial for vegetable quality in terms of sensory properties and nutritional composition. Well planned lighting systems enable effective production and extend production season, even for year around production. Further factors, like climate change, growing urban population (urban plant factories), seasonal employment, developing consumer expectations in security, safety, freshness, and price-quality ratio of vegetables and fruits reinforce the expansion of LED systems. The main obstacle of shifting to LED lighting in plant production is that involves a complex system change beyond lighting (e.g. plant recipes, which are species- and in several cases cultivar-dependent), resulting serious associated costs. Also, lack of quality standards for solid state lighting in horticulture has been frequently mentioned. Therefore, light source measurement, parameters, metrics, and labeling was reviewed. Presented increasing number of scientific publications, patents and the increasing role of LEDs in R + D, and innovation related projects indicate that the technological background is developing fast.</t>
  </si>
  <si>
    <t>Orsini, F; Pennisi, G; Michelon, N; Minelli, A; Bazzocchi, G; Sanye-Mengual, E; Gianquinto, G</t>
  </si>
  <si>
    <t>Orsini, Francesco; Pennisi, Giuseppina; Michelon, Nicola; Minelli, Alberto; Bazzocchi, Giovanni; Sanye-Mengual, Esther; Gianquinto, Giorgio</t>
  </si>
  <si>
    <t>Features and Functions of Multifunctional Urban Agriculture in the Global North: A Review</t>
  </si>
  <si>
    <t>In recent years, urban agriculture (UA) projects have bloomed throughout the world, finding large applications also in the developed economies of the so-called Global North. As compared to projects in developing countries, where research has mainly targeted the contribution to food security, UA in the Global North has a stronger multifunctional connotation, and results in multiple combinations of farming purposes and business models pursued. The present review paper explores the contribution and role that UA plays in cities from the Global North, defining its functionalities toward ecosystem services (ES) provisioning and analyzing the factors that hinders and promote its regional diffusion and uptake. The manuscript integrates a description of UA growing systems, as well opportunities for crop diversification in the urban environment, and a comprehensive classification of UA business models. The distinctive features in terms of business models, farming purposes and farm size are then applied over an inventory of 470 UA projects in the Global North, allowing for a characterization and comparative analysis of distribution frequency of the different project typologies.</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</si>
  <si>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</si>
  <si>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</si>
  <si>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</si>
  <si>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</si>
  <si>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</si>
  <si>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</si>
  <si>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</si>
  <si>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</si>
  <si>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</si>
  <si>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</si>
  <si>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</si>
  <si>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</si>
  <si>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</si>
  <si>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</si>
  <si>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</si>
  <si>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</si>
  <si>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</si>
  <si>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Montoya, AP; Obando, FA; Osorio, JA; Morales, JG; Kacira, M</t>
  </si>
  <si>
    <t>Montoya, A. P.; Obando, F. A.; Osorio, J. A.; Morales, J. G.; Kacira, M.</t>
  </si>
  <si>
    <t>Design and implementation of a low-cost sensor network to monitor environmental and agronomic variables in a plant factory</t>
  </si>
  <si>
    <t>Monitoring equipment for plant-factory automation requires big capital investments. Low-cost open-source microcontroller platforms have been employed in agriculture to monitor and control different variables of importance for crop production. A low-cost plant-factory monitoring system for measuring air temperature, relative humidity, plant-leaf temperature, pH, electrical conductivity, dissolved oxygen and temperature of the nutrient solution is presented here. All the information is recorded in a micro SD memory and can be accessed by Bluetooth in real-time. The developed system was tested during a cycle of a lettuce crop in a research plant-factory facility. The quality of the collected data was evaluated and compared with a well-known research-grade monitoring system. The low-cost sensors showed an easy to correct bias when were compared to those of research-grade, with a correlation coefficient over 0.96. The results showed that low-cost systems, like the one implemented here, are a good alternative for monitoring environmental and physiological variables in controlled environmental agriculture facilities.</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</si>
  <si>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</si>
  <si>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</si>
  <si>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</si>
  <si>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</si>
  <si>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</si>
  <si>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</si>
  <si>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</si>
  <si>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</si>
  <si>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Ryymin, E; Lamberg, L; Pakarinen, A</t>
  </si>
  <si>
    <t>Ryymin, Essi; Lamberg, Laura; Pakarinen, Annukka</t>
  </si>
  <si>
    <t>How to Digitally Enhance Bioeconomy Collaboration: Multidisciplinary Research Team Ideation for Technology Innovation</t>
  </si>
  <si>
    <t>TECHNOLOGY INNOVATION MANAGEMENT REVIEW</t>
  </si>
  <si>
    <t>In this paper we examine the potential of digital platforms for managing multidisciplinary collaboration and particularly the ideation processes of multidisciplinary research and development in the case of technology-supported vertical farming. The article draws on research data from semi-structured interviews and a collaborative workshop that was conducted with researchers representing biological, digital, and technological domains. The results of this research indicate that digital platforms may offer impactful, process-accelerating support during the kick-off phase of multidisciplinary technological innovations. A digital platform can support ideation and the prioritisation of ideas and can be especially fruitful when paired with face to face discussion and non-digital interaction.</t>
  </si>
  <si>
    <t>Saito, K; Ishigami, Y; Goto, E</t>
  </si>
  <si>
    <t>Saito, Kota; Ishigami, Yasuhiro; Goto, Eiji</t>
  </si>
  <si>
    <t>Evaluation of the Light Environment of a Plant Factory with Artificial Light by Using an Optical Simulation</t>
  </si>
  <si>
    <t>Good lighting designs can establish suitable light environments in plant factories with artificial light (PFALs). This study used optical simulations to investigate the effects of lighting designs in PFALs on the coefficient of variation of light absorption (phi(p; CV)) of individual plants and the coefficient of utilization for the lighting system (U). Three-dimensional models of canola plants were constructed using a scanner, and a 3D model of the cultivation shelf was also created. The photosynthetic photon flux density (PPFD) distribution in the cultivation spaces, with or without the canola plants, was estimated first. The PPFD on the canola leaves was then estimated when the lighting design parameters, such as number, distance, height, radiant flux, and light distribution of the light-emitting diode lamps, were modified. The optical simulation showed good accuracy when estimating the PPFD distributions on the cultivation shelf and the leaves of the canola plants. The results showed that while the PPFD distribution across the growing area was uniform, it was not on a plant canopy. By appropriately controlling the layout of the lamps and their directionality, lighting designs that reduce phi(p; CV) and improve U in PFAL could be possible, and optical simulations could help to develop them.</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</si>
  <si>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</si>
  <si>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</si>
  <si>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</si>
  <si>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</si>
  <si>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</si>
  <si>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</si>
  <si>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</si>
  <si>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</si>
  <si>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</si>
  <si>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</si>
  <si>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</si>
  <si>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</si>
  <si>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</si>
  <si>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</si>
  <si>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</si>
  <si>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</si>
  <si>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</si>
  <si>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</si>
  <si>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</si>
  <si>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</si>
  <si>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</si>
  <si>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</si>
  <si>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</si>
  <si>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</si>
  <si>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</si>
  <si>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</si>
  <si>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</si>
  <si>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Allegaert, S; Wubben, EFM; Hagelaar, G</t>
  </si>
  <si>
    <t>Allegaert, S.; Wubben, E. F. M.; Hagelaar, G.</t>
  </si>
  <si>
    <t>Where is the business? A study into prominent items of the Vertical Farm Business Framework</t>
  </si>
  <si>
    <t>There is scarce public knowledge regarding comparable feasible business formats. This paper develops a Vertical Farm Business Framework to raise our understanding of the major, generic items in the development of Vertical Farms as commercial endeavours. The huge variety of the research objects and the early stage of research into business formats makes exploratory research the suited approach. A review of the related literature is complemented by a validation by 25 insiders from Europe and North America. When it comes to governance and cooperation good partnerships are deemed fitting, especially with distribution centres and specific food sectors. Regarding organization, there is optimism on drastic costs decreases due to advances in lighting, HVAC, and automation. Finally, as part of the enabling environment, the social value of Vertical Farms is not clear, and legal issues were not found to be a major concern, apart from zoning issues. A prominent theme became the need for properly trained employees. In sum, establishing a commercially viable Vertical Farm remains a complex matter, where strategic decision can benefit from a Vertical Farm Business Framework.</t>
  </si>
  <si>
    <t>El Boudani, B; Kanaris, L; Kokkinis, A; Kyriacou, M; Chrysoulas, C; Stavrou, S; Dagiuklas, T</t>
  </si>
  <si>
    <t>El Boudani, Brahim; Kanaris, Loizos; Kokkinis, Akis; Kyriacou, Michalis; Chrysoulas, Christos; Stavrou, Stavros; Dagiuklas, Tasos</t>
  </si>
  <si>
    <t>Implementing Deep Learning Techniques in 5G IoT Networks for 3D Indoor Positioning: DELTA (DeEp Learning-Based Co-operaTive Architecture)</t>
  </si>
  <si>
    <t>In the near future, the fifth-generation wireless technology is expected to be rolled out, offering low latency, high bandwidth and multiple antennas deployed in a single access point. This ecosystem will help further enhance various location-based scenarios such as assets tracking in smart factories, precise smart management of hydroponic indoor vertical farms and indoor way-finding in smart hospitals. Such a system will also integrate existing technologies like the Internet of Things (IoT), WiFi and other network infrastructures. In this respect, 5G precise indoor localization using heterogeneous IoT technologies (Zigbee, Raspberry Pi, Arduino, BLE, etc.) is a challenging research area. In this work, an experimental 5G testbed has been designed integrating C-RAN and IoT networks. This testbed is used to improve both vertical and horizontal localization (3D Localization) in a 5G IoT environment. To achieve this, we propose the DEep Learning-based co-operaTive Architecture (DELTA) machine learning model implemented on a 3D multi-layered fingerprint radiomap. The DELTA begins by estimating the 2D location. Then, the output is recursively used to predict the 3D location of a mobile station. This approach is going to benefit use cases such as 3D indoor navigation in multi-floor smart factories or in large complex buildings. Finally, we have observed that the proposed model has outperformed traditional algorithms such as Support Vector Machine (SVM) and K-Nearest Neighbor (KNN).</t>
  </si>
  <si>
    <t>Fang, Y; Nunez, GH; da Silva, MN; Phillips, DA; Munoz, PR</t>
  </si>
  <si>
    <t>Fang, Yang; Nunez, Gerardo H.; da Silva, Mariana Neves; Phillips, Douglas A.; Munoz, Patricio R.</t>
  </si>
  <si>
    <t>A Review for Southern Highbush Blueberry Alternative Production Systems</t>
  </si>
  <si>
    <t>Southern highbush blueberry cultivation has expanded into non-traditional growing areas worldwide due to elite cultivars and improved horticultural practices. This article presents a comprehensive review of current production systems-alternatives to traditional open field production-such as production in protected environments, high-density plantings, evergreen production, and container-based production. We discuss the advantages and disadvantages of each system and compare their differences to open field production. In addition, we provide potential solutions for some of the disadvantages. We also highlight some of the gaps existing between academic studies and production in industry, providing a guide for future academic research. All these alternative systems have shown the potential to produce high yields with high-quality berries. Alternative systems, compared to field production, require higher establishment investments and thus create an entry barrier for new producers. Nevertheless, with their advantages, alternative productions have the potential to be profitable.</t>
  </si>
  <si>
    <t>Gadhesaria, G; Desai, C; Bhatt, R; Salah, B</t>
  </si>
  <si>
    <t>Gadhesaria, Gauravkumar; Desai, Chinmay; Bhatt, Ravi; Salah, Bashir</t>
  </si>
  <si>
    <t>Thermal Analysis and Experimental Validation of Environmental Condition Inside Greenhouse in Tropical Wet and Dry Climate</t>
  </si>
  <si>
    <t>A facility for controlled environment agriculture from an energy consumption point of view was investigated at the C. G. Bhakta Institute of Biotechnology, Uka Tarsadia University (21.1667 degrees N, 72.8333 degrees E), Bardoli, Surat, Gujarat, India. It is a tropical wet and dry region of the state of Gujarat. The study was carried out for an even span type 2.45 m x 3.65 m greenhouse with an elevation of 34 m above the sea level under the environmental conditions. A thermal model is proposed to identify the suitable climate condition for the cultivation of different varieties of Banana (Musa) and Sugarcane (Saccharum officinarum). Banana and Sugarcanes are the main crops in the Surat district, wherein around 12,400 hector and 94,500 hector cultivation are done, respectively. The experimental study was carried out during the period of December 2017 (winter) to February 2018 (winter and summer). The proposed thermal model is helpful to indicate the hourly energy balance and average temperature distribution inside the greenhouse. The greenhouse was studied for east-west orientation. The steady state analysis was utilized to find extra thermal energy other than solar radiation needed to keep the plant temperature desirable. Experimental validation of the model was carried out in even span greenhouse. At last, some important conclusions are drawn and suggestions made for further studies based on the main characteristics and results of the study. A higher air change rate seems desirable to bring down the temperature further. It was observed that the extra heating is required during the period of December to February, whereas from March onwards a storage unit is required to absorb the energy available and utilize it whenever necessary in the given climatic condition and crop.</t>
  </si>
  <si>
    <t>Harris, ZM; Kountouris, Y</t>
  </si>
  <si>
    <t>Harris, Zoe M.; Kountouris, Yiannis</t>
  </si>
  <si>
    <t>Vertical Farming as a Game Changer for BECCS Technology Deployment</t>
  </si>
  <si>
    <t>The Intergovernmental Panel on Climate Change (IPCC) report that to limit warming to 1.5 degrees C, Bioenergy with Carbon Capture and Storage (BECCS) is required. Integrated assessment models (IAMS) predict that a land area between the size of Argentina and Australia is required for bioenergy crops, a 3-7 time increase in the current bioenergy planting area globally. The authors pose the question of whether vertical farming (VF) technology can enable BECCS deployment, either via land sparing or supply. VF involves indoor controlled environment cultivation, and can increase productivity per unit land area by 5-10 times. VF is predominantly being used to grow small, high value leafy greens with rapid growth cycles. Capital expenditure, operational expenditure, and sustainability are challenges in current VF industries, and will affect the ability to utilise this technology for other crops. The authors argue that, whilst challenging, VF could help reach wider climate goals. Application of VF for bioenergy crops could be a game changer in delivering BECCS technologies and may reduce the land footprint required as well as the subsequent associated negative environmental impacts. VF bioenergy could allow us to cultivate the future demand for bioenergy for BECCS on the same, or less, land area than is currently used globally.</t>
  </si>
  <si>
    <t>Kim, BH; Cho, JH</t>
  </si>
  <si>
    <t>Kim, Bong-Hyun; Cho, Joon-Ho</t>
  </si>
  <si>
    <t>A Study on Modular Smart Plant Factory Using Morphological Image Processing</t>
  </si>
  <si>
    <t>This paper is a study on a modular smart plant factory integrating intelligent solar module, LED module with high efficiency for plant growth, IoT module control system and image processing technology. The intelligent sun and modules have a corrugated structure, and the angle of the module can be adjusted to obtain a large amount of power generation. It is fully foldable for wider angles during the day and module protection at night. The LED module is designed and manufactured to distribute energy evenly over the entire wavelength range so that high efficiency can be obtained. The control system with IoT convergence technology enables control of all parts related to plant growth such as angle control of solar modules, LED lighting control, temperature/humidity control, and fan control. In particular, the control method is programmed to be controlled by a computer monitoring system and a smartphone app, so there are few places. In addition, this paper developed an image processing algorithm to extract the growth information of lettuce grown in the plant factory. The acquired images were separated into R, G, and B images using Matlab software. The applied algorithms are k-mean and improved morphological image processing. By applying this method, we can determine the area calculation and shipping of lettuce seedlings. As a result of the fusion and application of solar modules, LED modules, and IoT modules, information on plant growth and status was confirmed.</t>
  </si>
  <si>
    <t>Kim, J; Kang, WH; Son, JE</t>
  </si>
  <si>
    <t>Kim, Jaewoo; Kang, Woo Hyun; Son, Jung Eek</t>
  </si>
  <si>
    <t>Interpretation and Evaluation of Electrical Lighting in Plant Factories with Ray-Tracing Simulation and 3D Plant Modeling</t>
  </si>
  <si>
    <t>In plant factories, light is fully controllable for crop production but involves a cost. For efficient lighting, light use efficiency (LUE) should be considered as part of light environment design. The objectives of this study were to evaluate and interpret the light interception, photosynthetic rate, and LUE of lettuces under electrical lights using ray-tracing simulation. The crop architecture model was constructed by 3D scanning, and ray-tracing simulation was used to interpret light interception and photosynthesis. For evaluation of simulation reliability, measured light intensities and photosynthetic rates in a growth chamber were compared with those obtained by simulation at different planting densities. Under several scenarios modeling various factors affecting light environments, changes in light interception and LUE were interpreted. The light intensities and photosynthetic rates obtained by simulation showed good agreement with the measured values, with R-2 &gt; 0.86. With decreasing planting density, the light interception of the central plant increased by approximately 18.7%, but that of neighboring plants decreased by approximately 5.5%. Under the various scenarios, shorter lighting distances induced more heterogenetic light distribution on plants and caused lower light interception. Under a homogenous light distribution, the light intensity was optimal at approximately 360 mu mol m(-2) s(-1) with an LUE of 6.5 g MJ(-1). The results of this study can provide conceptual insights into the design of light environments in plant factories.</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</si>
  <si>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</si>
  <si>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</si>
  <si>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</si>
  <si>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</si>
  <si>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</si>
  <si>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</si>
  <si>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</si>
  <si>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</si>
  <si>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Orsini, F; Pennisi, G; Zulfiqar, F; Gianquinto, G</t>
  </si>
  <si>
    <t>Orsini, F.; Pennisi, G.; Zulfiqar, F.; Gianquinto, G.</t>
  </si>
  <si>
    <t>Sustainable use of resources in plant factories with artificial lighting (PFALs)</t>
  </si>
  <si>
    <t>Plant Factories with Artificial Lighting (PFALs) are spreading due to the claimed efficiency in natural resources use, although at the cost of higher energy needs as compared with more traditional food systems. In recent years, research literature on PFAL technological features and management protocols has bloomed, mainly targeting innovation in lighting technologies, growing systems and environmental control units. To date, however, a comprehensive analysis of resource use and environmental impacts associated with PFAL systems is lacking. The present review paper aims at providing valuable insights on PFAL sustainability and compare their applications against current technologies and food systems with a special focus on resource use efficiency.</t>
  </si>
  <si>
    <t>Pan, MQ; Hu, HZ; Dong, GP</t>
  </si>
  <si>
    <t>Pan, Minqiang; Hu, Haozhong; Dong, Guanping</t>
  </si>
  <si>
    <t>Experimental study of the performance of cutting copper fiber oriented sintered heat sinks for the water cooling of LEDs</t>
  </si>
  <si>
    <t>APPLIED THERMAL ENGINEERING</t>
  </si>
  <si>
    <t>LED light sources have been gradually applied in plant factories, but the heat dissipation of LED leads to high energy consumption. Considering the water irrigation systems of plant factories, a cutting copper fiber oriented sintered heat sink (CCFOSHS) is proposed for water cooling of LEDs. The heat transfer and flow performances of CCFOSHS were investigated by experiments, and compared with cutting copper fiber random sintered heat sink (CCFRSHS) and traditional small channel heat sink. Influences of porosity and equivalent diameter of fibers on heat transfer and flow performances of CCFOSHS are analyzed. Results demonstrate that compared to CCFRSHS, heat transfer performances of CCFOSHS are slightly worse, but the direction of fiber causes a lower pressure drop and CCFOSHS has better comprehensive heat transfer performance. With the decrease of porosity, heat transfer performances of CCFOSHS are enhanced slightly, but pressure drops increase distinctly. Heat transfer performances of CCFOSHS are not sensitive to the equivalent diameter of fibers. The smaller equivalent diameter of the fibers leads to a higher pressure drop. Especially when the equivalent diameter of fibers is 195.12 mu m, CCFOSHS with 80% porosity, has better temperature uniformity.</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</si>
  <si>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</si>
  <si>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</si>
  <si>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</si>
  <si>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</si>
  <si>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</si>
  <si>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</si>
  <si>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</si>
  <si>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</si>
  <si>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</si>
  <si>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</si>
  <si>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</si>
  <si>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</si>
  <si>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</si>
  <si>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</si>
  <si>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</si>
  <si>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</si>
  <si>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Zhang, Ying; Kacira, M.</t>
  </si>
  <si>
    <t>Comparison of energy use efficiency of greenhouse and indoor plant factory system</t>
  </si>
  <si>
    <t>Energy use efficiency in greenhouse and indoor plant factory system is greatly affected by outdoor climates, structure properties, operating conditions and product types. Energy use efficiency for two greenhouse cases and two indoor plant factory cases were compared in simulation with annual lettuce biomass yield and energy consumption including lighting, heating, and cooling for six geographic locations with different climates (Duluth, Minnesota; Seattle, Washington; Phoenix, Arizona; Miami, Florida; Abu Dhabi, UAE; and Riyadh, KSA). The energy balance of a greenhouse was simulated including Greenhouse 1 (GH_1) with a shading curtain (50% shade percentage) deployed during high radiation seasons and Greenhouse 2 (GH_2) with a constant daily light integral level (DLI) of 15 mol m(-2) d(-1) achieved by supplemental lights and variable shading controls. In indoor plant factory model, two cases Indoor Plant Factory 1 (IPF_1) and Indoor Plant Factory 2 (IPF_2) were simulated with EnergyPlus, a building simulation program, with the DLIs of 13 mol m(-2) d(-1) and 15 mol m(-2 )d(-1) respectively. Using LED lights with high efficacy (2.5 mu mol J(-1)), indoor plant factories were determined to be superior to greenhouses in cold climates with energy use efficiency as high as 0.13 kg kWh(-1) and 0.14 kg kWh(-1) respectively in Duluth and Seattle compared to greenhouse cases with 0.10 kg kWh(-1) and 0.11 kg kWh(-1) respectively. In hot climates greenhouses are significantly more efficient than indoor plant factories, with the highest energy use efficiency of 0.35 kg kWh(-1) in Miami. Parameters of indoor plant factory systems, including heating, ventilation, and air conditioning (HVAC) economizers, the number of tiers of production shelves, lettuce plant transpiration rate, and light efficacy, were evaluated for their impacts on energy usage and effectiveness for energy savings. Choosing LED lights with high efficacy was recommended to effectively reduce the electricity usage and to enhance energy use efficiency for indoor plant factories.</t>
  </si>
  <si>
    <t>Li, LY; Li, X; Chong, C; Wang, CH; Wang, XN</t>
  </si>
  <si>
    <t>Li, Lanyu; Li, Xian; Chong, Clive; Wang, Chi-Hwa; Wang, Xiaonan</t>
  </si>
  <si>
    <t>A decision support framework for the design and operation of sustainable urban farming systems</t>
  </si>
  <si>
    <t>The increasing population and continuous urbanization make food security prominent in sustainable development. It is important to develop economic and resource-efficient farming solutions to meet food demand. Renewable energy and waste valorization may bring benefits to build sustainable food production systems and facilitate circular economy. This work aims to develop a decision support framework for the stakeholders to quantitatively assess and optimize their urban farming systems for efficient investment and operation. The proposed framework is based on a holistic system model that considers the energy and material consumption in vegetable production processes and the economic and environmental performance of urban farming systems. In the multi-dimensional assessment model, the net present value and cradle-to-gate CO2 emission, water consumption, and land occupation of different configurations of urban farming systems were assessed. In a further development, the assessment model was embedded in an optimization framework to identify the optimal system design and operation. The optimal crop mix and the corresponding cultivation set points (such as temperature, humidity, irradiance, illumination time, and CO2 concentration) for the farming modules were determined via optimization. To demonstrate the proposed framework, a case study on the design and operation of a vertical farm in Singapore was carried out. The case study examined alternative farming systems with glass-enclosed vs window-free structural design, grid vs solar photovoltaic (PV) energy supply, and traditional chemical fertilizers vs food waste compost fertilization. Results showed that plant-factory farming systems integrated with solar PV and beer-residue-derived fertilizer could be a promising and sustainable farming solution for Singapore as a tropical megacity. (C) 2020 Elsevier Ltd. All rights reserved.</t>
  </si>
  <si>
    <t>Gnauer, C; Pichler, H; Schmittner, C; Tauber, M; Christl, K; Knapitsch, J; Parapatits, M</t>
  </si>
  <si>
    <t>Gnauer, Clemens; Pichler, Harald; Schmittner, Christoph; Tauber, Markus; Christl, Korbinian; Knapitsch, Johannes; Parapatits, Martin</t>
  </si>
  <si>
    <t>A recommendation for suitable technologies for an indoor farming framework</t>
  </si>
  <si>
    <t>ELEKTROTECHNIK UND INFORMATIONSTECHNIK</t>
  </si>
  <si>
    <t>Facing food insecurity and overuse of resources due to effects of climate change, humanity needs to find new ways to secure food production and produce close to consumers. Vertical farming, where plants are grown in vertical arrays inside buildings with help of Information and Communication Technology (ICT) components, could contribute to solving this issue. Such systems integrate heterogeneous devices on different computing layers and acquire a lot of data to monitor and optimize the production process. We created an indoor testing unit in which growing conditions can be monitored and controlled to optimize growth of microgreens. This setup includes an Indoor Farming Support as a Service (IFSaaS) prototype that provides safe and secure monitoring and controlling, as well as self-adaption of an indoor farming system. In this article we provide information about the combination of most suitable technologies.</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</si>
  <si>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</si>
  <si>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</si>
  <si>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</si>
  <si>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</si>
  <si>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</si>
  <si>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</si>
  <si>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</si>
  <si>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</si>
  <si>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Paucek, I; Appolloni, E; Pennisi, G; Quaini, S; Gianquinto, G; Orsini, F</t>
  </si>
  <si>
    <t>Paucek, Ivan; Appolloni, Elisa; Pennisi, Giuseppina; Quaini, Stefania; Gianquinto, Giorgio; Orsini, Francesco</t>
  </si>
  <si>
    <t>LED Lighting Systems for Horticulture: Business Growth and Global Distribution</t>
  </si>
  <si>
    <t>In recent years, research on light emitting diodes (LEDs) has highlighted their great potential as a lighting system for plant growth, development and metabolism control. The suitability of LED devices for plant cultivation has turned the technology into a main component in controlled or closed plant-growing environments, experiencing an extremely fast development of horticulture LED metrics. In this context, the present study aims to provide an insight into the current global horticulture LED industry and the present features and potentialities for LEDs' applications. An updated review of this industry has been integrated through a database compilation of 301 manufacturers and 1473 LED lighting systems for plant growth. The research identifies Europe (40%) and North America (29%) as the main regions for production. Additionally, the current LED luminaires' lifespans show 10 and 30% losses of light output after 45,000 and 60,000 working hours on average, respectively, while the vast majority of worldwide LED lighting systems present efficacy values ranging from 2 to 3 mu mol J(-1) (70%). Thus, an update on the status of the horticultural LED sector, LEDs' applications and metrics, and the intense innovation are described and discussed.</t>
  </si>
  <si>
    <t>Xu, KB; Kitazumi, Y; Kano, K; Shirai, O</t>
  </si>
  <si>
    <t>Xu, Kebin; Kitazumi, Yuki; Kano, Kenji; Shirai, Osamu</t>
  </si>
  <si>
    <t>Automatic Management of Nutrient Solution for Hydroponics-Construction of Multi-ion Stat-</t>
  </si>
  <si>
    <t>ANALYTICAL SCIENCES</t>
  </si>
  <si>
    <t>In order to improve plant factories, an appropriate control system on fertilization is urgently required. An automatic management system to control nutrient concentration was constructed using a programmable logic controller (PLC) and ion selective electrodes (ISEs) of nitrate, phosphate, and potassium ion. The concentration of nutrient components in a culture solution was monitored using these ISEs. When the concentration of the nutrient components diminished to the threshold set as an optimum condition (0.1 - 2.0 mM), an appropriate amount of a concentrated solution of each nutrient component was added to the culture solution using solenoid valves connected with the PLC. The present cultivation system was simply constructed without any computers and pumps. Three kinds of automatic control systems simultaneously worked and did not influence each other.</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</si>
  <si>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</si>
  <si>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</si>
  <si>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</si>
  <si>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</si>
  <si>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</si>
  <si>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</si>
  <si>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</si>
  <si>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</si>
  <si>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</si>
  <si>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Nguyen, TKL; Oh, MM</t>
  </si>
  <si>
    <t>Thi Kim Loan Nguyen; Myung-Min Oh</t>
  </si>
  <si>
    <t>Physiological and biochemical responses of green and red perilla toLED-based light</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</si>
  <si>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</si>
  <si>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</si>
  <si>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</si>
  <si>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</si>
  <si>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</si>
  <si>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</si>
  <si>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</si>
  <si>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</si>
  <si>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</si>
  <si>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</si>
  <si>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</si>
  <si>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</si>
  <si>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</si>
  <si>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</si>
  <si>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Wiggins, Z; Akaeze, O; Nandwani, D; Witcher, A</t>
  </si>
  <si>
    <t>Wiggins, ZaDarreyal; Akaeze, Onyekachukwu; Nandwani, Dilip; Witcher, Anthony</t>
  </si>
  <si>
    <t>Substrate Properties and Fertilizer Rates on Yield Responses of Lettuce in a Vertical Growth System</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</si>
  <si>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</si>
  <si>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Zou, J; Zhou, CB; Xu, H; Cheng, RF; Yang, QC; Li, T</t>
  </si>
  <si>
    <t>Zou Jie; Zhou Cheng-bo; Xu Hong; Cheng Rui-feng; Yang Qi-chang; Li Tao</t>
  </si>
  <si>
    <t>The effect of artificial solar spectrum on growth of cucumber and lettuce under controlled environment</t>
  </si>
  <si>
    <t>Light -emitting diodes (LEDs) have been widely applied in the controlled environment agriculture, which are characterized by relatively narrow -band spectra and energetical efficiency. Most recently, the spectrum of Sunlike LEDs has been engineered and it closely resembles solar spectrum in the range of photosynthetic active radiation (PAR, 400-700 nm). To investigate how plant growth responses to the spectrum of Sunlike LEDs, cucumber and lettuce plants were cultivated and their responses were compared with the conventional white LEDs as well as composite of red and blue LEDs (RB, R/B ratio was 9:1). We observed that although Sunlike LEDs resulted in a longer stem in cucumber, dry weight and leaf area were similar as those under RB LEDs, and significantly higher than those under white LEDs. Moreover, cucumber leaves grown under Sunlike and white LEDs showed higher photosynthetic capacity than those grown under RB LEDs. For lettuce, plants grown under Sunlike LEDs showed larger leaf area and higher dry weight than the other two treatments. However, the leaf photosynthetic capacity of lettuce grown under Sunlike LEDs was the lowest. In this context, the spectrum induced plant functions are species -dependent. Furthermore, the three types of LEDs show distinct light spectra and they are different in many aspects. Therefore, it is difficult to attribute the different plant responses to certain specific light spectra. We conclude that plants grown under Sunlike LEDs exhibit larger leaf area, which may be due to some specific spectrum distributions (such as more far -red radiation), and consequently are favorable for light interception and therefore result in greater production.</t>
  </si>
  <si>
    <t>Eldridge, BM; Manzoni, LR; Graham, CA; Rodgers, B; Farmer, JR; Dodd, AN</t>
  </si>
  <si>
    <t>Eldridge, Bethany M.; Manzoni, Lillian R.; Graham, Calum A.; Rodgers, Billy; Farmer, Jack R.; Dodd, Antony N.</t>
  </si>
  <si>
    <t>Getting to the roots of aeroponic indoor farming</t>
  </si>
  <si>
    <t>NEW PHYTOLOGIST</t>
  </si>
  <si>
    <t>Vertical farming is a type of indoor agriculture where plants are cultivated in stacked systems. It forms a rapidly growing sector with new emerging technologies. Indoor farms often use soil-free techniques such as hydroponics and aeroponics. Aeroponics involves the application to roots of a nutrient aerosol, which can lead to greater plant productivity than hydroponic cultivation. Aeroponics is thought to resolve a variety of plant physiological constraints that occur within hydroponic systems. We synthesize existing studies of the physiology and development of crops cultivated under aeroponic conditions and identify key knowledge gaps. We identify future research areas to accelerate the sustainable intensification of vertical farming using aeroponic systems.</t>
  </si>
  <si>
    <t>Broad, GM</t>
  </si>
  <si>
    <t>Broad, Garrett M.</t>
  </si>
  <si>
    <t>Know Your Indoor Farmer: Square Roots, Techno-Local Food, and Transparency as Publicity</t>
  </si>
  <si>
    <t>AMERICAN BEHAVIORAL SCIENTIST</t>
  </si>
  <si>
    <t>Advocates of indoor vertical farming have pitched the enterprise as key to the future of food, an opportunity to use technological innovation to increase local food production, bolster urban sustainability, and create a world in which there is real food for everyone. At the same time, critics have raised concerns about the costs, energy usage, social impacts, and overall agricultural viability of these efforts, with some insisting that existing low-tech and community-based solutions of the good food movement offer a better path forward. Drawing from a mix of participant observation and other qualitative methods, this article examines the work of Square Roots, a Brooklyn-based indoor vertical farming company cofounded by entrepreneur Kimbal Musk and technology CEO Tobias Peggs. In an effort to create a market for what I refer to as techno-local food, Square Roots pitches its products as simultaneously real and technologically optimized. As a way to build trust in these novel products and better connect consumers with producers, Square Roots leans on transparency as a publicity tool. The company's Transparency Timeline, for instance, uses photos and a narrative account of a product's life-cycle to tell its story from seed-to-store, allowing potential customers to know their farmer. The information Square Roots shares, however, offers a narrow peek into its operations, limiting the view of operational dynamics that could help determine whether the company is actually living up to its promise. The research provides a clear case study of an organization using transparency-publicity as market strategy, illustrating the positive possibilities that such an approach can bring to consumer engagement, while also demonstrating how the tactic can distract from a company's stated social responsibility goals.</t>
  </si>
  <si>
    <t>Yu, WJ; Korner, O; Schmidt, U</t>
  </si>
  <si>
    <t>Yu, Wenjuan; Koerner, Oliver; Schmidt, Uwe</t>
  </si>
  <si>
    <t>Crop Photosynthetic Performance Monitoring Based on a Combined System of Measured and Modelled Chloroplast Electron Transport Rate in Greenhouse Tomato</t>
  </si>
  <si>
    <t>Combining information of plant physiological processes with climate control systems can improve control accuracy in controlled environments as greenhouses and plant factories. Through that, resource optimization can be achieved. To predict the plant physiological processes and implement them in control actions of interest, a reliable monitoring system and a capable control system are needed. In this paper, we focused on the option to use real-time crop monitoring for precision climate control in greenhouses. For that, we studied the processes and external factors influencing leaf net CO(2)assimilation rate (A(L), mu mol CO(2)m(-2)s(-1)) as possible variables of a plant performance indicator. While measured greenhouse environmental variables such as light, temperature, or humidity showed a direct relation betweenA(L)and light-quantum yield of photosystem II (phi(2)), we defined three objectives: (1) to explore the relationship between climate variables andA(L), as well as phi(2); (2) create a simple and reliable method for real-time prediction ofA(L)with continuously phi(2)measurements; and (3) calibrate parameters to predict chloroplast electron transport rate as input inA(L)modelling. Due to practical obstacles in measuring CO(2)gas-exchange in commercial production, we explored a method to predictA(L)by measuring phi(2)of leaves in a commercial hydroponic greenhouse tomato crop (Pureza). We calculatedA(L)with two different approaches based on either the negative exponential response model with simplified biochemical equations (marked as Model I) or the non-rectangular hyperbola full biochemical photosynthetic models (marked as Model II). Using Model I can only be used to predictA(L)with large uncertainty (R(2)0.64; RMSE 2.21), while using phi(2)as input to Model II could be used to improve the prediction accuracy ofA(L)(R(2)0.71; RMSE 1.98). Our results suggests that (1) phi(2)light signals can be used to predict net photosynthesis rate with high accuracy; (2) a parameterized photosynthetic electron transport rate model is suitable predicting measured electron transport rate (J) andA(L). The system can be used as decision support system (DSS) for plant and crop performance monitoring when leaf-dynamics are up-scaled to the plant or crop level.</t>
  </si>
  <si>
    <t>Lefers, RM; Tester, M; Lauersen, KJ</t>
  </si>
  <si>
    <t>Lefers, Ryan M.; Tester, Mark; Lauersen, Kyle J.</t>
  </si>
  <si>
    <t>Emerging Technologies to Enable Sustainable Controlled Environment Agriculture in the Extreme Environments of Middle East-North Africa Coastal Regions</t>
  </si>
  <si>
    <t>Despite global shifts in attitudes toward sustainability and increasing awareness of human impact on the environment, projected population growth and climate change require technological adaptations to ensure food and resource security at a global scale. Although desert areas have long been proposed as ideal sites for solar electricity generation, only recently have efforts shifted toward development of specialized and regionally focused agriculture in these extreme environments. In coastal regions of the Middle East and North Africa (MENA), the most abundant resources are consistent intense sunlight and saline sea water. MENA coastal regions hold incredible untapped potential for agriculture driven by the combination of key emerging technologies in future greenhouse concepts: transparent infrared collecting solar panels and low energy salt water cooling. These technologies can be combined to create greenhouses that drive regionally relevant agriculture in this extreme environment, especially when the target crops are salt-tolerant plants and algal biomass. Future controlled environment agriculture concepts will not compete for municipal fresh water and can be readily integrated into local human/livestock/fisheries food chains. With strategic technological implementation, marginal lands in these environments could participate in production of biomass, sustainable energy generation, and the circular carbon economy. The goal of this perspective is to reframe the idea of these environments as extreme, to having incredible untapped development potential.</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</si>
  <si>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</si>
  <si>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</si>
  <si>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</si>
  <si>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</si>
  <si>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</si>
  <si>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</si>
  <si>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</si>
  <si>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</si>
  <si>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</si>
  <si>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</si>
  <si>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</si>
  <si>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</si>
  <si>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</si>
  <si>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</si>
  <si>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</si>
  <si>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</si>
  <si>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</si>
  <si>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Zhao, T; Nakano, A; Iwaski, Y; Umeda, H</t>
  </si>
  <si>
    <t>Zhao, Tiejun; Nakano, Akimasa; Iwaski, Yasunaga; Umeda, Hiroki</t>
  </si>
  <si>
    <t>Application of Hyperspectral Imaging for Assessment of Tomato Leaf Water Status in Plant Factories</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</si>
  <si>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</si>
  <si>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</si>
  <si>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</si>
  <si>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FOOD SECURITY</t>
  </si>
  <si>
    <t>Amitrano, C; Chirico, GB; De Pascale, S; Rouphael, Y; De Micco, V</t>
  </si>
  <si>
    <t>Amitrano, Chiara; Chirico, Giovanni Battista; De Pascale, Stefania; Rouphael, Youssef; De Micco, Veronica</t>
  </si>
  <si>
    <t>Crop Management in Controlled Environment Agriculture (CEA) Systems Using Predictive Mathematical Models</t>
  </si>
  <si>
    <t>Proximal sensors in controlled environment agriculture (CEA) are used to monitor plant growth, yield, and water consumption with non-destructive technologies. Rapid and continuous monitoring of environmental and crop parameters may be used to develop mathematical models to predict crop response to microclimatic changes. Here, we applied the energy cascade model (MEC) on green- and red-leaf butterhead lettuce (Lactuca sativa L. var. capitata). We tooled up the model to describe the changing leaf functional efficiency during the growing period. We validated the model on an independent dataset with two different vapor pressure deficit (VPD) levels, corresponding to nominal (low VPD) and off-nominal (high VPD) conditions. Under low VPD, the modified model accurately predicted the transpiration rate (RMSE = 0.10 Lm(-2)), edible biomass (RMSE = 6.87 g m(-2)), net-photosynthesis (rBIAS = 34%), and stomatal conductance (rBIAS = 39%). Under high VPD, the model overestimated photosynthesis and stomatal conductance (rBIAS = 76-68%). This inconsistency is likely due to the empirical nature of the original model, which was designed for nominal conditions. Here, applications of the modified model are discussed, and possible improvements are suggested based on plant morpho-physiological changes occurring in sub-optimal scenarios.</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</si>
  <si>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</si>
  <si>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</si>
  <si>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</si>
  <si>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</si>
  <si>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Lu, N; Song, CR; Kuronuma, T; Ikei, H; Miyazaki, Y; Takagaki, M</t>
  </si>
  <si>
    <t>Lu, Na; Song, Chorong; Kuronuma, Takanori; Ikei, Harumi; Miyazaki, Yoshifumi; Takagaki, Michiko</t>
  </si>
  <si>
    <t>The Possibility of Sustainable Urban Horticulture Based on Nature Therapy</t>
  </si>
  <si>
    <t>Population growth and increased stress caused by urbanization have led to social problems that are predicted to intensify in the future. In these conditions, the recently established nature therapy has revealed that an environment rich in various plant life significantly contributes to the relief of physical and mental stress. Meanwhile, from the perspective of reduction in the energy required for transportation and the retention of plant freshness, urban horticulture, in which plant life exists harmoniously with the city, has attracted considerable attention. Interactions between humans and plants in urban horticulture are considered to contribute to the good health and wellbeing of people. Therefore, we incorporate human-centered thinking based on nature therapy into horticultural produce-centered thinking based on conventional urban horticulture. By introducing a pioneering urban horticulture plant factory as an example, we propose the possibility of sustainable urban horticulture based on nature therapy.</t>
  </si>
  <si>
    <t>Pulighe, G; Lupia, F</t>
  </si>
  <si>
    <t>Pulighe, Giuseppe; Lupia, Flavio</t>
  </si>
  <si>
    <t>Food First: COVID-19 Outbreak and Cities Lockdown a Booster for a Wider Vision on Urban Agriculture</t>
  </si>
  <si>
    <t>The COVID-19 emergency has revealed the extreme fragility of large cities to unexpected complex global risks and crises. City lockdown has led to increasing awareness of the vital importance of food availability for citizens. The combined effect of border closure and movement restrictions increased food losses and export costs, especially for vegetables and perishable goods exposing non-self-sufficient countries. We claim the idea that urban agriculture in developed countries should be fostered with emerging growing practices and edible green infrastructures, such as vertical farming, hydroponics, aeroponic, aquaponic, and rooftop greenhouses. Notwithstanding the limitations of traditional urban farming activities, innovative and disruptive solutions and short food supply chains of fresh agricultural products might play a positive role in lessening uncertainties from global systemic risks.</t>
  </si>
  <si>
    <t>Santiteerakul, S; Sopadang, A; Tippayawong, KY; Tamvimol, K</t>
  </si>
  <si>
    <t>Santiteerakul, Salinee; Sopadang, Apichat; Tippayawong, Korrakot Yaibuathet; Tamvimol, Krisana</t>
  </si>
  <si>
    <t>The Role of Smart Technology in Sustainable Agriculture: A Case Study of Wangree Plant Factory</t>
  </si>
  <si>
    <t>Sustainable development is of growing importance to the agriculture sector because the current lacking utilization of resources and energy usage, together with the pollution generated from toxic chemicals, cannot continue at present rates. Sustainability in agriculture can be achieved through using less (or no) poisonous chemicals, saving natural resources, and reducing greenhouse gas emissions. Technology applications could help farmers to use proper data in decision-making, which leads to low-input agriculture. This work focuses on the role of smart technology implementation in sustainable agriculture. The effects of smart technology implementation are analyzed by using a case study approach. The results show that the plant factory using intelligence technology enhances sustainability performance by increasing production productivity, product quality, crop per year, resource use efficiency, and food safety, as well as improving employees' quality of life.</t>
  </si>
  <si>
    <t>Walters, KJ; Behe, BK; Currey, CJ; Lopez, RG</t>
  </si>
  <si>
    <t>Walters, Kellie J.; Behe, Bridget K.; Currey, Christopher J.; Lopez, Roberto G.</t>
  </si>
  <si>
    <t>Historical, Current, and Future Perspectives for Controlled Environment Hydroponic Food Crop Production in the United States</t>
  </si>
  <si>
    <t>Controlled environment (CE) food crop production has existed in the United States for many years, but recent improvements in technology and increasing production warranted a closer examination of the industry. Therefore, our objectives were to characterize historical trends in CE production, understand the current state of the U.S. hydroponics industry, and use historical and current trends to inform future perspectives. In the 1800s, CE food production emerged and increased in popularity until 1929. After 1929, when adjusted for inflation (AFI), CE food production stagnated and decreased until 1988. From 1988 to 2014, the wholesale value of CE food production increased from $64.2 million to $796.7 million AFI. With the recent increase in demand for locally grown food spurring an increase in CE production, both growers and researchers have been interested in using hydroponic CE technologies to improve production and quality. Therefore, we surveyed U.S. hydroponic food crop producers to identify current hydroponic production technology adoption and potential areas for research needs. Producers cited a wide range of technology utilization; more than half employed solely hydroponic production techniques, 56% monitored light intensity, and more than 80% monitored air temperature and nutrient solution pH and electrical conductivity. Additionally, the growing environments varied from greenhouses (64%), indoors in multilayer (31%) or single-layer (7%) facilities, to hoop houses or high tunnels (29%). Overall, producers reported managing the growing environment to improve crop flavor and the development of production strategies as the most beneficial research areas, with 90% stating their customers would pay more for crops with increased flavor. Lastly, taking historical data and current practices into account, perspectives on future hydroponic CE production are discussed. These include the importance of research on multiple environmental parameters instead of single parameters in isolation and the emphasis on not only increasing productivity but improving crop quality including flavor, sensory attributes, and postharvest longevity.</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</si>
  <si>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</si>
  <si>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</si>
  <si>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</si>
  <si>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</si>
  <si>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Xydis, GA; Liaros, S; Avgoustaki, DD</t>
  </si>
  <si>
    <t>Xydis, George A.; Liaros, Stelios; Avgoustaki, Dafni-Despoina</t>
  </si>
  <si>
    <t>Small scale Plant Factories with Artificial Lighting and wind energy microgeneration: A multiple revenue stream approach</t>
  </si>
  <si>
    <t>New, more innovative, better-focused and cost effective ways need to be developed in order to ascertain the sustainability of the global food system. This work introduced the research problem as if small scale urban Plant Factories with Automated Lighting (ssPFAL) are a viable investment option in order to promote food supply security in the ever expanding distributed energy generation environment. It is examined if and how wind energy microgeneration (small scale wind turbines) could grow hand-inhand with small-scale hydroponic systems providing an alternative income stream for the wind business owners and at the same time increase urban based vegetables production. The small scale wind industry could be developed further within cities if they operate as unified systems with ssPFAL. Tomato, basil, and lettuce were examined and it was proven that the latter were much more profitable under all scenarios. Tomato's Internal Rate of Return (IRR) was at all cases between 2.5 and 11.3%, while for basil and lettuce could even surpass 100%. The methodology governing the research process in order for an answer to be given to the research problem, will be presented in accordance to the energy, demand response, and energy demand in the rural and suburban environment. (C) 2020 Elsevier Ltd. All rights reserved.</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</si>
  <si>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</si>
  <si>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</si>
  <si>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</si>
  <si>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</si>
  <si>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</si>
  <si>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</si>
  <si>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</si>
  <si>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</si>
  <si>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Roberts, JM; Bruce, TJA; Monaghan, JM; Pope, TW; Leather, SR; Beacham, AM</t>
  </si>
  <si>
    <t>Roberts, Joe M.; Bruce, Toby J. A.; Monaghan, James M.; Pope, Tom W.; Leather, Simon R.; Beacham, Andrew M.</t>
  </si>
  <si>
    <t>Vertical farming systems bring new considerations for pest and disease management</t>
  </si>
  <si>
    <t>ANNALS OF APPLIED BIOLOGY</t>
  </si>
  <si>
    <t>Vertical farming is an emerging area of food production that aims to provide sustainable intensification of agriculture by maximising the obtainable yield per unit area of land. This approach commonly utilises stacked horizontal levels of crop growth in glasshouse or controlled environment (CE) facilities. Vertical farming has, however, received relatively little scientific investigation to date. Consequently, important factors such as economic feasibility, system design and optimisation of production methods are still being evaluated. Vertical farming methods bring additional considerations for the effective management of pests and diseases compared with conventional protected horticulture, such as movement of both pest and beneficial insects between growth levels. This article aims to provide a perspective on the positive and negative issues facing pest and disease control in Vertical farming systems. We highlight important considerations for system optimisation and areas for future investigation.</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</si>
  <si>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</si>
  <si>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</si>
  <si>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</si>
  <si>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</si>
  <si>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Yalcin, RA; Erturk, H</t>
  </si>
  <si>
    <t>Yalcin, Refet A.; Erturk, Hakan</t>
  </si>
  <si>
    <t>Improving crop production in solar illuminated vertical farms using fluorescence coatings</t>
  </si>
  <si>
    <t>A solar illumination design with fluorescent coatings to change in crop growth in vertical farms was investigated using simulations based on numerical analysis. The fluorescent reflectors were used as part of the lighting system to improve the irradiation for photosynthesis over the shelves. The reflectors were based on optical glass (BK7) embedded with fluorescent pigments (K2SiF6:Mn4+) and were used in the light distribution system to increase crop production by improving spatial light distribution and altering the solar spectrum. The optimum number of shelves was identified for three different latitudes, considering a fixed size of solar collector. It was estimated that introducing fluorescent reflectors to the system could lead to an increase in crop production exceeding 35%. (C) 2020 IAgrE. Published by Elsevier Ltd. All rights reserved.</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</si>
  <si>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</si>
  <si>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</si>
  <si>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</si>
  <si>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</si>
  <si>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</si>
  <si>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</si>
  <si>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</si>
  <si>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</si>
  <si>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Plant factories in the water-food-energy Nexus era: a systematic bibliographical review</t>
  </si>
  <si>
    <t>In recent years, several global issues related to food waste, increasing CO2 emissions, water pollution, over-fertilization, deforestation, loss of arable land, food security, and energy storage have emerged. Climate change urgently needs to be addressed from an ecological and social perspective. Implementing new indoor urban vertical farming (IUVF) operations is one way to combat the above-mentioned issues as well as foodborne illnesses, scarcity of drinking water, and more crop failure due to infection from plant pathogens and insect pests. A promising production mode is plant factories (PFs), which are indoor plant production systems completely isolated from outside environment. This paper mainly focuses on the comprehensive review of scientific papers in order to analyse the different applications of urban farming (UF) based on three different dimensions: a) the manufacturing techniques and equipment used; b) the energy that these systems require, the distribution of energy, and ways to minimize the energy-related cost; and c) the technological innovations applied in order to optimize the cultivation possibilities of IUVF.</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</si>
  <si>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</si>
  <si>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</si>
  <si>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</si>
  <si>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</si>
  <si>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Chen, WB; Zhang, XJ; Zhou, JX; Zhang, HR; Zhuang, JL; Xia, ZG; Liu, YL; Molokeev, MS; Xie, GN; Lei, BF</t>
  </si>
  <si>
    <t>Chen, Weibin; Zhang, Xuejie; Zhou, Jianxian; Zhang, Haoran; Zhuang, Jianle; Xia, Zhiguo; Liu, Yingliang; Molokeev, Maxim S.; Xie, Gening; Lei, Bingfu</t>
  </si>
  <si>
    <t>Glass-ceramics with thermally stable blue-red emission for high-power horticultural LED applications</t>
  </si>
  <si>
    <t>JOURNAL OF MATERIALS CHEMISTRY C</t>
  </si>
  <si>
    <t>As one of the key elements of indoor agriculture, horticultural light sources are developing rapidly towards requiring high energy density, high output power and high stability, which poses a challenge for traditional phosphor conversion devices. To address this, an all-inorganic blue-red dual-emitting light convertor consisting of Ba1.3Sr1.7MgSi2O8:Eu2+,Mn2+ (BSMS) phosphor-in-glass (PiG) plates was prepared to improve the duration lifetime of converted high-power light-emitting diodes (LEDs) and meet the light quality requirements of photosynthesis for indoor agriculture. The obtained samples show an external quantum efficiency of 45.3%, outstanding thermal stability and a specific emission spectrum that highly matches the absorption of chlorophyll and beta-carotene. Moreover, a proof-of-concept BSMS-PiG horticultural lamp for application in an indoor plant factory was successfully fabricated based on a similar to 370 nm emitting LED chip. The blue-red ratio of its spectrum could be regulated by controlling the thickness of BSMS-PiG and the concentrations of Mn2+ ions within BSMS-PiG. The BSMS-PiG horticultural LEDs were applied to the indoor cultivation of Romaine lettuce. The results indicated that the biomass of Romaine lettuce was 58.21% greater than that of control lettuce samples cultivated under commercial plant lamps. In particular, the content values of total chlorophyll, beta-carotene and soluble protein were improved. The BSMS-PiG horticultural LED is a potential candidate to act as a high-power horticultural light source.</t>
  </si>
  <si>
    <t>Graamans, L; Tenpierik, M; van den Dobbelsteen, A; Stanghellini, C</t>
  </si>
  <si>
    <t>Graamans, Luuk; Tenpierik, Martin; van den Dobbelsteen, Andy; Stanghellini, Cecilia</t>
  </si>
  <si>
    <t>Plant factories: Reducing energy demand at high internal heat loads through facade design</t>
  </si>
  <si>
    <t>The increase in global food demand has led to the introduction of new food production systems. One key example is the plant factory. Plant factories face the same challenge as many high-tech building functions: high energy demands resulting from high internal heat loads. In this study we investigate how this energy demand can be reduced through facade design. Energy efficient design closely follows function, facade construction and local climate. Therefore, we analysed the effects of facade properties on the energy use in plant factories for three disparate climate zones: Sweden (Dfc), the Netherlands (Cfb) and the United Arab Emirates (BWh). We coupled the building energy simulation program EnergyPlus with a crop transpiration model to calculate the lighting, sensible cooling, latent cooling, and heating demand from the energy balance. In terms of energy demand (kWh m(-2)), opaque facades with high U-values and optimised albedo can reduce the facilities' cooling demand by 18.8%, 30.0% and 30.4%, and their energy demand by 6.1%, 12.5% and 9.5%, for the United Arab Emirates, the Netherlands and Sweden, respectively. In terms of electricity use (kWhe m(-2)), transparent facades are more efficient, as they allow the use of freely available solar energy instead of artificial light. These facades can reduce electricity use by 9.4%, 7.6% and 7.4%, for the United Arab Emirates, the Netherlands and Sweden, respectively. The presented facade design strategies can significantly reduce energy demand in plant factories. The investigation provides a foundation for the energy efficient design of high-tech buildings, tailored to local climate.</t>
  </si>
  <si>
    <t>Indoor Vertical Farming in the Urban Nexus Context: Business Growth and Resource Savings</t>
  </si>
  <si>
    <t>In recent years, a new urban environment in the large metropolitan areas, the so-called megacities, has emerged. It is estimated that more than five billion people will be located in urban areas by 2030. Many projects have been initiated in the megacities to support the new ecosystem services in providing the most sustainable and efficient food supply solutions, as well as for transporting fresh and clean vegetables. One of the most important focus areas is research on energy sustainability, including how to optimize energy efficiency to meet the needs of citizens and companies. Indoor urban vertical farming (IUVF) is one of the greatest achievements of our time in agriculture, as it is entirely focused on meeting the food needs of people living in urban areas with the lowest environmental and energy costs. IUVF creates a new foundation in the urban food production system, providing opportunities for many other sustainable activities, such as energy and grey water recycling, but beyond all, it helps citizens to have access in fresh and nutritious fruits and vegetables and to become more creative building up their skills regarding sustainable food production. In this study, the internal rate of return (IRR) and the net present value (NPV) indexes were used to compare IUVF and greenhouse (GH) facilities under various financing schemes. Consistent with similar studies, this research also confirms that IUVF is much more profitable for investors, saving significant resources compared to GHs.</t>
  </si>
  <si>
    <t>Klerkx, L; Rose, D</t>
  </si>
  <si>
    <t>Klerkx, Laurens; Rose, David</t>
  </si>
  <si>
    <t>Dealing with the game-changing technologies of Agriculture 4.0: How do we manage diversity and responsibility in food system transition pathways?</t>
  </si>
  <si>
    <t>GLOBAL FOOD SECURITY-AGRICULTURE POLICY ECONOMICS AND ENVIRONMENT</t>
  </si>
  <si>
    <t>Agriculture 4.0 is comprised of different already operational or developing technologies such as robotics, nanotechnology, synthetic protein, cellular agriculture, gene editing technology, artificial intelligence, blockchain, and machine learning, which may have pervasive effects on future agriculture and food systems and major transformative potential. These technologies underpin concepts such as vertical farming and food systems, digital agriculture, bioeconomy, circular agriculture, and aquaponics. In this perspective paper, we argue that more attention is needed for the inclusion and exclusion effects of Agriculture 4.0 technologies, and for reflection on how they relate to diverse transition pathways towards sustainable agricultural and food systems driven by mission-oriented innovation systems. This would require processes of responsible innovation, anticipating the potential impacts of Agriculture 4.0 through inclusive processes, and reflecting on and being responsive to emerging effects and where needed adjusting the direction and course of transition pathways.</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</si>
  <si>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</si>
  <si>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</si>
  <si>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</si>
  <si>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</si>
  <si>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</si>
  <si>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</si>
  <si>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</si>
  <si>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</si>
  <si>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</si>
  <si>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</si>
  <si>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</si>
  <si>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</si>
  <si>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</si>
  <si>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</si>
  <si>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</si>
  <si>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</si>
  <si>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</si>
  <si>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</si>
  <si>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</si>
  <si>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</si>
  <si>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</si>
  <si>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</si>
  <si>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</si>
  <si>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</si>
  <si>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</si>
  <si>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</si>
  <si>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</si>
  <si>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</si>
  <si>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</si>
  <si>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</si>
  <si>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</si>
  <si>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</si>
  <si>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</si>
  <si>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</si>
  <si>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</si>
  <si>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</si>
  <si>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</si>
  <si>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</si>
  <si>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</si>
  <si>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Kalantari, F; Nochian, A; Darkhani, F; Asif, N</t>
  </si>
  <si>
    <t>Kalantari, Fatemeh; Nochian, Ashkan; Darkhani, Faiza; Asif, Nayeem</t>
  </si>
  <si>
    <t>The Significance of Vertical Farming Concept in ensuring Food Security for High-Density Urban Areas</t>
  </si>
  <si>
    <t>JURNAL KEJURUTERAAN</t>
  </si>
  <si>
    <t>Cities are increasingly turning into megacities due to their enlarged and intense population. There has been a global attempt by designers to spread the view that cities can be potential areas for producing loads of food required by communities and fitted for specific ecologies. A similar trend has been spread to developing countries where it is essential to provide food for local consumption, and serious attempts are made to distribute food materials to protect particular urban communities. Therefore, recent attempts of food security have aimed not only to guarantee availability but also the provision of sustainable, locally-fitted and food production that is not industrialized to sustain the potential for production. The solution seems to be Vertical Farming (VF). Producing food can be brought into cities through VF and this significant step, if taken, can make life in cities more viable. The present research aims to review the VF plays in the future of food production in high-density cities. The present research reviews the body of related literature, both online and printed publications on the issue. VF is a turning point of the millennium in urban designing but not limited to that. It further presents a new type of architecture as both a local and global remedy for the 21st crisis.</t>
  </si>
  <si>
    <t>Asaduzzaman, M; Asao, T</t>
  </si>
  <si>
    <t>Asaduzzaman, Md; Asao, Toshiki</t>
  </si>
  <si>
    <t>Autotoxicity in Strawberry Under Recycled Hydroponics and Its Mitigation Methods</t>
  </si>
  <si>
    <t>Strawberry plants are grown in hydroponics for higher quality and yield, as this system excludes soil-borne disease issues. Recycled hydroponics is practiced to make cultivation cost-effective, sustainable, and environmentally friendly. However, due to recycling of hydroponic nutrient solution, plant root exudates accumulate, leading to autotoxicity, a form of allelopathy that inhibits growth and development. In recent decades, commercial cultivation of strawberry under greenhouse and plant factory conditions following recycled hydroponics has been widely adopted globally. Subsequently, yield decline has also been reported due to development of autotoxicity from the accumulated root exudates. In recycled hydroponic systems, strawberry plant growth is inhibited by root exudates that contain mainly phenolic acids in the culture solution. In this regard, elimination of these accumulated root exudates or allelochemicals from the culture solution would restore inhibited plant growth and yield. A number of research studies have been conducted on autotoxicity in strawberry and possible mitigation methods. These studies suggested that addition of activated charcoal in the nutrient solution, supplementation of auxin on leaves, electro-degradation of root exudates in nutrient solution, and supplementation of amino acids and/or LEDs can effectively remove/degrade/mitigate autotoxicity in strawberry grown under recycling hydroponics. This review mainly discusses the autotoxicity phenomenon in strawberry under recycled hydroponics, the responsible allelochemicals and their mechanism of action, mitigation methods and future research endeavors in this field.</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</si>
  <si>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</si>
  <si>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</si>
  <si>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</si>
  <si>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</si>
  <si>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Iddio, E; Wang, L; Thomas, Y; McMorrow, G; Denzer, A</t>
  </si>
  <si>
    <t>Iddio, E.; Wang, L.; Thomas, Y.; McMorrow, G.; Denzer, A.</t>
  </si>
  <si>
    <t>Energy efficient operation and modeling for greenhouses: A literature review</t>
  </si>
  <si>
    <t>With growing food demand worldwide, controlled environment agriculture is an important strategy for crop production year-round. One of the important types of controlled environment agriculture is greenhouses. Key indoor environmental parameters such as carbon dioxide, moisture, lighting, and temperature are required to be maintained for favorable crop growth in greenhouses. Due to lightweight construction and inefficient operation, greenhouses consume more fossil fuel energy in the operation of mechanical systems than other similar sized buildings and have larger carbon footprints. In fact, greenhouses are one of the most energy-intensive sectors of the agricultural industry. Energy consumption in greenhouses is influenced by mechanical systems, indoor environment, crop growth, and evapotranspiration. Therefore, energy simulations help analyze the complex thermal processes in greenhouse operation, and contribute to energy efficient greenhouse operation. This paper reviews existing strategies on energy efficient control operation and state-of-the-art energy simulation for greenhouses. It first discusses strategies for improving energy efficiency in greenhouse control operation by summarizing the studies on energy efficient operation strategies, the control of key greenhouse parameters, sensing network and monitoring systems, along with various control algorithms. Second, the review covers energy modeling of greenhouses by summarizing existing and developed approaches. Finally, this review identifies areas in which future research has the potential to reduce greenhouse energy consumption and carbon footprint.</t>
  </si>
  <si>
    <t>Jans-Singh, M; Leeming, K; Choudhary, R; Girolami, M</t>
  </si>
  <si>
    <t>Jans-Singh, Melanie; Leeming, Kathryn; Choudhary, Ruchi; Girolami, Mark</t>
  </si>
  <si>
    <t>Digital twin of an urban-integrated hydroponic farm</t>
  </si>
  <si>
    <t>DATA-CENTRIC ENGINEERING</t>
  </si>
  <si>
    <t>This paper presents the development process of a digital twin of a unique hydroponic underground farm in London, Growing Underground (GU). Growing 12x more per unit area than traditional greenhouse farming in the UK, the farm also consumes 4x more energy per unit area. Key to the ongoing operational success of this farm and similar enterprises is finding ways to minimize the energy use while maximizing crop growth by maintaining optimal growing conditions. As such, it belongs to the class of Controlled Environment Agriculture, where indoor environments are carefully controlled to maximize crop growth by using artificial lighting and smart heating, ventilation, and air conditioning systems. We tracked changing environmental conditions and crop growth across 89 different variables, through a wireless sensor network and unstructured manual records, and combined all the data into a database. We show how the digital twin can provide enhanced outputs for a bespoke site like GU, by creating inferred data fields, and show the limitations of data collection in a commercial environment. For example, we find that lighting is the dominant environmental factor for temperature and thus crop growth in this farm, and that the effects of external temperature and ventilation are confounded. We combine information learned from historical data interpretation to create a bespoke temperature forecasting model (root mean squared error &lt; 1.3 degrees C), using a dynamic linear model with a data-centric lighting component. Finally, we present how the forecasting model can be integrated into the digital twin to provide feedback to the farmers for decision-making assistance.</t>
  </si>
  <si>
    <t>Li, C; Adhikari, R; Yao, Y; Miller, AG; Kalbaugh, K; Li, DL; Nemali, K</t>
  </si>
  <si>
    <t>Li, Cheng; Adhikari, Ranjeeta; Yao, Yuan; Miller, Alexander G.; Kalbaugh, Kirby; Li, Daoliang; Nemali, Krishna</t>
  </si>
  <si>
    <t>Measuring plant growth characteristics using smartphone based image analysis technique in controlled environment agriculture</t>
  </si>
  <si>
    <t>High plant number per unit area makes it challenging to monitor plant growth in controlled environment agriculture (CEA) systems. Our objective was to develop and validate image analysis technique that uses a smartphone connected to local desktop computer for non-destructive measurement of growth characteristics of several species commonly grown in CEA. Using mobile apps, an iPhone-6 was remotely connected to a local computer containing image-processing software (MATLAB) and script. Smartphone was used to capture images of plants belonging to several species including basil, leaf lettuce, tomato, and zinnia. The images were moved to a folder on cloud storage and remotely processed on a local computer to derive estimated leaf area (LA(estimated)) of plants. Regression analysis indicated a near perfect linear relation between measured leaf area (LA(estimated)) and LA(estimated) (r(2) = 0.98) and shoot dry weight (SDW) and LA(estimated) (r(2) = 0.94) when data were pooled from all species. No significant differences were observed when relative growth rate (RGR) was measured using either SDW or LA(estimated) values. Further, results indicated that real-time and non-invasive LA(estimated) measurements can be used to track plant growth differences over time. This method was able to identify plant growth differences more accurately than visual assessments on plants. Our findings indicate that LA(estimated) can be used for accurate and non-invasive measurement of growth characteristics of plants in academic research. The technique can also aid in maximizing productivity, minimizing resource wastage and harvesting crops timely in commercial production.</t>
  </si>
  <si>
    <t>Moon, KB; Park, JS; Park, YI; Song, IJ; Lee, HJ; Cho, HS; Jeon, JH; Kim, HS</t>
  </si>
  <si>
    <t>Moon, Ki-Beom; Park, Ji-Sun; Park, Youn-Il; Song, In-Ja; Lee, Hyo-Jun; Cho, Hye Sun; Jeon, Jae-Heung; Kim, Hyun-Soon</t>
  </si>
  <si>
    <t>Development of Systems for the Production of Plant-Derived Biopharmaceuticals</t>
  </si>
  <si>
    <t>Over the last several decades, plants have been developed as a platform for the production of useful recombinant proteins due to a number of advantages, including rapid production and scalability, the ability to produce unique glycoforms, and the intrinsic safety of food crops. The expression methods used to produce target proteins are divided into stable and transient systems depending on applications that use whole plants or minimally processed forms. In the early stages of research, stable expression systems were mostly used; however, in recent years, transient expression systems have been preferred. The production of the plant itself, which produces recombinant proteins, is currently divided into two major approaches, open-field cultivation and closed-indoor systems. The latter encompasses such regimes as greenhouses, vertical farming units, cell bioreactors, and hydroponic systems. Various aspects of each system will be discussed in this review, which focuses mainly on practical examples and commercially feasible approaches.</t>
  </si>
  <si>
    <t>Ng, EYK; Foo, CK</t>
  </si>
  <si>
    <t>Ng, E. Y. K.; Foo, C. K.</t>
  </si>
  <si>
    <t>STUDY OF SOLAR BASED VERTICAL FARMING SYSTEMS WITH RAY TRACED DAYLIGHTING ANALYSIS AND VISUALIZATIONS</t>
  </si>
  <si>
    <t>This article explores the use of raytracing software and heat load models to optimise the growing of crops vertically and by doing so, serves to increase the plausibility of urban Vertical Farms (VFs). Crop trays are modelled using a computer aided design (CAD) software and is then imported into a raytracing software TracePro-2019. Parameters obtained from the heat load and angle calculations would be used to start the simulation. Thereafter, solar irradiance obtained would be compared to different simulations with different design parameters. For this paper, the main design variable would be the tray width and tray inclination angle. After multiple simulations, it was found that trays at the bottom are less affected by varying angles of sunlight while trays at the top receive extreme variations. It was also noted that while the shaded area increases as tray inclination increases, the solar irradiance flux on each tray increases as opposed to decreasing. This new finding led to the conclusion that an increase in the angle of attack of the solar irradiance increased the occurrence of reflected and diffused irradiance. By just tilting the trays by 20, it allows more light to reach inwards, which would allow for a longer width of the trays. This in turn also increases the total yield of a tray in a limited space. This discovery can be utilised for the layout and arrangement for indoor VFs that relies on external solar irradiance for a light source and is proof that crop yield can be increased without adding extra energy consumption. Highlights Food engineering education in solar based VF system. Discuss challenges faced in modern land-scarce urban agriculture farms. TracePro 2019 for raytracing used in conjunction with ASHRAE sunlight modelling method. Tray width to height ratio is highly dependent on, to maximise crop yield while retaining amount of sunlight received for indoor vertical farming. Tilting of crop trays towards the sunlight is the most cost effective and energy saving way to maximise solar flux and space usage. External direct solar irradiance flux on crop trays decreases as tray inclination angles increases, but overall solar irradiance increases as steeper angles results in increased reflected solar irradiance. Capturing of reflected and diffused irradiance should be prioritised rather than maximising direct irradiance.</t>
  </si>
  <si>
    <t>Skar, SLG; Pineda-Martos, R; Timpe, A; Polling, B; Bohn, K; Kulvik, M; Delgado, C; Pedras, CMG; Paco, TA; Cujic, M; Tzortzakis, N; Chrysargyris, A; Peticila, A; Alencikiene, G; Monsees, H; Junge, R</t>
  </si>
  <si>
    <t>Skar, S. L. G.; Pineda-Martos, R.; Timpe, A.; Polling, B.; Bohn, K.; Kulvik, M.; Delgado, C.; Pedras, C. M. G.; Paco, T. A.; Cujic, M.; Tzortzakis, N.; Chrysargyris, A.; Peticila, A.; Alencikiene, G.; Monsees, H.; Junge, R.</t>
  </si>
  <si>
    <t>Urban agriculture as a keystone contribution towards securing sustainable and healthy development for cities in the future</t>
  </si>
  <si>
    <t>BLUE-GREEN SYSTEMS</t>
  </si>
  <si>
    <t>Research and practice during the last 20 years has shown that urban agriculture can contribute to minimising the effects of climate change by, at the same time, improving quality of life in urban areas. In order to do so most effectively, land use and spatial planning are crucial so as to obtain and maintain a supportive green infrastructure and to secure citizens' healthy living conditions. As people today trend more towards living in green and sustainable city centres that can offer fresh and locally produced food, cities become again places for growing food. The scope of urban agriculture thereby is to establish food production sites within the city's sphere; for example, through building-integrated agriculture including concepts such as aquaponics, indoor agriculture, vertical farming, rooftop production, edible walls, as well as through urban farms, edible landscapes, school gardens and community gardens. Embedded in changing urban food systems, the contribution of urban agriculture to creating sustainable and climate-friendly cities is pivotal as it has the capacity to integrate other resource streams such as water, waste and energy. This article describes some of the current aspects of the circular city debate where urban agriculture is pushing forward the development of material and resource cycling in cities.</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</si>
  <si>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</si>
  <si>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</si>
  <si>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</si>
  <si>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</si>
  <si>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</si>
  <si>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</si>
  <si>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</si>
  <si>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</si>
  <si>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</si>
  <si>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</si>
  <si>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</si>
  <si>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</si>
  <si>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</si>
  <si>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</si>
  <si>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</si>
  <si>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Yesil, V; Cakalogullari, U; Tatar, O</t>
  </si>
  <si>
    <t>Yesil, Volkan; Cakalogullari, Ugur; Tatar, Ozgur</t>
  </si>
  <si>
    <t>EFFECT OF LIGHT INTENSITY ON DRY MATTER ACCUMULATION OF BARLEY FODDER IN A VERTICAL FARMING GROWTH MODULE</t>
  </si>
  <si>
    <t>SCIENTIFIC PAPERS-SERIES A-AGRONOMY</t>
  </si>
  <si>
    <t>Considering the increase in forage requirement in livestock, lack of same quality products throughout the year. fertilizer and chemical costs, insufficient water resources and environmental restrictions caused by climate change; studies providing solutions for forage production are getting more attention. Vertical farming which is the method of growing crops in vertically stacked layers under controlled environment is one of the promising techniques to protect environmental resources. provide continuous and sustainable forage production. Effect of light intensity on dry matter accumulation and physiology of barley fodder in a vertical farming growth module was investigated in the present study. The experiment was consisted of eight micro chambers represented the growth modules of vertical farming system placed in fully controlled growth chamber. There were four different light intensity, two repetitions each of 40, 100, 160 and 220 mu mol/m(2).s. Plants were sampled every day during all experimental period (8 days). Leaf area and fresh/dry weight of root and leaves were determined Furthermore, chlorophyll a, chlorophyll b and carotenoid contents of leaves were analyzed Module based water use of each light treatments were calculated In line with the results, higher light intensity was found to affect the dry matter accumulation positively; since the physiological properties of barley fodder growing under 160 and 220 mu mol/m(2).s. light intensity are almost the same, it is recommended to use 160 mu mol/m(2).s. light intensity in terms of energy saving. Based on the data obtained from the present micro-level lab-scale study revealed that the effect of factors such as temperature, humidity, water use and seeding density should also be examined in order to provide the best growing conditions for the future studies.</t>
  </si>
  <si>
    <t>Yesil, V; Tatar, O</t>
  </si>
  <si>
    <t>Yesil, Volkan; Tatar, Ozgur</t>
  </si>
  <si>
    <t>AN INNOVATIVE APPROACH TO PRODUCE FORAGE CROPS: BARLEY FODDER IN VERTICAL FARMING SYSTEM</t>
  </si>
  <si>
    <t>The rapid growth of the world's population, limited natural resources and environmental challenges caused by climate change have had brought up global food security to the agenda. Scientific researches and new practices considering sustainable food production and efficient use of natural resources are getting more attention during last decades all around the world. Furthermore, advanced technological applications that enable new agricultural production systems such as vertical farm have been starting to emerge to provide a solution on this issue. Vertical farming which is the method of growing crops in vertically stacked layers under controlled environment is one of the promising techniques to protect environmental resources, provide continuous and sustainable plant production. Applications of vertical farming have already experienced in many countries such as Japan, Singapore, England, USA, Netherlands and the vertical agricultural market is expected to increase by 25% by 2024 to reach 11.4 billion Euro. Plant groups that are widely grown with vertical farming system are mostly; carrot, radish, potato, tomato, pepper, pea, cabbage, spinach, lettuce and strawberries. Although, cereal grain production in the vertical systems is not economically profitable today, considering remarkable increase in demands on forage crops, barley fodder production seems to have great potential for vertical farming systems. The benefits of the system such as less water use (about 90%), no herbicides, pesticides and fertilizer application relative to conventional production would be more pronounced for barley fodder in vertical system comparison to other conventional forage crops production systems. In this review, potential of barley fodder production in vertical farming system was discussed.</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</si>
  <si>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</si>
  <si>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</si>
  <si>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</si>
  <si>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</si>
  <si>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</si>
  <si>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</si>
  <si>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</si>
  <si>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</si>
  <si>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</si>
  <si>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</si>
  <si>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</si>
  <si>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</si>
  <si>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</si>
  <si>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</si>
  <si>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Martin, M; Poulikidou, S; Molin, E</t>
  </si>
  <si>
    <t>Martin, Michael; Poulikidou, Sofia; Molin, Elvira</t>
  </si>
  <si>
    <t>Exploring the Environmental Performance of Urban Symbiosis for Vertical Hydroponic Farming</t>
  </si>
  <si>
    <t>Vertical farming has emerged in urban areas as an approach to provide more resilient food production. However, a substantial share of the material requirements come from outside their urban environments. With urban environments producing a large share of residual and waste streams, extensive potential exists to employ these material and energy streams as inputs in urban farming systems to promote more circular economy approaches. The aim of this article is to assess the environmental performance of employing residual material flows for vertical hydroponic farming in urban environments in order to support more circular, resilient, and sustainable urban food supply. Life cycle assessment (LCA) is used to assess replacing conventional growing media and fertilizers with urban residual streams. Paper, compost, and brewers' spent grains were assessed for replacements to conventional gardening soil employed in the studied system. Biogas digestate was also assessed as a replacement for conventional fertilizers used in the recirculating water bath. The results suggest that large environmental performance benefits are illustrated when conventional growing media is replaced. Although not as significant, employing fertilizers from residual urban streams also leads to large potential benefits, suggesting the two residual streams have the potential for more circular hydroponic systems.</t>
  </si>
  <si>
    <t>Storck, JL; Bottjer, R; Vahle, D; Brockhagen, B; Grothe, T; Dietz, KJ; Rattenholl, A; Gudermann, F; Ehrmann, A</t>
  </si>
  <si>
    <t>Storck, Jan Lukas; Boettjer, Robin; Vahle, Dominik; Brockhagen, Bennet; Grothe, Timo; Dietz, Karl-Josef; Rattenholl, Anke; Gudermann, Frank; Ehrmann, Andrea</t>
  </si>
  <si>
    <t>Seed Germination and Seedling Growth on Knitted Fabrics as New Substrates for Hydroponic Systems</t>
  </si>
  <si>
    <t>Vertical farming is one of the suggested avenues for producing food for the growing world population. Concentrating the cultivation of crops such as herbs in large indoor farms makes food production susceptible to technical, biological or other problems that might destroy large amounts of food at once. Thus, there is a trend towards locally, self-sufficient food production in vertical systems on a small scale. Our study examined whether conventional knitted fabrics, such as patches of worn jackets, can be used for hydroponics instead of the specialized nonwoven materials used in large-scale indoor systems. To this end, seed germination and seedling growth of 14 different crop plant species on knitted fabrics with three different stitch sizes were compared. Our results showed that hydroponic culture on knitted fabrics are indeed possible and allow for growing a broad spectrum of plant species, suggesting recycling of old textile fabrics for this purpose. Among the 14 plant species studied, differences in germination success, average fresh and dry masses, as well as water contents were found, but these parameters were not affected by knitted fabric stitch size.</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</si>
  <si>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</si>
  <si>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</si>
  <si>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</si>
  <si>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</si>
  <si>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Urban Farming Is Going High Tech Digital Urban Agriculture's Links to Gentrification and Land Use</t>
  </si>
  <si>
    <t>JOURNAL OF THE AMERICAN PLANNING ASSOCIATION</t>
  </si>
  <si>
    <t>Problem, research strategy, and findings: How do traditional forms of urban agriculture and the newer digital urban agriculture converge and diverge from one another in terms of land use and gentrification? I interrogate the subject of digital urban agriculture with data from 82 semistructured interviews and notes taken during public forms and tours of facilities. Respondents were located in Denver (CO; n = 30), New York (NY; n = 26), and San Francisco (CA; n = 26) and held positions ranging from community organizers, investors, local food powerbrokers, and planners to engineers involved in facilitating urban foodways based on vertical farming, automation, and related technologies. I find digital platforms-systems exhibiting characteristics including real-time surveillance, artificial intelligence, and automation-share similarities with traditional urban farming systems. Both platforms have the potential to disrupt dominant political economies and also have links to gentrification and other inequitable land use patterns. Potential divergences include differences in a) social, cultural, economic, human, and built capital barriers and outcomes; b) land use life course; and c) zoning. Takeaway for practice: Digital urban farming systems inhabit a regulatory gray area; respondents encountered agricultural, industrial, or commercial zoning permits. The digital aspects of these systems contributed to this ambiguity and are used by powerbrokers to obtain further zoning permission than is possible with traditional urban agriculture. Compared with more traditional urban farming systems, digital urban agriculture taps into different forms of human capital. Finally, my findings are inconclusive on the issue of land use life course. Some data indicate digital farms will remain in urban cores, whereas other evidence points to the eventual migration of these platforms to the metropolitan periphery.</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</si>
  <si>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</si>
  <si>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</si>
  <si>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</si>
  <si>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</si>
  <si>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Hosseinifarhangi, M; Turvani, ME; van der Valk, A; Carsjens, GJ</t>
  </si>
  <si>
    <t>Hosseinifarhangi, Mohsen; Turvani, Margherita E.; van der Valk, Arnold; Carsjens, Gerrit J.</t>
  </si>
  <si>
    <t>Technology-Driven Transition in Urban Food Production Practices: A Case Study of Shanghai</t>
  </si>
  <si>
    <t>The continuing decline of arable land per person and global human population growth are raising concerns about food security. Recent advances in horticultural technology (i.e., growing using light-emitting diode (LED) lighting, hydroponics, vertical farming, and controlled environments) have changed the ways in which vegetables can be produced and supplied. The emerging technology makes it possible to produce more food using fewer resources, independent of the weather and the need for land. They allow bringing agricultural practices inside urban built up spaces and making horticultural production an integrated part of the daily life of urban residents. However, the process and consequences of this technology-driven transition on urban planning and development are hardly understood. This paper uses the theory of multi-level perspective (MLP) on sustainability transitions and actor-network theory (ANT) to explore this technology-driven transition and its adoption in urban planning and development. The high-tech horticulture zone development in Shanghai was used as a case study. The results show the importance of both social (i.e., policymakers and planners) and material (i.e., technologies and policy documents) actants in the transition of the sociotechnical regime. Furthermore, the transition toward sustainable urban horticulture practices requires the simultaneous preparation of supportive and compatible spatial development, agricultural and sustainable development policies, and adequate policy implementation and evaluation tools to increase the competitive strength of innovative practices.</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</si>
  <si>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</si>
  <si>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</si>
  <si>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</si>
  <si>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</si>
  <si>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</si>
  <si>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</si>
  <si>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</si>
  <si>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</si>
  <si>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Gnauer, C; Pichler, H; Tauber, M; Schmittner, C; Christl, K; Knapitsch, J; Parapatits, M</t>
  </si>
  <si>
    <t>Gnauer, C.; Pichler, H.; Tauber, M.; Schmittner, C.; Christl, K.; Knapitsch, J.; Parapatits, M.</t>
  </si>
  <si>
    <t>Towards a secure and self-adapting smart indoor farming framework</t>
  </si>
  <si>
    <t>Facing the increase in world population and the stagnation in available arable land there is a high demand for optimizing the food production. Considering the world-wide and ongoing reduction of the agricultural labor force novel approaches for food production are required. Vertical farming may be such a solution where plants are being produced indoors in racks, cared by robotic appliances which will be operated by specialized software. Given the multitude of parameters which determine the ideal condition, a lot of data needs to be acquired. As this data is used to adapt the entire Cyber-Physical System to a changing environment the data has to be secure and adaptations have to consider safety aspects as well. Such systems must hence be secure, safe, scalable and self-adaptable to a high degree. We present an important element for such solutions, a cloud, IoT and robotic based smart farming framework.</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</si>
  <si>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</si>
  <si>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</si>
  <si>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</si>
  <si>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</si>
  <si>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</si>
  <si>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</si>
  <si>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</si>
  <si>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</si>
  <si>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Franchetti, B; Ntouskos, V; Giuliani, P; Herman, T; Barnes, L; Pirri, F</t>
  </si>
  <si>
    <t>Franchetti, Benjamin; Ntouskos, Valsamis; Giuliani, Pierluigi; Herman, Tiara; Barnes, Luke; Pirri, Fiora</t>
  </si>
  <si>
    <t>Vision Based Modeling of Plants Phenotyping in Vertical Farming under Artificial Lighting</t>
  </si>
  <si>
    <t>In this paper, we present a novel method for vision based plants phenotyping in indoor vertical farming under artificial lighting. The method combines 3D plants modeling and deep segmentation of the higher leaves, during a period of 25-30 days, related to their growth. The novelty of our approach is in providing 3D reconstruction, leaf segmentation, geometric surface modeling, and deep network estimation for weight prediction to effectively measure plant growth, under three relevant phenotype features: height, weight and leaf area. Together with the vision based measurements, to verify the soundness of our proposed method, we also harvested the plants at specific time periods to take manual measurements, collecting a great amount of data. In particular, we manually collected 2592 data points related to the plant phenotype and 1728 images of the plants. This allowed us to show with a good number of experiments that the vision based methods ensure a quite accurate prediction of the considered features, providing a way to predict plant behavior, under specific conditions, without any need to resort to human measurements.</t>
  </si>
  <si>
    <t>Avgoustaki, DD</t>
  </si>
  <si>
    <t>Avgoustaki, Dafni Despoina</t>
  </si>
  <si>
    <t>Optimization of Photoperiod and Quality Assessment of Basil Plants Grown in a Small-Scale Indoor Cultivation System for Reduction of Energy Demand</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</si>
  <si>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</si>
  <si>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</si>
  <si>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</si>
  <si>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Yang, CL; Huang, SJ; Ang, CH</t>
  </si>
  <si>
    <t>Yang, Chao-Lung; Huang, Sin-Jie; Ang, Chit-Hui</t>
  </si>
  <si>
    <t>Recursive heuristic scheduling method for multi-crop plant factory with solar panel roof</t>
  </si>
  <si>
    <t>Plant factory can provide stable crop cultivation environment, shorten cultivation duration, and deliver better produce quality by controlling temperature, humidity, lighting, nutrient supply, and other cultivating factors. Due to the high cost of operation, how to select crops and plan the cultivation schedule to enhance profitability is an important issue. In this research, the plant factory scheduling problem was formulated as a mixed integer linear programming (MILP) problem. The objective function is to seek the maximum revenue by considering several practical operating conditions such as (1) crop market value per unit and time, (2) crop adjacency issue, (3) cleaning and maintenance, and (4) sunlight blocking by solar panel on the roof. Although the scheduling problem can be solved by the optimization solver, it presents challenges of rack-level modification when applying the optimization method on the field. Therefore, this study further developed a heuristic algorithm, named Heuristic Plant Factory Scheduler (HPFS), which applies a recursive technique to schedule crops rack by rack. This approach provides ease of implementation and modification. The experimental results show that HPFS is able to accelerate the computational performance with acceptable scheduling quality when the problem space is large.</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</si>
  <si>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</si>
  <si>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</si>
  <si>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</si>
  <si>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</si>
  <si>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Gomez, C; Currey, CJ; Dickson, RW; Kim, HJ; Hernandez, R; Sabeh, NC; Raudales, RE; Brumfield, RG; Laury-Shaw, A; Wilke, A; Lopez, R; Burnett, SE</t>
  </si>
  <si>
    <t>Gomez, Celina; Currey, Christopher J.; Dickson, Ryan W.; Kim, Hye-Ji; Hernandez, Ricardo; Sabeh, Nadia C.; Raudales, Rosa E.; Brumfield, Robin G.; Laury-Shaw, Angela; Wilke, Adam; Lopez, Roberto; Burnett, Stephanie E.</t>
  </si>
  <si>
    <t>Controlled Environment Food Production for Urban Agriculture</t>
  </si>
  <si>
    <t>The recent increased market demand for locally grown produce is generating interest in the application of techniques developed for controlled environment agriculture (CEA) to urban agriculture (UA). Controlled environments have great potential to revolutionize urban food systems, as they offer unique opportunities for year-round production, optimizing resource-use efficiency, and for helping to overcome significant challenges associated with the high costs of production in urban settings. For urban growers to benefit from CEA, results from studies evaluating the application of controlled environments for commercial food production should be considered. This review includes a discussion of current and potential applications of CEA for UA, references discussing appropriate methods for selecting and controlling the physical plant production environment, resource management strategies, considerations to improve economic viability, opportunities to address food safety concerns, and the potential social benefits from applying CEA techniques to UA. Author's viewpoints about the future of CEA for urban food production are presented at the end of this review.</t>
  </si>
  <si>
    <t>Harun, AN; Mohamed, N; Ahmad, R; Rahim, AA; Ani, NN</t>
  </si>
  <si>
    <t>Harun, Ahmad Nizar; Mohamed, Norliza; Ahmad, Robiah; Rahim, Abd Rahman Abdul; Ani, Nurul Najwa</t>
  </si>
  <si>
    <t>Improved Internet of Things (IoT) monitoring system for growth optimization of Brassica chinensis</t>
  </si>
  <si>
    <t>The Internet of Things (IoT) has been integrated in various applications such as smart homes and smart cities. IoT in agriculture such as in monitoring indoor climatic conditions can help to improve the plant growth. This paper proposes a new approach in utilizing IoT technology as a remote monitoring system to control the indoor climatic conditions via light emitting diode (LED) parameters which include spectrums, photoperiod and intensity in order to increase yields as well as to reduce the turnaround time. This study showed that growth of Brassica chinensis under different wavelengths of light source has influenced plant growth performance and phytochemicals characteristics. Four different light treatments were experimented using pulse treatment (1 h light and 1 h dark), continuous light (CL), high intensity and artificial light control of 12 h light and 12 h dark. Data such as the leaves count, height, dry weight and chlorophyll a &amp; b of plants were analyzed. The results showed high mean value of plants' fresh weight (FW) of 410.77 g under pulse treatment compared to other light treatments. The percentage of moisture content (MC) was recorded higher on average under normal light (99.15%), value of leaf area (LA) was recorded higher under artificial sunlight with an average value of 976.84 cm(2). Even though the results of LA were better under artificial sunlight, CL with low intensity gave higher stem height (SH) and number of leaves (NOL). In order to capture real-time data and monitor the environmental parameters of the plant experiment, an intelligent embedded system was developed to automate the LED control and manipulation. The results showed that the system is stable and has significant referential in the area of plant factory or indoor farming.</t>
  </si>
  <si>
    <t>Huang, LC</t>
  </si>
  <si>
    <t>Huang, Li-Chun</t>
  </si>
  <si>
    <t>Consumer Attitude, Concerns, and Brand Acceptance for the Vegetables Cultivated with Sustainable Plant Factory Production Systems</t>
  </si>
  <si>
    <t>Plant factories are perceived as a sustainable agricultural production system, since they provide a cultivation environment for growing agricultural crops with less resource consumption and no pesticide use. However, as the industry and academic participants have been contributing in the development of plant factory technology, consumer acceptance for the crops cultivated from that technology remains unknown. Without consumer acceptance, all the costs spent in the research and development (RD) of plant factories cannot gain the profit. To address this deficiency, this study was aimed to: (1) investigate consumers' attitudes, concerns and willingness to pay for the vegetables cultivated with plant factories, (2) explore the branding mode that is most effective for selling plant factory vegetables to consumers, and (3) determine the influence of consumers' socio-demographics and vegetable purchase behavior for their willingness to pay for plant factory vegetables. With a modified strategy of multi-stage cluster sampling, a consumer survey was conducted and 390 valid questionnaires were obtained for statistical analysis. Data were analyzed with descriptive statistical analysis, analysis of variance, Duncan's post hoc analysis, and regression analysis to meet the study objectives. The study results indicated that over half of the subjects appreciated the value of plant factory technology. However, as high as 64.4% of the subjects revealed concerns. Most of the concerns were about the issues of environmental pollution and food safety. It also showed that price played a decisive role for consumers' purchase intentions to plant factory vegetables. Moreover, consumers were more willing to pay a higher price for the plant factory vegetables labeled with an allied brand of academic institutes and private corporations, compared with those labeled with other types of brand. Consumers who had higher income and/or consume more organic vegetables were also more willing to pay for the plant factory vegetables. The study findings help the industry participants to build up effective market strategies for selling the crops cultivated with sustainable plant factory systems.</t>
  </si>
  <si>
    <t>Kozai, T</t>
  </si>
  <si>
    <t>Kozai, Toyoki</t>
  </si>
  <si>
    <t>Towards sustainable plant factories with artificial lighting (PFALs) for achieving SDGs</t>
  </si>
  <si>
    <t>The challenges and opportunities for developing sustainable plant factories with artificial lighting (PFALs) are discussed. After examining the production cost and productivity of existing PFALs in Japan, the possibility of introducing a relatively new concept and methodology for considerably improving productivity are discussed in relation to environmental controllability and resource use efficiencies. The fundamental and potential characteristics of ideal or next-generation PFALs (n-PFALs) are then discussed with some suggestions for actualizing n-PFALs. Finally, perspectives of the n-PFALs and technologies to be integrated into the n-PFALs are presented in relation to the Sustainable Development Goals (SDGs) to be achieved by 2030.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</si>
  <si>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</si>
  <si>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</si>
  <si>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</si>
  <si>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</si>
  <si>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Jurkenbeck, K; Heumann, A; Spiller, A</t>
  </si>
  <si>
    <t>Juerkenbeck, Kristin; Heumann, Andreas; Spiller, Achim</t>
  </si>
  <si>
    <t>Sustainability Matters: Consumer Acceptance of Different Vertical Farming Systems</t>
  </si>
  <si>
    <t>Fresh produce within vertical farming systems grows vertically in different layers stacked atop each other, thus allowing for the efficient use of space. As the environment in vertical farming systems is completely controlled, neither sunlight nor soil is necessary. On the one hand, vertical farming may help to provide a healthy diet for the growing global population because it has a greater crop yield per square meter used than conventional farming; moreover, it can offer the opportunity to grow food in climatically disadvantaged areas. On the other hand, growth conditions may be perceived as unnatural and the entire vertical farming system as unsustainable. Therefore, understanding the consumers' acceptance of vertical farming systems is important. This study is the first work to provide insights into consumers' acceptance of three different vertical farming systems. Data are collected through an online survey of 482 consumers in Germany in February 2018. Drivers of consumer acceptance of vertical farming systems are identified through structural equation modelling. The results indicate that perceived sustainability is the major driver of consumer acceptance of vertical farming systems. The larger the system, the higher the likelihood that it will be considered as sustainable. Obviously, consumers perceive something like ecologies of scale.</t>
  </si>
  <si>
    <t>Martin, M; Molin, E</t>
  </si>
  <si>
    <t>Martin, Michael; Molin, Elvira</t>
  </si>
  <si>
    <t>Environmental Assessment of an Urban Vertical Hydroponic Farming System in Sweden</t>
  </si>
  <si>
    <t>With an expanding population and changing dynamics in global food markets, it is important to find solutions for more resilient food production methods closer to urban environments. Recently, vertical farming systems have emerged as a potential solution for urban farming. However, although there is an increasing body of literature reviewing the potential of urban and vertical farming systems, only a limited number of studies have reviewed the sustainability of these systems. The aim of this article was to understand the environmental impacts of vertical hydroponic farming in urban environments applied to a case study vertical hydroponic farm in Stockholm, Sweden. This was carried out by evaluating environmental performance using a life cycle perspective to assess the environmental impacts and comparing to potential scenarios for improvement options. The results suggest that important aspects for the vertical hydroponic system include the growing medium, pots, electricity demand, the transportation of raw materials and product deliveries. By replacing plastic pots with paper pots, large reductions in GHG emissions, acidification impacts, and abiotic resource depletion are possible. Replacing conventional gardening soil as the growing medium with coir also leads to large environmental impact reductions. However, in order to further reduce the impacts from the system, more resource-efficient steps will be needed to improve impacts from electricity demand, and there is potential to develop more symbiotic exchanges to employ urban wastes and by-products.</t>
  </si>
  <si>
    <t>Specht, K; Zoll, F; Schumann, H; Bela, J; Kachel, J; Robischon, M</t>
  </si>
  <si>
    <t>Specht, Kathrin; Zoll, Felix; Schuemann, Henrike; Bela, Julia; Kachel, Julia; Robischon, Marcel</t>
  </si>
  <si>
    <t>How Will We Eat and Produce in the Cities of the Future? From Edible Insects to Vertical Farming-A Study on the Perception and Acceptability of New Approaches</t>
  </si>
  <si>
    <t>Global challenges such as climate change, increasing urbanization and a lack of transparency of food chains, have led to the development of innovative urban food production approaches, such as rooftop greenhouses, vertical farms, indoor farms, aquaponics as well as production sites for edible insects or micro-algae. Those approaches are still at an early stage of development and partly unknown among the public. The aim of our study was to identify the perception of sustainability, social acceptability and ethical aspects of these new approaches and products in urban food production. We conducted 19 qualitative expert interviews and applied qualitative content analysis. Our results revealed that major perceived benefits are educational effects, revaluation of city districts, efficient resource use, exploitation of new protein sources or strengthening of local economies. Major perceived conflicts concern negative side-effects, legal constraints or high investment costs. The extracted acceptance factors deal significantly with the unknown. A lack of understanding of the new approaches, uncertainty about their benefits, concerns about health risks, a lack of familiarity with the food products, and ethical doubts about animal welfare represent possible barriers. We conclude that adaptation of the unsuitable regulatory framework, which discourages investors, is an important first step to foster dissemination of the urban food production approaches.</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</si>
  <si>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</si>
  <si>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</si>
  <si>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</si>
  <si>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</si>
  <si>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Gruda, N; Bisbis, M; Tanny, J</t>
  </si>
  <si>
    <t>Gruda, Nazim; Bisbis, Mehdi; Tanny, Josef</t>
  </si>
  <si>
    <t>Influence of climate change on protected cultivation: Impacts and sustainable adaptation strategies - A review</t>
  </si>
  <si>
    <t>The interaction between agriculture, particularly intensive greenhouse horticulture, and climate, is of dual nature. The resources required to produce crops, such as fossil fuel, affect climate change (CC), which, in turn, will backfire with altered growing conditions in the future. For instance, phenomena like heat waves and severe droughts would significantly affect management of protected cultivation systems, which would require adaptation processes. This puts greenhouse vegetable producers under high pressure, as they are required to adopt environmentally friendly production strategies. Here, we provide a comprehensive critical review of the effects of present and future CC scenarios on controlled environment agriculture as well as the mapping of climate protection measures in these environments. We examined published articles from 1990 to 2019, focused mainly on the European region and pinpointing the differences between the temperate North and the Mediterranean basin, although some research works from other regions were also considered. We recommend adaptations in terms of sufficient cooling, and improvement of natural and additional light for winter production. Technical and conceptual innovations such as the semi-/closed greenhouse based on mechanical cooling and dehumidification are discussed along with structural solutions such as passively ventilated greenhouses and screenhouses. Moreover, we recommend adaptation in terms of cultivar selection, greenhouse type, cover material, cultural practices and production technology to cope with abnormal climate alterations and extreme weather conditions associated with CC. We believe that this work will contribute to advance sustainable year-round production. (C) 2019 Elsevier Ltd. All rights reserved.</t>
  </si>
  <si>
    <t>Rabbi, B; Chen, ZH; Sethuvenkatraman, S</t>
  </si>
  <si>
    <t>Rabbi, Barkat; Chen, Zhong-Hua; Sethuvenkatraman, Subbu</t>
  </si>
  <si>
    <t>Protected Cropping in Warm Climates: A Review of Humidity Control and Cooling Methods</t>
  </si>
  <si>
    <t>The projected increase of the world's population, coupled with the shrinking area of arable land required to meet future food demands, is building pressure on Earth's finite agricultural resources. As an alternative to conventional farming methods, crops can be grown in protected environments, such as traditional greenhouses or the more modern plant factories. These are usually more productive and use resources more efficiently than conventional farming and are now receiving much attention-especially in urban and peri-urban areas. Traditionally, protected cropping has been predominantly practised in temperate climates, but interest is rapidly rising in hot, arid areas and humid, tropical regions. However, maintaining suitable climatic conditions inside protected cropping structures in warm climates-where warm is defined as equivalent to climatic conditions that require cooling-is challenging and requires different approaches from those used in temperate conditions. In this paper, we review the benefits of protected cropping in warm climates, as well as the technologies available for maintaining a controlled growing environment in these regions. In addition to providing a summary of active cooling methods, this study summarises photovoltaic (PV)-based shading methods used for passive cooling of greenhouses. Additionally, we also summarise the current humidity-control techniques used in the protected cropping industry and identify future research opportunities in this area. The review includes a list of optimum growing conditions for a range of crop species suited to protected cropping in warm climates.</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</si>
  <si>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</si>
  <si>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</si>
  <si>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</si>
  <si>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</si>
  <si>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Lefers, RM; Bettahalli, NMS; Fedoroff, NV; Ghaffour, N; Davies, PA; Nunes, SP; Leiknes, T</t>
  </si>
  <si>
    <t>Lefers, Ryan M.; Bettahalli, N. M. Srivatsa; Fedoroff, Nina, V; Ghaffour, Noreddine; Davies, Philip A.; Nunes, Suzana P.; Leiknes, TorOve</t>
  </si>
  <si>
    <t>Hollow fibre membrane-based liquid desiccant humidity control for controlled environment agriculture</t>
  </si>
  <si>
    <t>Humidity control is an important factor affecting the overall sustainability, productivity, and energy efficiency of controlled environment agriculture. Liquid desiccants offer the potential for pinpoint control of humidity levels in controlled environments. In the present work, a dehumidification processes utilizing liquid desiccants pumped through the lumens of triple-bore PVDF hollow fibre membranes is implemented in a bench scale controlled environment agriculture system. Hydrophobic hollow fibre membranes were combined into an array and placed near the crops. Concentrated magnesium chloride liquid desiccant solution with a low vapour pressure was pumped through the hollow fibre lumens. The dehumidification permeance rate responded dynamically to the changing transpiration rate of the plants, as influenced by changes in environmental factors such as light, temperature, and vapour pressure. The dehumidification permeance rate increased from an average of 0.26-0.31 g m(-2)h(-1) Pa-1 as the velocity of the liquid desiccant through the hollow fibres increased from 0.023 to 0.081 m s(-1). Humidity levels were targeted to be maintained within a range of 70-90% relative humidity at 23 degrees C. The membrane-based liquid desiccant system was demonstrated to successfully control humidity within a bench-scale controlled environment agricultural setup. (C) 2019 IAgrE. Published by Elsevier Ltd. All rights reserved.</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</si>
  <si>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</si>
  <si>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</si>
  <si>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</si>
  <si>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</si>
  <si>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</si>
  <si>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</si>
  <si>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</si>
  <si>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</si>
  <si>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Alrifai, O; Hao, XM; Marcone, MF; Tsao, R</t>
  </si>
  <si>
    <t>Alrifai, Oday; Hao, Xiuming; Marcone, Massimo F.; Tsao, Rong</t>
  </si>
  <si>
    <t>Current Review of the Modulatory Effects of LED Lights on Photosynthesis of Secondary Metabolites and Future Perspectives of Microgreen Vegetables</t>
  </si>
  <si>
    <t>Light-emitting diode (LED) lights have recently been applied in controlled environment agriculture toward growing vegetables of various assortments, including microgreens. Spectral qualities of LED light on photosynthesis in microgreens are currently being studied for their ease of spectral optimization and high photosynthetic efficiency. This review aims to summarize the most recent discoveries and advances in specific phytochemical biosyntheses modulated by LED and other conventional lighting, to identify research gaps, and to provide future perspectives in this emerging multidisciplinary field of research and development. Specific emphasis was made on the effect of light spectral qualities on the biosynthesis of phenolics, carotenoids, and glucosinolates, as these phytochemicals are known for their antioxidant, anti-inflammatory effects, and many health benefits. Future perspectives on enhancing biosynthesis of these bioactives using the rapidly progressing LED light technology are further discussed.</t>
  </si>
  <si>
    <t>Alsanius, BW; Karlsson, M; Rosberg, AK; Dorais, M; Naznin, MT; Khalil, S; Bergstrand, KJ</t>
  </si>
  <si>
    <t>Alsanius, Beatrix W.; Karlsson, Maria; Rosberg, Anna Karin; Dorais, Martine; Naznin, Most Tahera; Khalil, Sammar; Bergstrand, Karl-Johan</t>
  </si>
  <si>
    <t>Light and Microbial Lifestyle: The Impact of Light Quality on Plant-Microbe Interactions in Horticultural Production Systems-A Review</t>
  </si>
  <si>
    <t>Horticultural greenhouse production in circumpolar regions (&gt;60 degrees N latitude), but also at lower latitudes, is dependent on artificial assimilation lighting to improve plant performance and the profitability of ornamental crops, and to secure production of greenhouse vegetables and berries all year round. In order to reduce energy consumption and energy costs, alternative technologies for lighting have been introduced, including light-emitting diodes (LED). This technology is also well-established within urban farming, especially plant factories. Different light technologies influence biotic and abiotic conditions in the plant environment. This review focuses on the impact of light quality on plant-microbe interactions, especially non-phototrophic organisms. Bacterial and fungal pathogens, biocontrol agents, and the phyllobiome are considered. Relevant molecular mechanisms regulating light-quality-related processes in bacteria are described and knowledge gaps are discussed with reference to ecological theories.</t>
  </si>
  <si>
    <t>Hikawa, M; Nishizawa, K; Kodama, Y</t>
  </si>
  <si>
    <t>Hikawa, Mio; Nishizawa, Kazuyo; Kodama, Yutaka</t>
  </si>
  <si>
    <t>Prediction of prospective leaf morphology in lettuce based on intracellular chloroplast position</t>
  </si>
  <si>
    <t>In the accumulation response, chloroplasts move toward weak blue light, staying at positions along the periclinal cell wall. By contrast, in the avoidance response, chloroplasts move away from strong blue light, escaping to positions along the anticlinal cell wall. The accumulation response maximizes light capture and the avoidance response reduces photodamage. The intracellular positioning of chloroplasts is important for optimizing photosynthesis and may have common signals with the regulators that determine leaf morphology, another factor that affects photosynthesis. Here, we propose that intracellular chloroplast position can be used to predict prospective leaf morphology in lettuce (Lactuca saliva). To test this, we induced the accumulation or avoidance response in lettuce cells through exposure to the appropriate strength of blue light and observed the growth of the plants. Our results indicated that leaf area increased in response to weak blue light inducing the accumulation response, and leaf thickness increased in response to strong blue light inducing the avoidance response.</t>
  </si>
  <si>
    <t>Sarkar, A; Majumder, M</t>
  </si>
  <si>
    <t>Sarkar, Amaresh; Majumder, Mrinmoy</t>
  </si>
  <si>
    <t>Economic of a six-story stacked protected farm structure</t>
  </si>
  <si>
    <t>ENVIRONMENT DEVELOPMENT AND SUSTAINABILITY</t>
  </si>
  <si>
    <t>A multi-story stacked protected farm is a high-tech structure for growing vegetables on multi-stacks in each floor under optimally controlled environments in a location where the weather or the soil is not conducive. An attempt has been made in this paper to evaluate economic of a six-story protected farm on a land in Delhi city, India, that having 3-layered stacked in each story. The study revealed that crop yield under the multi-story stacked protected farming system is significantly high. The initial unit cost of construction of the farm is high, but the operating cost is very less. It has several eco-friendly advantages compared with open field farming. Importantly, growing food within cities prevents the need for transportation of crops from distant farmlands to urban areas which reduces the food transportation carbon footprint.</t>
  </si>
  <si>
    <t>Beacham, AM; Vickers, LH; Monaghan, JM</t>
  </si>
  <si>
    <t>Beacham, Andrew M.; Vickers, Laura H.; Monaghan, James M.</t>
  </si>
  <si>
    <t>Vertical farming: a summary of approaches to growing skywards</t>
  </si>
  <si>
    <t>Pressure on agricultural land from a rising global population is necessitating the maximisation of food production per unit area of cultivation. Attention is increasingly turning to Vertical Farming (VF) approaches in an attempt to provide a greater crop yield per square meter of land. However, this term has been used to cover a broad range of approaches, from personal- or community-scale vegetable and herb growing to vast skyscrapers for commercial production of a wide range of crops. This article summarises the main categories of VF in order to help clarify this emerging but sometimes confusing area of agriculture and discusses how scientific investigation of the potential of VF is currently lacking and will be required to help determine its feasibility as a method to assist meaningfully in global food production.</t>
  </si>
  <si>
    <t>Gentry, M</t>
  </si>
  <si>
    <t>Gentry, Matthew</t>
  </si>
  <si>
    <t>Local heat, local food: Integrating vertical hydroponic farming with district heating in Sweden</t>
  </si>
  <si>
    <t>ENERGY</t>
  </si>
  <si>
    <t>By 2050, it is estimated that 70% of the world's population will live in urban areas. This growth in cities creates a demand for fresh produce to ensure a healthy population, produce that often has to travel a long way to reach the consumer, not only losing quality and nutrition along the way, but also requiring a significant fossil fuel cost for transportation and storage. The average plate of food will travel over 2400 km before it reaches your plate. There is potential within District heating (DH) areas to move farming indoors and into the heart of the urban environment. Vertical hydroponic farming (VHF) offers many advantages over conventional farming including more efficient water and land use, and vastly reduced transport costs if it is performed in the urban area. For this model to become economically sustainable however, it must be intelligently integrated into existing urban infrastructure. A mutually beneficial relationship with DH is possible whereby VHFs are integrated to feed back into the DH system, lower the return temperature in line with 4th Generation District Heating guidelines, and reduce CO2 emissions in food and energy production. Crown Copyright (C) 2019 Published by Elsevier Ltd. All rights reserved.</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</si>
  <si>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</si>
  <si>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</si>
  <si>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</si>
  <si>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</si>
  <si>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</si>
  <si>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</si>
  <si>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</si>
  <si>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</si>
  <si>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</si>
  <si>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</si>
  <si>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</si>
  <si>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</si>
  <si>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</si>
  <si>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Van, LD; Lin, YB; Wu, TH; Lin, YW; Peng, SR; Kao, LH; Chang, CH</t>
  </si>
  <si>
    <t>Van, Lan-Da; Lin, Yi-Bing; Wu, Tsung-Han; Lin, Yun-Wei; Peng, Syuan-Ru; Kao, Lin-Hang; Chang, Chun-Hao</t>
  </si>
  <si>
    <t>PlantTalk: A Smartphone-Based Intelligent Hydroponic Plant Box</t>
  </si>
  <si>
    <t>This paper proposes an IoT-based intelligent hydroponic plant factory solution called PlantTalk. The novelty of our approach is that the PlantTalk intelligence can be built through an arbitrary smartphone. We show that PlantTalk can flexibly configure the connections of various plant sensors and actuators through a smartphone. One can also conveniently write Python programs for plant-care intelligence through the smart phone. The developed plant-care intelligence includes automatic LED lighting, water spray, water pump and so on. As an example, we show that the PlantTalk intelligence effectively lowers the CO2 concentration, and the reduction speed is 53% faster than a traditional plant system. PlantTalk has been extended for a plant factory called AgriTalk.</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</si>
  <si>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</si>
  <si>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</si>
  <si>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</si>
  <si>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</si>
  <si>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Goodman, W; Minner, J</t>
  </si>
  <si>
    <t>Goodman, Wylie; Minner, Jennifer</t>
  </si>
  <si>
    <t>Will the urban agricultural revolution be vertical and soilless? A case study of controlled environment agriculture in New York City</t>
  </si>
  <si>
    <t>LAND USE POLICY</t>
  </si>
  <si>
    <t>Controlled environment agriculture (CEA) is an emerging form of farming increasingly found in cities world-wide. Advocates promote CEA as the future of food production, arguing for its potential to address challenges ranging from climate change to food insecurity. Detractors state that CEA's narrow focus on high-end produce, along with its intensive capital and energy needs, limit its meaningful contribution to the urban food system. Over the last seven years, New York City has become an epicenter for urban CEA, offering planners an in-situ setting in which to evaluate its impact. The following case study examines the current state of CEA in New York City, its composition, requirements, and future. The authors identify CEA's relative contributions, which include providing a small number of green-sector jobs and increasing access to produce in low-income communities. In parallel, they question if CEA provides sufficient benefits to warrant public-sector support. Recommendations for cities considering CEA include critically analyzing its purported benefits; evaluating the environmental, economic and social potential of projects located on publicly-owned rooftops and land; and focusing incentives on nonprofit and institutional production that show clear community benefits.</t>
  </si>
  <si>
    <t>HORTTECHNOLOGY</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</si>
  <si>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</si>
  <si>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</si>
  <si>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</si>
  <si>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</si>
  <si>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</si>
  <si>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</si>
  <si>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</si>
  <si>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</si>
  <si>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Liu, YW; Huang, CK</t>
  </si>
  <si>
    <t>Liu, Yu-Wei; Huang, Chen-Kang</t>
  </si>
  <si>
    <t>Effects of the Circulation Pump Type and Ultraviolet Sterilization on Nutrient Solutions and Plant Growth in Plant Factories</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</si>
  <si>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</si>
  <si>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</si>
  <si>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</si>
  <si>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Li, MC; Zhang, XJ; Zhang, HR; Chen, WB; Ma, L; Wang, XJ; Liu, YL; Lei, BF</t>
  </si>
  <si>
    <t>Li, Mingcai; Zhang, Xuejie; Zhang, Haoran; Chen, Weibin; Ma, Li; Wang, Xiaojun; Liu, Yingliang; Lei, Bingfu</t>
  </si>
  <si>
    <t>Highly efficient and dual broad emitting light convertor: an option for next- generation plant growth LEDs</t>
  </si>
  <si>
    <t>At present, blue-red composite LED light sources used for plant lighting are mainly composed of blue light and red light; the blue light is provided by gallium nitride LED chips, but the full-width at half-maximum (FWHW) is only approximately 25 nm, while the blue light required by plants for photosynthesis is wider. Focusing on this problem, this work reported that a dual emitting phosphor-in-glass plate (Dual-PiGP) was prepared towards a high power and dual broadband emitter, in which BaMgAl10O17:Eu2+ (BAM) and CaAlSiN3:Eu2+ (CASN) provide blue and red emission, respectively. Dual-PiGP exhibited several merits, including a high quantum efficiency of 93.90%, a superior thermal stability (80.1%@150 degrees C of the peak intensity at 25 degrees C), and a dual broad spectrum with a full-width at half-maximum (FWHM) of 50 and 106 nm at 446 and 645 nm, respectively. Moreover, a proof-of-concept Dual-PiGP plant lamp for application in indoor plant factories was successfully fabricated with Dual-PiGP and a 385 nm emitting LED chip, yielding blue- (400-500 nm) and red-light (580-780 nm) emission that matches well with the absorption spectrum of chlorophyll. The Dual-PiGP plant lamps were applied indoors to cultivate Italian lettuce, and commercial plant lamps assembled by LED chips were chosen as reference. The cultivation results indicated that the biomass of Italian lettuce was 12.12% greater than those cultivated using commercial plant lamps. Further analysis also certificated that the content of soluble protein and total chlorophyll were also improved. The Dual-PiGP light converter strategy provides an option for next-generation plant growth LEDs.</t>
  </si>
  <si>
    <t>Naganou, S; Moriyuki, S; Wakamori, K; Mineno, H; Fukuda, H</t>
  </si>
  <si>
    <t>Naganou, Shogo; Moriyuki, Shogo; Wakamori, Kazumasa; Mineno, Hiroshi; Fukuda, Hirokazu</t>
  </si>
  <si>
    <t>Leaf-Movement-Based Growth Prediction Model Using Optical Flow Analysis and Machine Learning in Plant Factory</t>
  </si>
  <si>
    <t>Productivity stabilization is a critical issue facing plant factories. As such, researchers have been investigating growth prediction with the overall goal of improving productivity. The projected area of a plant (PA) is usually used for growth prediction, by which the growth of a plant is estimated by observing the overall approximate movement of the plant. To overcome this problem, this study focused on the time-series movement of plant leaves, using optical flow (OF) analysis to acquire this information for a lettuce. OF analysis is an image processing method that extracts the difference between two consecutive frames caused by the movement of the subject. Experiments were carried out at a commercial large-scale plant factory. By using a microcomputer with a camera module placed above the lettuce seedlings, images of 338 seedlings were taken every 20 min over 9 days (from the 6th to the 15th day after sowing). Then, the features of the leaf movement were extracted from the image by calculating the normal-vector in the OF analysis, and these features were applied to machine learning to predict the fresh weight of the lettuce at harvest time (38 days after sowing). The growth prediction model using the features extracted from the OF analysis was found to perform well with a correlation ratio of 0.743. Furthermore, this study also considered a phenotyping system that was capable of automatically analyzing a plant image, which would allow this growth prediction model to be widely used in commercial plant factories.</t>
  </si>
  <si>
    <t>Kobori, R; Hashimoto, S; Koshimizu, H; Yakami, S; Hirai, M; Noro, K; Kawasaki, T; Saito, A</t>
  </si>
  <si>
    <t>Kobori, Ryo; Hashimoto, Seiya; Koshimizu, Hayato; Yakami, Shuich; Hirai, Mizuki; Noro, Kenta; Kawasaki, Takashi; Saito, Akiko</t>
  </si>
  <si>
    <t>Flavan-3-ols Content in Red Raspberry Leaves Increases under Blue Led-Light Irradiation</t>
  </si>
  <si>
    <t>METABOLITES</t>
  </si>
  <si>
    <t>Berry fruits are well known to contain large amounts of polyphenol compounds. Among them, flavan-3-ol derivatives are a group of secondary metabolism compounds currently attracting a great deal of attention owing to their health benefits. Not only the fruits, but also the leaves of raspberry plants, are highly esteemed for tea making around the world and are largely used for food. In this report, we discuss the results of our study on the effect of light and temperature on polyphenol accumulation in raspberry leaves. When raspberry was cultivated in a plant factory unit and light intensity, wavelength, and temperature were varied, the amount of total polyphenol increased under blue light. Quantitative determination of (+)-catechin, (-)-epicatechin, procyanidin B4, flavan-3-ol trimer, which are flavan-3-ol derivatives, was carried out using HPLC, whereby we confirmed their increase under blue light. Semi-quantitative RT-PCR showed correlation between chalcone synthase (CHS) gene expression and the amounts of the compounds measured in the leaves.</t>
  </si>
  <si>
    <t>Pennisi, G; Blasioli, S; Cellini, A; Maia, L; Crepaldi, A; Braschi, I; Spinelli, F; Nicola, S; Fernandez, JA; Stanghellini, C; Marcelis, LFM; Orsini, F; Gianquinto, G</t>
  </si>
  <si>
    <t>Pennisi, Giuseppina; Blasioli, Sonia; Cellini, Antonio; Maia, Lorenzo; Crepaldi, Andrea; Braschi, Ilaria; Spinelli, Francesco; Nicola, Silvana; Fernandez, Juan A.; Stanghellini, Cecilia; Marcelis, Leo F. M.; Orsini, Francesco; Gianquinto, Giorgio</t>
  </si>
  <si>
    <t>Unraveling the Role of Red:Blue LED Lights on Resource Use Efficiency and Nutritional Properties of Indoor Grown Sweet Basil</t>
  </si>
  <si>
    <t>Indoor plant cultivation can result in significantly improved resource use efficiency (surface, water, and nutrients) as compared to traditional growing systems, but illumination costs are still high. LEDs (light emitting diodes) are gaining attention for indoor cultivation because of their ability to provide light of different spectra. In the light spectrum, red and blue regions are often considered the major plants' energy sources for photosynthetic CO2 assimilation. This study aims at identifying the role played by red:blue (R:B) ratio on the resource use efficiency of indoor basil cultivation, linking the physiological response to light to changes in yield and nutritional properties. Basil plants were cultivated in growth chambers under five LED light regimens characterized by different R:B ratios ranging from 0.5 to 4 (respectively, RB0.5, Ra-1, RB2, RB3, and RB4), using fluorescent lamps as control (CK1). A photosynthetic photon flux density of 215 mu mol m(-2) s(-1) was provided for 16 h per day. The greatest biomass production was associated with LED lighting as compared with fluorescent lamp. Despite a reduction in both stomatal conductance and PSII quantum efficiency, adoption of RB3 resulted in higher yield and chlorophyll content, leading to improved use efficiency for water and energy. Antioxidant activity followed a spectral-response function, with optimum associated with RB3. A low RB ratio (0.5) reduced the relative content of several volatiles, as compared to CK1 and RB &gt;= 2. Moreover, mineral leaf concentration (g g(-1) DW) and total content in plant (g plant(-1)) were influences by light quality, resulting in greater N, P, K, Ca, Mg, and Fe accumulation in plants cultivated with RB3. Contrarily, nutrient use efficiency was increased in RB &lt;= 1. From this study it can be concluded that a RB ratio of 3 provides optimal growing conditions for indoor cultivation of basil, fostering improved performances in terms of growth, physiological and metabolic functions, and resources use efficiency.</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</si>
  <si>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</si>
  <si>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</si>
  <si>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</si>
  <si>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</si>
  <si>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</si>
  <si>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Riggio, GM; Jones, SL; Gibson, KE</t>
  </si>
  <si>
    <t>Riggio, Gina M.; Jones, Sarah L.; Gibson, Kristen E.</t>
  </si>
  <si>
    <t>Risk of Human Pathogen Internalization in Leafy Vegetables During Lab-Scale Hydroponic Cultivation</t>
  </si>
  <si>
    <t>Controlled environment agriculture (CEA) is a growing industry for the production of leafy vegetables and fresh produce in general. Moreover, CEA is a potentially desirable alternative production system, as well as a risk management solution for the food safety challenges within the fresh produce industry. Here, we will focus on hydroponic leafy vegetable production (including lettuce, spinach, microgreens, and herbs), which can be categorized into six types: (1) nutrient film technique (NFT), (2) deep water raft culture (DWC), (3) flood and drain, (4) continuous drip systems, (5) the wick method, and (6) aeroponics. The first five are the most commonly used in the production of leafy vegetables. Each of these systems may confer different risks and advantages in the production of leafy vegetables. This review aims to (i) address the differences in current hydroponic system designs with respect to human pathogen internalization risk, and (ii) identify the preventive control points for reducing risks related to pathogen contamination in leafy greens and related fresh produce products.</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</si>
  <si>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</si>
  <si>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</si>
  <si>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</si>
  <si>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</si>
  <si>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Zhang, XY; Zhang, FX; Li, M; Zhang, ZS; Liu, W</t>
  </si>
  <si>
    <t>Zhang, Xinyu; Zhang, Fangxin; Li, Ming; Zhang, Zhiseng; Liu, Wen</t>
  </si>
  <si>
    <t>Design and applications of multichannel photosynthetic photon flux density sensor for artificial lighting</t>
  </si>
  <si>
    <t>OPTICAL ENGINEERING</t>
  </si>
  <si>
    <t>The measurement of plant growth's light environment is the basis of urban agriculture, such as light-emitting diode plant factories. The photosynthetic photon flux density (PPFD) sensors, which measure the photon flux density of radiation in the spectral interval from 400 to 700 nm, cannot measure the spectral components, including the photon flux density of red light band and the photon flux density of blue light band, the light in these two bands are widely used in plant lighting. Facility agriculture, especially plant factories with artificial lighting, needs these data and their ratios by far, so a type of multichannel PPFD sensor is designed to solve these problems. First, we expound the design principle, circuit, and structure of the sensor, and calibrate the unregulated sensors by a standard PPFD sensor (PQS-1, Holland) under the calibration device constructed by controller based on DMX512 protocol. The test results show that the sensor's average variance is 0.9956, which approximates the ideal linear response value 1. Meanwhile, we make a black opaque soft plastic anticrosslight sleeve using three-dimensional printing to solve the problem of crosslight on the sidewall of the filter, which let the crosslight error coefficient of the red and blue channels reduced by an order of magnitude and approached 0. Finally, we designed a set of light environment control systems, which can autocontrol the PPFD and light quality ratios, and a set of supplemental lighting systems, which can control the daily light integral, based on the sensors. (C) 2019 Society of Photo-Optical Instrumentation Engineers (SPIE)</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</si>
  <si>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</si>
  <si>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</si>
  <si>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</si>
  <si>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</si>
  <si>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Kim, DG; Lee, C; Yun, YS; Hong, CH; Choi, YE</t>
  </si>
  <si>
    <t>Kim, Dae Geun; Lee, Changsu; Yun, Yeoung-Sang; Hong, Chang-Hee; Choi, Yoon-E</t>
  </si>
  <si>
    <t>Recycling waste nutrient solution originating from the plant factory with the cultivation of newly isolated Acutodesmus species</t>
  </si>
  <si>
    <t>JOURNAL OF BIOTECHNOLOGY</t>
  </si>
  <si>
    <t>Plant factories have been developed to replace traditional agriculture, aiming to solve future problems of food availability. However, the nutrient solution in a plant factory is discharged after a single batch of plant cultivation, giving rise to large amounts of waste nutrient solution. Microalgae can be used to treat a wide variety of wastewater and effectively remove excessive nutrients from wastewater. Therefore, the incorporation of microalgal cultivation into a plant factory to treat waste nutrients would be a reasonable approach facilitating removal of waste nutrients with concomitant production of algal biomass. In this study, we isolated novel microalgal species suitable for the growth in waste nutrients from a plant factory and subsequently an underwater LED photobioreactor was constructed being incorporated into the plant factory system. Finally, treated waste nutrient solution was recycled back into the plant factory and successfully used for the cultivation of plant of butterhead lettuce (Lactuca sativa L.).</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</si>
  <si>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</si>
  <si>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</si>
  <si>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</si>
  <si>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</si>
  <si>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Berkovich, YA; Ochkov, OA; Buryak, AA; Smolyanina, SO; Perevedentsev, OV; Lapach, SN</t>
  </si>
  <si>
    <t>Berkovich, Yuli A.; Ochkov, Oleg A.; Buryak, Andrey A.; Smolyanina, Svetlana O.; Perevedentsev, Oleg V.; Lapach, Sergey N.</t>
  </si>
  <si>
    <t>CERTAIN METHODS OF LED LIGHTING OPTIMISATION IN PLANT PHOTOCULTURE</t>
  </si>
  <si>
    <t>LIGHT &amp; ENGINEERING</t>
  </si>
  <si>
    <t>Lighting systems based on light-emitting diodes (LED) are currently considered promising sources of main and additional plant lighting in protected ground facilities (PGF): In greenhsouses, plant factories, city farms. At the same time, application of LEDs is still limited by lack of information on the most efficient methods of crop lighting and selection of methods of optimisation of crop lighting modes inside PGF. This paper briefly describes plant responses to different modes of LED lighting, provides examples of application of LED-based plant emitters in PGF and provides some approaches to optimisation of the additional LED lighting mode and the model of crop production process. It is shown that multi-factor vegetation experiments with further regression analysis of obtained data may be a useful method of optimisation of LED lighting in photoculture environment. An adaptive search system of control of a red-white LED emitter for a phytotron with Chinese cabbage crop is described. The data on age drift of photosynthetic productivity of Chinese cabbage is provided and the trend of the peak of the selected optimisation criterion in the course of vegetation in the LED lighting adaptive optimisation system is shown.</t>
  </si>
  <si>
    <t>Bottjer, R; Storck, JL; Vahle, D; Brockhagen, B; Grothe, T; Herbst, S; Dietz, KJ; Rattenholl, A; Gudermann, F; Ehrmann, A</t>
  </si>
  <si>
    <t>Boettjer, Robin; Storck, Jan Lukas; Vahle, Dominik; Brockhagen, Bennet; Grothe, Timo; Herbst, Sabine; Dietz, Karl-Josef; Rattenholl, Anke; Gudermann, Frank; Ehrmann, Andrea</t>
  </si>
  <si>
    <t>Influence of Textile and Environmental Parameters on Plant Growth on Vertically Mounted Knitted Fabrics</t>
  </si>
  <si>
    <t>Vertical farming is of major interest in research and development to enable the production of food in the quantity sufficient for the growing world population under the weather conditions, which are increasingly becoming more and more extreme. Especially in cities, vertical farming allows for growing vegetables and other plants locally. Apart from industrial applications of vertical farming, new ideas are being developed to make cities greener, often related to the maker culture. In the study, we concentrated on the second approach by investigating the possibilities to grow plants on textile fabrics placed vertically, e.g. along a balcony railing, but also as structural elements in agricultural areas. Our investigations revealed, using the example of cress, that steadily irrigated knitted fabrics enable plant growth on them, indicating no significant differences between differently knitted stitch dimensions and different illumination intensities. Finally, we discuss the possibilities to measure the time-resolved plant growth reliably and suggest additional possibilities to evaluate the growth success.</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</si>
  <si>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</si>
  <si>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</si>
  <si>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</si>
  <si>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</si>
  <si>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</si>
  <si>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Ehrmann, A</t>
  </si>
  <si>
    <t>Ehrmann, Andrea</t>
  </si>
  <si>
    <t>On the Possible Use of Textile Fabrics for Vertical Farming</t>
  </si>
  <si>
    <t>Vertical farming is one of several ideas that are being developed further by diverse research groups, companies and private citizens. Due to the growing problems of urbanisation and a growing population, vertical farming has presented itself as one possibility to feed people, particularly in large and densely crowded cities, in an efficient and eco-friendly way. Interestingly, while agrotextiles are often used in agriculture and textile fabrics can be bought, for example, as frames for small vertical farming solutions for private balconies, only a few researchers have studied the possibilities of using textile fabrics as substrates for vertical faming to date. This study provides an overview of possible future applications of textile fabrics in vertical farming solutions.</t>
  </si>
  <si>
    <t>Folta, KM</t>
  </si>
  <si>
    <t>Folta, K. M.</t>
  </si>
  <si>
    <t>Breeding new varieties for controlled environments</t>
  </si>
  <si>
    <t>PLANT BIOLOGY</t>
  </si>
  <si>
    <t>Agricultural production in controlled environments is increasingly feasible, and may play an important role in providing nutrition and choice to growing urban centres. New technologies in lighting, ventilation, robotics and irrigation are just a few of the innovations that enable production of high-value specialty crops outside of a traditional field setting. However, despite all of the advances in the hardware within the plant factory operation, innovation of the most complex machine has been neglected - the plant itself. Indoor agricultural operations typically rely on legacy varieties, plants selected and bred for field conditions. In the field, phenotypic stability is paramount, as production must be consistent in an unpredictable and changing environment. However, the controlled environment affords focus on different breeding priorities as environmental flux, pests, pathogens and post-harvest quality are less formidable barriers to production. On the contrary, breeding for controlled environments shifts the focus to a completely different set of plant traits, such as rapid growth, performance in low light environments and active manipulation of plant stature. Instead of breeding for phenotypic stability, plants may be bred to maximise genetic plasticity, allowing specific traits to be presented as a function of the quality of the ambient light spectrum. In this scenario plant varieties may be grown with optimal size, supporting a focus on consumer traits like flavour or accumulation of health-related compounds. Gene editing may be a central technology in the production of designer plants for controlled environments. This review considers the opportunity for breeding for controlled environments, with a focus on a revision of priorities for controlled-environment breeders.</t>
  </si>
  <si>
    <t>Fujimoto, Y; Murakami, S; Kaneko, N; Fuchikami, H; Hattori, T; Hayashi, Y</t>
  </si>
  <si>
    <t>Fujimoto, Yu; Murakami, Saya; Kaneko, Nanae; Fuchikami, Hideki; Hattori, Toshirou; Hayashi, Yasuhiro</t>
  </si>
  <si>
    <t>Machine Learning Approach for Graphical Model-Based Analysis of Energy-Aware Growth Control in Plant Factories</t>
  </si>
  <si>
    <t>In recent decades, there has been a gradual penetration of plant factories achieving semiautomated crop cultivation. However, efficient energy utilization, as well as quality control of crops, are very important factors with regard to sustainable operation. Operating parameters, such as room temperature, affect not only the quality of crops but also the electric power required to realize the target operation while being influenced by the environment outside the plant. Therefore, a methodology is needed to analyze and interpret the relationships among these manipulated variables, exogenous variables, crop quality, and the amount of required electric power. Constructing a directed acyclic graph composed of regression models is an attractive approach for such analysis; however, the relationships can possibly be nonlinear, so the direct application of existing analytic approaches will not be appropriate. In this paper, we propose a methodology for relationship analysis among variables based on the directed acyclic graphs while identifying the linearity/nonlinearity in their relationships. In general, the construction of such a graphical model has computational issues, especially when the number of variables is large, and the risk of over fitting. The proposed method utilizes the idea of sparse regularization, which has been actively discussed in the field of machine learning, for realizing the automatic identification of linearity/nonlinearity between variables and screening redundant candidate structures; this approach relaxes the computational complexity issue and controls the risk of overfitting. As a case study, the proposed method is applied to a dataset collected from a real-world cultivation system in a plant factory to discuss its usefulness.</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</si>
  <si>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</si>
  <si>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</si>
  <si>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</si>
  <si>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</si>
  <si>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</si>
  <si>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</si>
  <si>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</si>
  <si>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</si>
  <si>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</si>
  <si>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</si>
  <si>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</si>
  <si>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</si>
  <si>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</si>
  <si>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</si>
  <si>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</si>
  <si>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</si>
  <si>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</si>
  <si>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Deng, XL; Dou, YT; Hu, DW</t>
  </si>
  <si>
    <t>Deng, Xiaolong; Dou, Yingtong; Hu, Dawei</t>
  </si>
  <si>
    <t>Robust closed-loop control of vegetable production in plant factory</t>
  </si>
  <si>
    <t>Internal variations and external disturbances often adversely influence normal operation of plant factories and their production stability. In this research, a salad-cultivating plant factory (abbreviated as SPF) was considered as a dissipative system, its highly valid kinetic model was developed using system dynamics and experimental data. Optimal closed-loop control law of light intensity, temperature and aerating rate was then obtained based on the gradient of stored-energy (Lyapunov) function of the SPF derived from Hamilton-Jacobi-Isaacs equation. Both digital and real-time simulation results showed that the SPF closed-loop control system with optimal control law could continuously dissipate the stored energy, namely internal variation and external disturbances resulting from insect and microbial damage and other environmental fluctuations with different strengths to stabilize the SPF at an operating point and maintaining the good yield of salad with desired dynamic response characteristics to control actions. This research will lay a theoretical and method foundation for construction and operation of facility agricultural systems and closed artificial ecosystems.</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</si>
  <si>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</si>
  <si>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</si>
  <si>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</si>
  <si>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</si>
  <si>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</si>
  <si>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</si>
  <si>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</si>
  <si>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</si>
  <si>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Zhang, H; Asutosh, A; Hu, W</t>
  </si>
  <si>
    <t>Zhang, He; Asutosh, Ashish; Hu, Wei</t>
  </si>
  <si>
    <t>Implementing Vertical Farming at University Scale to Promote Sustainable Communities: A Feasibility Analysis</t>
  </si>
  <si>
    <t>The issue of food security has affected the well-being of the people for centuries. Academic and industry experts have been constantly developing alternate and better ways to address this issue. One of such innovations is the concept of vertical and zero acreage farming for providing food security and ensuring environmental sustainability. However, this concept has been in its nascent stage, and its development has been sporadic for many years. This paper uses a comprehensive framework to conduct a feasibility analysis of initiating vertical farming on university campuses, which could set an example for using this technique on a large scale. A case study was conducted on a set of 24 canteens across a university in Wuhan, China for accessing the return on investment and food sufficiency using this technique. By using the central limit theorem, a model was developed after investing in 24 canteens in the university, and various scenarios were analyzed. The breakeven on implementing these farms was about 10 to 20 years, with annual profits reaching $92,000 (592,000 RMB).</t>
  </si>
  <si>
    <t>Marondedze, C; Liu, XY; Huang, SH; Wong, C; Zhou, X; Pan, XT; An, HT; Xu, N; Tian, XC; Wong, A</t>
  </si>
  <si>
    <t>Marondedze, Claudius; Liu, Xinyun; Huang, Shihui; Wong, Cynthia; Zhou, Xuan; Pan, Xutong; An, Huiting; Xu, Nuo; Tian, Xuechen; Wong, Aloysius</t>
  </si>
  <si>
    <t>Towards a tailored indoor horticulture: a functional genomics guided phenotypic approach</t>
  </si>
  <si>
    <t>HORTICULTURE RESEARCH</t>
  </si>
  <si>
    <t>As indoor horticulture gathers momentum, electric (also termed artificial) lighting systems with the ability to generate specific and tunable wavelengths have been developed and applied. While the effects of light quality on plant growth and development have been studied, authoritative and reliable sets of light formulae tailored for the cultivation of economically important plants and plant traits are lacking as light qualities employed across laboratories are inconsistent. This is due, at least in part, to the lack of molecular data for plants examined under electric lights in indoor environments. It has hampered progress in the field of indoor horticulture, in particular, the transition from small-scale indoor farming to commercial plant factories. Here, we review the effects of light quality on model and crop plants studied from a physiological, physical and biochemical perspective, and explain how functional genomics can be employed in tandem to generate a wealth of molecular data specific for plants cultivated under indoor lighting. We also review the current state of lighting technologies in indoor horticulture specifically discussing how recent narrow-bandwidth lighting technologies can be tailored to cultivate economically valuable plant species and traits. Knowledge gained from a complementary phenotypic and functional genomics approach can be harvested not only for economical gains but also for sustainable food production. We believe that this review serves as a platform that guides future light-related plant research.</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</si>
  <si>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</si>
  <si>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</si>
  <si>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</si>
  <si>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</si>
  <si>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Jiang, JA; Liao, MS; Lin, TS; Huang, CK; Chou, CY; Yeh, SH; Lin, TT; Fang, W</t>
  </si>
  <si>
    <t>Jiang, Joe-Air; Liao, Min-Sheng; Lin, Tzu-Shiang; Huang, Chen-Kang; Chou, Cheng-Ying; Yeh, Shih-Hao; Lin, Ta-Te; Fang, Wei</t>
  </si>
  <si>
    <t>Toward a higher yield: a wireless sensor network-based temperature monitoring and fan-circulating system for precision cultivation in plant factories</t>
  </si>
  <si>
    <t>PRECISION AGRICULTURE</t>
  </si>
  <si>
    <t>Currently, global warming is worsening, causing the difficulty of cultivating crops in open fields, and leading to unstable quality of crops. Plant factories provide a well-controlled growth environment for precisely cultivating plants. However, uneven temperature distributions (UTDs) still occur at each cultivation shelf in plant factories, which decreases the yields (fresh weight) of plants. In this study, a wireless sensor network (WSN)-based automatic temperature monitoring and fan-circulating system for precision cultivation in plant factories is proposed, and it is built upon the technologies of WSN, ordinary kriging spatial interpolation, and automation control, to precisely find the UTD areas of cultivation shelves. Once a UTD area occurs, the fan-circulating system can be triggered immediately to automatically trace the area and circulate the air. This action can effectively improve the air flow in the cultivation zone, providing optimal growth conditions for plants. The proposed system has been deployed in two plant factories that grew Boston lettuces, and a series of performance evaluation experiments were conducted. The experimental results indicate that the fresh weight of the harvested lettuces increases by 61-109% when employing the proposed system that efficiently and significantly decreases the variation of the temperature in the cultivation zone.</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</si>
  <si>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</si>
  <si>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</si>
  <si>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</si>
  <si>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</si>
  <si>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</si>
  <si>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</si>
  <si>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</si>
  <si>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</si>
  <si>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Gwynn-Jones, D; Dunne, H; Donnison, I; Robson, P; Sanfratello, GM; Schlarb-Ridley, B; Hughes, K; Convey, P</t>
  </si>
  <si>
    <t>Gwynn-Jones, Dylan; Dunne, Hannah; Donnison, Iain; Robson, Paul; Sanfratello, Giovanni Marco; Schlarb-Ridley, Beatrix; Hughes, Kevin; Convey, Peter</t>
  </si>
  <si>
    <t>Can the optimisation of pop-up agriculture in remote communities help feed the world?</t>
  </si>
  <si>
    <t>Threats to global food security have generated the need for novel food production techniques to feed an ever-expanding population with ever-declining land resources. Hydroponic cultivation has been long recognised as a reliable, resilient and resource-use-efficient alternative to soil-based agricultural practices. The aspiration for highly efficient systems and even city-based vertical farms is starting to become realised using innovations such as aeroponics and LED lighting technology. However, the ultimate challenge for any crop production system is to be able to operate and help sustain human life in remote and extreme locations, including the polar regions on Earth, and in space. Here we explore past research and crop growth in such remote areas, and the scope to improve on the systems used in these areas to date. We introduce biointensive agricultural systems and 3D growing environments, intercropping in hydroponics and the production of multiple crops from single growth systems. To reflect the flexibility and adaptability of these approaches to different environments we have called this type of enclosed system 'pop-up agriculture'. The vision here is built on sustainability, maximising yield from the smallest growing footprint, adopting the principles of a circular economy, using local resources and eliminating waste. We explore plant companions in intercropping systems to supply a diversity of plant foods. We argue that it is time to consume all edible components of plants grown, highlighting that nutritious plant parts are often wasted that could provide vitamins and antioxidants. Supporting human life via crop production in remote and isolated communities necessitates new levels of efficiency, eliminating waste, minimising environmental impacts and trying to wean away from our dependence on fossil fuels. This aligns well with tandem research emerging from economically developing countries where lower technology hydroponic approaches are being trialled reinforcing the need for 'cross-pollination' of ideas and research development on pop-up agriculture that will see benefits across a range of environments.</t>
  </si>
  <si>
    <t>Tsunedomi, A; Miyawaki, K; Masamura, A; Nakahashi, M; Mawatari, K; Shimohata, T; Uebanso, T; Kinouchi, Y; Akutagawa, M; Emoto, T; Takahashi, A</t>
  </si>
  <si>
    <t>Tsunedomi, Akari; Miyawaki, Katsuyuki; Masamura, Akinori; Nakahashi, Mutsumi; Mawatari, Kazuaki; Shimohata, Takaaki; Uebanso, Takashi; Kinouchi, Yousuke; Akutagawa, Masatake; Emoto, Takahiro; Takahashi, Akira</t>
  </si>
  <si>
    <t>UVA-LED device to disinfect hydroponic nutrient solution</t>
  </si>
  <si>
    <t>JOURNAL OF MEDICAL INVESTIGATION</t>
  </si>
  <si>
    <t>The number of plant factories in which crops are cultivated in an artificial environment has been increasing every year. In cultivation techniques involving hydroponics, plants are supplied with a circulating nutrient solution, which can become contaminated by pathogens that can propagate and spread throughout plant factories. Therefore, strategies to disinfect hydroponic nutrient solutions are needed. In this study, we developed a new disinfection device equipped with an ultraviolet A (UVA) light emitting diode (LED) that can be used to disinfect hydroponic nutrient solutions in plant factories. We first evaluated the basic disinfection capability of the device and then estimated its bactericidal effect in a small scale model system. The log survival ratio was related to UVA irradiation fluence and the volume of nutrient solution. From the assay results, we devised a kinetics equation to describe the relationship between nutrient solution volume, log survival ratio, and UVA fluence. Together our results show that UVA irradiation could be used to disinfect hydroponic nutrient solutions, and the derived kinetics equations can be used to determine optimal conditions, such as nutrient solution volume, UVA irradiation, and killing activity, to develop devices that disinfect hydroponic nutrient solutions.</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</si>
  <si>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</si>
  <si>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</si>
  <si>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</si>
  <si>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</si>
  <si>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</si>
  <si>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</si>
  <si>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</si>
  <si>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</si>
  <si>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</si>
  <si>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</si>
  <si>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</si>
  <si>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</si>
  <si>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</si>
  <si>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Pigford, AAE; Hickey, GM; Klerkx, L</t>
  </si>
  <si>
    <t>Pigford, Ashlee-Ann E.; Hickey, Gordon M.; Klerkx, Laurens</t>
  </si>
  <si>
    <t>Beyond agricultural innovation systems? Exploring an agricultural innovation ecosystems approach for niche design and development in sustainability transitions</t>
  </si>
  <si>
    <t>AGRICULTURAL SYSTEMS</t>
  </si>
  <si>
    <t>Well-designed and supported innovation niches may facilitate transitions towards sustainable agricultural futures, which may follow different approaches and paradigms such as agroecology, local place-based food systems, vertical farming, bioeconomy, urban agriculture, and smart fanning or digital farming. In this paper we consider how the existing agricultural innovation systems (AIS) approach might be opened up to better support the creation of innovation niches. We engage with Innovation Ecosystems thinking to consider the ways in which it might enhance efforts to create multi-actor, cross-sectoral innovation niches that are capable of supporting transitions to sustainable agricultural systems across multiple scales. While sharing many similarities with MS thinking, Innovation Ecosystems thinking has the potential to broaden MS by: emphasizing the role of power in shaping directionality in innovation platforms or innovation communities that are connected to niches and their interaction with regimes; highlighting the plurality of actors and actants and the integral role of ecological actants in innovation; and offering an umbrella concept through which to cross scalar and paradigmatic or sector boundaries in order to engage with a variety of innovation systems affecting multifunctional agricultural landscapes and systems. To this end, an Agricultural Innovation Ecosystems approach may help design and support development of transboundary, inter-sectoral innovation niches that can realize more collective and integrated innovation</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</si>
  <si>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</si>
  <si>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</si>
  <si>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</si>
  <si>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</si>
  <si>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</si>
  <si>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</si>
  <si>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</si>
  <si>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</si>
  <si>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Kotilainen, T; Robson, TM; Hernandez, R</t>
  </si>
  <si>
    <t>Kotilainen, Titta; Robson, T. Matthew; Hernandez, Ricardo</t>
  </si>
  <si>
    <t>Light quality characterization under climate screens and shade nets for controlled-environment agriculture</t>
  </si>
  <si>
    <t>Climate screens are typically used inside glass greenhouses to improve control of humidity and temperature, and thus reduce energy expenditure. Shade nets are more appropriate to use, either with or without polyethylene cladding, at locations less-reliant on climate control, but where protection against hail, wind and excessive solar radiation might be needed. In addition, insect screens and nets can be employed to hinder insect pests and other invertebrates entering either type of production environment, and to keep invertebrates used in pest management contained inside. Screens and nets both transmit sunlight in a wave-length-specific manner, giving them the potential to affect plant morphology and physiology. Screens and nets of various colours and nominal shading factors have been described and studied; however, detailed measurements of their spectral characteristics are scarce. We measured solar spectral photon-irradiance and its attenuation by climate screens, shade nets, insect nets, greenhouse glass, and polyethylene covers. Our aim was to elucidate the effects of different patterns, colours, and shading factors, on light quality in production environments. Our measurements reveal that there are large differences both in the fraction of global irradiance attenuated and spectral ratios received under materials that are otherwise superficially similar in terms of their appearance and texture. We suggest that the type of spectral characterization that we performed is required to fully interpret the results of research examining plant responses to different types of screen and net. These data on spectral irradiance would benefit material manufacturers, researchers, growers, and horticultural consultants, enabling material selection to better match the solutions sought by growers and their desired outcomes regarding plant performance.</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</si>
  <si>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</si>
  <si>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</si>
  <si>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</si>
  <si>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</si>
  <si>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Kikuchi, Y; Kanematsu, Y; Yoshikawa, N; Okubo, T; Takagaki, M</t>
  </si>
  <si>
    <t>Kikuchi, Yasunori; Kanematsu, Yuichiro; Yoshikawa, Naoki; Okubo, Tatsuya; Takagaki, Michiko</t>
  </si>
  <si>
    <t>Environmental and resource use analysis of plant factories with energy technology options: A case study in Japan</t>
  </si>
  <si>
    <t>A comprehensive analysis of multiple aspects of food production is needed to address related concerns, such as the use of nitrogen, phosphorus, and potassium fertilizers, the consumption of water, the occupation or transformation of land, and greenhouse gas emissions. We examine the environmental properties of plant factories with sunlight and plant factories with artificial light, comparing them with conventional Japanese horticulture systems. Process conditions and inventory data were extracted from demonstration factories in Chiba, Japan. We found that these plant factories reduced the use of irreplaceable resources for food production, i.e., phosphorus, water, and land area, at the expense of additional energy consumption compared with conventional Japanese horticulture systems. By employing emerging energy technology options, energy consumption can be reduced sufficiently to be competitive with that of conventional horticulture systems. The results indicate that plant factories could become a viable or competitive production technology, changing the slope factors in the nexus of food, energy, and water systems. (C) 2018 Elsevier Ltd. All rights reserved.</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</si>
  <si>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</si>
  <si>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</si>
  <si>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</si>
  <si>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</si>
  <si>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Bantis, F; Smirnakou, S; Ouzounis, T; Koukounaras, A; Ntagkas, N; Radoglou, K</t>
  </si>
  <si>
    <t>Bantis, Filippos; Smirnakou, Sonia; Ouzounis, Theoharis; Koukounaras, Athanasios; Ntagkas, Nikolaos; Radoglou, Kalliopi</t>
  </si>
  <si>
    <t>Current status and recent achievements in the field of horticulture with the use of light-emitting diodes (LEDs)</t>
  </si>
  <si>
    <t>Light-emitting diode (LED) technology has rapidly advanced the past years and it is nowadays irrevocably linked with controlled-environment agriculture (CEA). We provide here an amalgamation of the recent research achievements in the horticulture and floriculture industry, ranging from greenhouse applications to climate rooms and vertical farming. We hope this overview bestows ample examples for researchers and growers in the selection of the appropriate LED light solution for amending crop yield, phytochemical content, nutritional value, flowering control, transplant success, pre-harvest and postharvest product quality, and production of regeneration material. We leave the reader with some future prospects and directions that need to be taken into account in this ever-growing field.</t>
  </si>
  <si>
    <t>Huh, JH</t>
  </si>
  <si>
    <t>Huh, Jun-Ho</t>
  </si>
  <si>
    <t>Implementation of lightweight intrusion detection model for security of smart green house and vertical farm</t>
  </si>
  <si>
    <t>INTERNATIONAL JOURNAL OF DISTRIBUTED SENSOR NETWORKS</t>
  </si>
  <si>
    <t>With the current global food production capability, it is not difficult to anticipate that there will be a global food shortage when the world population grows beyond 10billion by the end of the 21st century. Many projects are in motion to deal with this problem and some of them are considered to be quite feasible. Development and implementation of smart green houses and vertical farms are two major solutions for the expected crisis, but as other ICT-based systems, their security problems must be dealt with. Nevertheless, current network forensics is still unable to fully monitor and analyze computer network traffic to gather the evidences of malicious attacks or intrusions. Although major companies and government agencies have introduced various types of high-speed IDS into their networks, smaller firms or private organizations are unable to do so because of the cost involved. The lightweight IDS proposed in this study can be a suitable solution as this system can be operated with a common PC and peripherals. This system also underwent a test bed experiment and proved its efficiency. Jpcap library was used to capture transport packets which were then classified using typical communications protocols. The packet headers were subjected to analysis and the results were stored in database for later applications.</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</si>
  <si>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</si>
  <si>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</si>
  <si>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</si>
  <si>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</si>
  <si>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Ohyama, K; Yamaguchi, J; Enjoji, A</t>
  </si>
  <si>
    <t>Ohyama, Katsumi; Yamaguchi, Junichi; Enjoji, Ayumi</t>
  </si>
  <si>
    <t>Evaluating Labor Productivity in a Plant Production System with Sole-source Lighting: A Case Study</t>
  </si>
  <si>
    <t>Labor productivity in terms of material value (weight of plants harvested per hour per person) was evaluated for 6 months from the start of operations in a research facility at Osaka Prefecture University (Osaka, Japan), serving as a model system for plant production with sole-source lighting (also referred to as a vertical farm'' or plant factory''). The research facility is capable of producing lettuce plants (Lactuca sativa) at a maximum production rate of approximate to 5000 plants/day when the relative harvest rate (i.e., number of plants harvested/maximum potential number of plants harvested) is 100%. However, in the present study, the relative harvest rate at the research facility was in the range of 17% to 65% and labor productivity varied from 1.5 to 6.0 kg.h(-1) per person. The evaluation results indicated that increasing the weight of plants harvested and increasing the relative harvest rate was necessary to maintain a high level of labor productivity. The processing time for harvesting was greatest among all plant operations, suggesting the need to reduce the time taken in this operation to increase the labor productivity in the research facility and in other plant production systems with sole-source lighting (PPSLs). This study demonstrates the importance of analyzing labor productivity for increasing the commercial feasibility of PPSLs. However, further long-term investigation with higher relative harvest rates is required for a more definitive conclusion.</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</si>
  <si>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</si>
  <si>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</si>
  <si>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Braileanu, AL</t>
  </si>
  <si>
    <t>Braileanu, Artur-Lucian</t>
  </si>
  <si>
    <t>INTENSIVE FARMING VERSUS-AGRICULTURE ENVIRONMENTALLY SUSTAINABLE</t>
  </si>
  <si>
    <t>QUALITY-ACCESS TO SUCCESS</t>
  </si>
  <si>
    <t>In recent decades, however, after a long period of intensive farming on a wide scale, no one doubts that high yields obtained were followed by a negative impact on the environment threatening the very future of agriculture while the methods of agriculture intensive is a real pressure on the natural resources that underpin agriculture. Among the negative effects it has intensive agriculture on the environment degradation, long-term and very long soil salinization excessive irrigated areas, pollution of surface and groundwater, increasing plant resistance to pesticides, loss of biodiversity in these areas, etc. Intensive agriculture has affected also the environment considerably by massive deforestation that have been made to obtain new arable land but also the emission into the atmosphere of greenhouse gases and other polluting substances. Vertical farming plants or animals should be placed in tall buildings, it is also seen as a way applicable to urban agriculture. There would be need heavy equipment and the distance from farm to fork. According to the European Environment Agency Vertical farming could reduce CO2 emissions.</t>
  </si>
  <si>
    <t>Eaves, J; Eaves, S</t>
  </si>
  <si>
    <t>Eaves, James; Eaves, Stephen</t>
  </si>
  <si>
    <t>Comparing the Profitability of a Greenhouse to a Vertical Farm in Quebec</t>
  </si>
  <si>
    <t>CANADIAN JOURNAL OF AGRICULTURAL ECONOMICS-REVUE CANADIENNE D AGROECONOMIE</t>
  </si>
  <si>
    <t>Rapidly growing demand for year-round fresh food, regardless of the weather or climate, is driving demand for controlled environment agriculture systems. Sales from greenhouses (GHs) are growing at 8.8%, while sales from vertical farms (VFs) are growing at 30%. It is commonly believed in industry circles that a VF cannot economically compete with a GH, due to the high cost of powering artificial lighting. Nonetheless, researchers have yet to analyze the economics underlying a VF, let alone compare the profitability of a VF to that of a GH. This research gap is particularly relevant to Canada, as it is uniquely positioned to be a leader in the VF market. Below, we report the results of a detailed simulation of the profitability of growing lettuce in a VF and in a GH located near Quebec City. Surprisingly, we find that the costs to both equip and run the two facilities are very similar, while the gross profit is slightly higher for the VF.</t>
  </si>
  <si>
    <t>Kalantari, F; Tahir, OM; Joni, RA; Aminuldin, NA</t>
  </si>
  <si>
    <t>Kalantari, Fatemeh; Tahir, Osman Mohd; Joni, Rahele Akbari; Aminuldin, Nur Azemah</t>
  </si>
  <si>
    <t>THE IMPORTANCE OF THE PUBLIC ACCEPTANCE THEORY IN DETERMINING THE SUCCESS OF THE VERTICAL FARMING PROJECTS</t>
  </si>
  <si>
    <t>MANAGEMENT RESEARCH AND PRACTICE</t>
  </si>
  <si>
    <t>The main point is what is the role of public acceptability? The relevant question is how the public reacts and how we change our socio-cultural perception of Vertical Farming as a new technology or new innovation. The answer shows us the importance of study in related to the of Vertical Farming. There is a lack of comprehensive empirical studies exploring the status quo of Vertical Farming in all its different forms and functions. Existing empirical studies mostly focus on the construction technology or the agricultural technique of Vertical Farming. So far, no research addressed the factors contributing to the acceptance or rejection of Vertical Farming. The present research hopes to fill this gap and contribute to a better awareness of that. In this study, public acceptance as one of the important factor of accepting or rejecting the Vertical Farming is discussed and reviewed by qualitative approach. A comprehensive literature reviewed on public acceptance of Vertical Farming in relation to the food security. The study resources were formed from different sources from 2007 to 2017. Through its broad theoretical coverage, this research provides the valuable groundwork for future studies on public acceptance of Vertical Farming. Also, this body of research shed light on practical experiences or ways to solve current problems, and hope to encourage innovation or repeat projects that were successfully implemented elsewhere in the world.</t>
  </si>
  <si>
    <t>Uchida, T; Nishikawa, H; Sakurai, N; Asano, M; Noda, N</t>
  </si>
  <si>
    <t>Uchida, Tsutomu; Nishikawa, Hitoshi; Sakurai, Nobuki; Asano, Masashi; Noda, Naoki</t>
  </si>
  <si>
    <t>Ultra-Fine Bubble Distributions in a Plant Factory Observed by Transmission Electron Microscope with a Freeze-Fracture Replica Technique</t>
  </si>
  <si>
    <t>NANOMATERIALS</t>
  </si>
  <si>
    <t>Water containing ultra-fine bubbles (UFB) may promote plant growth. But, as UFBs are too small to distinguish from other impurities in a nutrient solution, it is not known if UFBs survive transport from the water source to the rhizosphere. Here we use the freeze-fracture replica method and a transmission electron microscope (TEM) to observe UFBs in the nutrient solutions used in a crop-growing system known as a plant factory. In this factory, TEM images taken from various points in the supply line indicate that the concentration of UFBs in the nutrient solution is conserved, starting from their addition to the nutrient solution in the buffer tank, through the peat-moss layer, all the way to the rhizosphere. Measurements also show that a thin film formed on the surface of UFBs in the nutrient solution, with greater film thickness at the rhizosphere. This film is considered to be made from the accumulation of impurities coming from solute and the peat-moss layer.</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</si>
  <si>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</si>
  <si>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</si>
  <si>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</si>
  <si>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</si>
  <si>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Deng, JK; Zhang, HR; Zhang, XJ; Zheng, YJ; Yuan, JQ; Liu, HZ; Liu, YL; Lei, BF; Qiu, JB</t>
  </si>
  <si>
    <t>Deng, Jiankun; Zhang, Haoran; Zhang, Xuejie; Zheng, Yinjian; Yuan, Junqiang; Liu, Hongzhong; Liu, Yingliang; Lei, Bingfu; Qiu, Jianbei</t>
  </si>
  <si>
    <t>Ultrastable red-emitting phosphor-in-glass for superior high-power artificial plant growth LEDs</t>
  </si>
  <si>
    <t>Ultrastable red-emitting phosphor-in-glass (PiG) consisting of 3.5MgO center dot 0.5MgF(2)center dot GeO2:Mn4+ (MMG: Mn4+) phosphor in a glass matrix was prepared for superior artificial plant growth LEDs (PGLs). These obtained PiG plates show a thermal conductivity of 1.671 W m(-1)K(-1) and an external quantum efficiency of 27.5%, which provides the strong foundation for the application in high-power artificial plant growth LEDs (PGLs). Furthermore, a proof-of-concept PGL using 36 pieces of the title PiG plate and 420 nm-blue LED chip was fabricated. The combination of similar to 420 nm from chip and the similar to 659 nm chip from the MMG: Mn4+ phosphor provide a well-matched spectrum with the absorption bands of photosynthetic pigments and the phytochrome (P-R and P-FR) of most green plants. As expected, the as-fabricated PGL-treated milk-Chinese cabbage cultured in the indoor plant factory showed that after 15 day-irradiation, the plant biomass was nearly 48.9% greater in treated sample than those cultured using the general R-B LED lamps. Further analysis also demonstrated that promotive effect can also be obtained in the level of ascorbic acid, soluble protein, soluble sugar and total chlorophyll. The PiG strategy presented in this paper afforded superior high-power artificial plant growth LEDs, which are crucial in the application of ecological agriculture.</t>
  </si>
  <si>
    <t>Wu, TZ; Lin, Y; Zheng, LL; Guo, ZQ; Xu, JX; Liang, SJ; Liu, ZG; Lu, YJ; Shih, TM; Chen, Z</t>
  </si>
  <si>
    <t>Wu, Tingzhu; Lin, Yue; Zheng, Lili; Guo, Ziquan; Xu, Jianxing; Liang, Shijie; Liu, Zhuguagn; Lu, Yijun; Shih, Tien-mo; Chen, Zhong</t>
  </si>
  <si>
    <t>Analyses of multi-color plant-growth light sources in achieving maximum photosynthesis efficiencies with enhanced color qualities</t>
  </si>
  <si>
    <t>OPTICS EXPRESS</t>
  </si>
  <si>
    <t>An optimal design of light-emitting diode (LED) lighting that benefits both the photosynthesis performance for plants and the visional health for human eyes has drawn considerable attention. In the present study, we have developed a multi-color driving algorithm that serves as a liaison between desired spectral power distributions and pulse-width-modulation duty cycles. With the aid of this algorithm, our multi-color plant-growth light sources can optimize correlated-color temperature (CCT) and color rendering index (CRI) such that photosynthetic luminous efficacy of radiation (PLER) is maximized regardless of the number of LEDs and the type of photosynthetic action spectrum (PAS). In order to illustrate the accuracies of the proposed algorithm and the practicalities of our plant-growth light sources, we choose six color LEDs and German PAS for experiments. Finally, our study can help provide a useful guide to improve light qualities in plant factories, in which long-term co-inhabitance of plants and human beings is required. (c) 2018 Optical Society of America under the terms of the OSA Open Access Publishing Agreement</t>
  </si>
  <si>
    <t>Al-Kodmany, K</t>
  </si>
  <si>
    <t>Al-Kodmany, Kheir</t>
  </si>
  <si>
    <t>The Vertical Farm: A Review of Developments and Implications for the Vertical City</t>
  </si>
  <si>
    <t>BUILDINGS</t>
  </si>
  <si>
    <t>This paper discusses the emerging need for vertical farms by examining issues related to food security, urban population growth, farmland shortages, food miles, and associated greenhouse gas (GHG) emissions. Urban planners and agricultural leaders have argued that cities will need to produce food internally to respond to demand by increasing population and to avoid paralyzing congestion, harmful pollution, and unaffordable food prices. The paper examines urban agriculture as a solution to these problems by merging food production and consumption in one place, with the vertical farm being suitable for urban areas where available land is limited and expensive. Luckily, recent advances in greenhouse technologies such as hydroponics, aeroponics, and aquaponics have provided a promising future to the vertical farm concept. These high-tech systems represent a paradigm shift in farming and food production and offer suitable and efficient methods for city farming by minimizing maintenance and maximizing yield. Upon reviewing these technologies and examining project prototypes, we find that these efforts may plant the seeds for the realization of the vertical farm. The paper, however, closes by speculating about the consequences, advantages, and disadvantages of the vertical farm's implementation. Economic feasibility, codes, regulations, and a lack of expertise remain major obstacles in the path to implementing the vertical farm.</t>
  </si>
  <si>
    <t>Graamans, L; Baeza, E; van den Dobbelsteen, A; Tsafaras, I; Stanghellini, C</t>
  </si>
  <si>
    <t>Graamans, Luuk; Baeza, Esteban; van den Dobbelsteen, Andy; Tsafaras, Ilias; Stanghellini, Cecilia</t>
  </si>
  <si>
    <t>Plant factories versus greenhouses: Comparison of resource use efficiency</t>
  </si>
  <si>
    <t>Research on closed plant production systems, such as artificially illuminated and highly insulated plant factories, has offered perspectives for urban food production but more insight is needed into their resource use efficiency. This paper assesses the potential of this 'novel' system for production in harsh climates with either low or high temperatures and solar radiation levels. The performance of plant factories is compared with cultivation in traditional greenhouses by analysing the use of resources in the production of lettuce. We applied advanced climate models for greenhouses and buildings, coupled with a lettuce model that relates growth to microclimate. This analysis was performed for three different climate zones and latitudes (24-68 degrees N). In terms of energy efficiency, plant factories (1411 MJ kg(-1) dry weight) outperform even the most efficient greenhouse (Sweden with artificial illumination; 1699 MJ kg(-1) dry weight). Additionally, plant factories achieve higher productivity for all other resources (water, CO2 and land area). With respect to purchased energy, however, greenhouses excel as they use freely available solar energy for photosynthesis. The production of 1 kg dry weight of lettuce requires an input of 247 kWhe in a plant factory, compared to 70, 111, 182 and 211 kWhe in greenhouses in respectively the Netherlands, United Arab Emirates and Sweden (with and without additional artificial illumination). The local scarcity of resources determines the suitability of production systems. Our quantitative analysis provides insight into the effect of external climate on resource productivity in plant factories and greenhouses. By elucidating the impact of the absence of solar energy, this provides a starting point for determining the economic viability of plant factories.</t>
  </si>
  <si>
    <t>Huang, LC; Chen, YH; Chen, YH; Wang, CF; Hu, MC</t>
  </si>
  <si>
    <t>Huang, Li-Chun; Chen, Yu-Hui; Chen, Ya-Hui; Wang, Chi-Fang; Hu, Ming-Che</t>
  </si>
  <si>
    <t>Food-Energy Interactive Tradeoff Analysis of Sustainable Urban Plant Factory Production Systems</t>
  </si>
  <si>
    <t>This research aims to analyze the food energy interactive nexus of sustainable urban plant factory systems. Plant factory systems grow agricultural products within artificially controlled growing environment and multi-layer vertical growing systems. The system controls the supply of light, temperature, humidity, nutrition, water, and carbon dioxide for growing plants. Plant factories are able to produce consistent and high-quality agricultural products within less production space for urban areas. The production systems use less labor, pesticide, water, and nutrition. However, food production of plant factories has many challenges including higher energy demand, energy costs, and installation costs of artificially controlled technologies. In the research, stochastic optimization model and linear complementarity models are formulated to conduct optimal and equilibrium food energy analysis of plant factory production. A case study of plant factories in the Taiwanese market is presented.</t>
  </si>
  <si>
    <t>Chen, WC; Lin, YF; Liu, KP; Chang, HP; Wang, LY; Tai, PH</t>
  </si>
  <si>
    <t>Chen, Wen-Chin; Lin, Yen-Fu; Liu, Kai-Ping; Chang, Hui-Pin; Wang, Li-Yi; Tai, Pei-Hao</t>
  </si>
  <si>
    <t>A Complete MCDM Model for NPD Performance Assessment in an LED-Based Lighting Plant Factory</t>
  </si>
  <si>
    <t>MATHEMATICAL PROBLEMS IN ENGINEERING</t>
  </si>
  <si>
    <t>Globally, industries and economies have undergone rapid development and expansion over the last several decades. As a result, global warming and environmental contaminations have resulted in climate change and jeopardized food security. In many developing countries, already decreasing crop yields are threatened by extreme weather and soil damaged by genetically modified food, making environmental problems worse and increasing food and organic product prices. For these reasons, this study proposes a hybrid multicriteria decision-making (MCDM) model for new product development (NPD) in the light-emitting diode- (LED-) based lighting plant factory. First, literature reviews and expert interviews are employed in constructing a list of decision-making objectives and criteria for new product development. Then, a fuzzy Delphi method (FDM) is used to screen the elements of the objectives and criteria, while a fuzzy decision-making trial and evaluation laboratory (FDEMATEL) is used to determine the relationships among the objectives and criteria. Finally, a fuzzy analytic network process (FANP) and a composite priority vector (CPV) are manipulated to determine the relative importance weights of the critical objectives and criteria. Results show that the proposed method can create a useful and assessable MCDM model for decision-making applications in new product development, and a case study is herein performed to validate the feasibility of the proposed model in a Taiwanese LED-based lighting plant factory, which not only provides the decision-makers with a feasible hierarchical data structure for decision-making guidance but also increases the competitive advantages of trade-offs on developing novel products.</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</si>
  <si>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</si>
  <si>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</si>
  <si>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</si>
  <si>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</si>
  <si>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</si>
  <si>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</si>
  <si>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</si>
  <si>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</si>
  <si>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Gomez, C; Izzo, LG</t>
  </si>
  <si>
    <t>Gomez, Celina; Izzo, Luigi Gennaro</t>
  </si>
  <si>
    <t>Increasing efficiency of crop production with LEDs</t>
  </si>
  <si>
    <t>AIMS AGRICULTURE AND FOOD</t>
  </si>
  <si>
    <t>Light-emitting diode (LED) technology is paving the way to increase crop production efficiency with electric lamps. Users can select specific wavelengths to elicit targeted photomorphogenic, biochemical, or physiological plants responses. In addition, LEDs can help control the seasonality of flowering plants to accurately schedule uniform flowering based on predetermined market dates. Research has shown that the monochromatic nature of LEDs can help prevent physiological disorders that are common in indoor environments, and help reduce incidence of pest and disease pressure in agriculture, which could ultimately increase crop production efficiency by preventing crop losses. Furthermore, a significant attribute of LED technology is the opportunity to reduce energy costs associated with electric lighting. Studies have shown that by increasing canopy photon capture efficiency and/or precisely controlling light output in response to the environment or to certain physiological parameters, energy efficiency and plant productivity can be optimized with LEDs. Future opportunities with LED lighting include the expansion of the vertical farming industry, applications for space-based plant growth systems, and potential solutions to support off-grid agriculture.</t>
  </si>
  <si>
    <t>Lefers, RM; Davies, PA; Fedoroff, NV; Almadhoun, N; Tester, MA; Leiknes, T</t>
  </si>
  <si>
    <t>Lefers, R. M.; Davies, P. A.; Fedoroff, N., V; Almadhoun, N.; Tester, M. A.; Leiknes, T.</t>
  </si>
  <si>
    <t>PROOF OF CONCEPT: POZZOLAN BRICKS FOR SALINE WATER EVAPORATIVE COOLING IN CONTROLLED ENVIRONMENT AGRICULTURE</t>
  </si>
  <si>
    <t>Control of indoor temperature and humidity is of critical concern for controlled environment agriculture systems in hot, arid regions. Evaporative cooling is a technology utilized for energy-efficient cooling and humidification of these systems. However, the evaporative cooling process consumes considerable amounts of water, as much as 80-90% of the water footprint for indoor food production in these regions. The use of saline water in place of fresh water in evaporative cooling systems offers a potential solution for greatly improving the sustainability of these systems. However, the use of saline water in industry-standard cellulose pad systems can cause premature clogging of the porous medium, leading to system failure and the need for porous media replacement. A new evaporative cooling technology consisting of crushed pozzolan volcanic rock formed into porous bricks was evaluated for use in controlled environment agriculture systems using saline water. Two brick designs were tested for proof of concept cooling of commercial-scale greenhouses. Temperature-based cooling efficiencies of the bricks were achieved that are comparable to cellulose pads. In addition, the pozzolan-based bricks showed impressive resistance to saline water and harsh environments, requiring no replacement over the duration of the experimental trials. The integration of the pozzolan evaporative cooling systems using sea or brackish water with a water-saving growing technology, such as recirculating aquaponics or hydroponics, shows promise for reducing the fresh water footprint of food raised indoors in hot, dry environments by as much as 80%-90%.</t>
  </si>
  <si>
    <t>Lu, N; Takagaki, M; Yamori, W; Kagawa, N</t>
  </si>
  <si>
    <t>Lu, Na; Takagaki, Michiko; Yamori, Wataru; Kagawa, Natsuko</t>
  </si>
  <si>
    <t>Flavonoid Productivity Optimized for Green and Red Forms of Perilla frutescens via Environmental Control Technologies in Plant Factory</t>
  </si>
  <si>
    <t>JOURNAL OF FOOD QUALITY</t>
  </si>
  <si>
    <t>Perilla frutescens (Lamiaceae) is a dietary staple in Asia. It is an abundant source of flavonoids that are bioactively beneficial to human health and fitness. The current popularity of plant-based consumption is being driven by the healthful benefits of bioactive nutrition, and the concentration of bioactive agents found in raw plant materials is an important factor in the assessment of food quality. To test the feasibility of promoting flavonoid productivity in perilla plants via environmental treatment, plant factory technology was applied to perilla plant cultivation. Apigenin (AG) and luteolin (LT) are two of the most potent anticarcinogenic flavonoids in perilla, and these are also found in many vegetables and fruits. Quantitative analysis of AG and LT was conducted on plants cultivated under nine environmental forms of treatment imposed by three levels of light intensity (100, 200, and 300 mu molm(-2)s(-1)) combined with three levels of nutrient-solution concentration (1.0, 2.0, and 3.0dSm(-1)) for hydroculture. The contents of AG in green and red perilla plant were increased by high nutrient-solution levels under the same light intensity. In green perilla, the highest concentration of AG (8.50 mu gg(-1)) was obtained under treatment of the highest level of nutrient-solution (3.0dSm(-1)) and 200 mu molm(-2)s(-1) of light intensity, whereas in red perilla, the highest concentration of AG (6.38 mu gg(-1)) was achieved from the highest levels of both of these forms of treatment (300 mu molm(-2)s(-1) and 3.0dSm(-1)). The increase in AG content per plant between the lowest and the highest levels was recorded by 6.4-fold and 8.6-fold in green and red perilla, respectively. The behavior of LT concentration differed between green and red forms of perilla. LT concentration in red perilla was enhanced under nutrient deficiency (1.0dSm(-1)) and affected by light intensity. Different responses were observed in the accumulations of AG and LT in red and green perilla during treatments, and this phenomenon was discussed in terms of biosynthetic pathways that involve the expressions of phenylpropanoids and anthocyanins. The total yield of flavonoids (AG and LT) was improved with the optimization of those forms of treatment, with the best total yields: 33.9mgplant(-1) in green Perilla; 10.0mgplant(-1) in red perilla, and a 4.9-fold and a 5.4-fold increase was recorded in green and red perilla, respectively. This study revealed that flavone biosynthesis and accumulation in perilla plants could be optimized via environmental control technologies, and this approach could be applicable to leafy vegetables with bioactive nutrition to produce a stable industrial supply of high flavonoid content.</t>
  </si>
  <si>
    <t>McCartney, L; Lefsrud, MG</t>
  </si>
  <si>
    <t>McCartney, L.; Lefsrud, M. G.</t>
  </si>
  <si>
    <t>PROTECTED AGRICULTURE IN EXTREME ENVIRONMENTS: A REVIEW OF CONTROLLED ENVIRONMENT AGRICULTURE IN TROPICAL, ARID, POLAR, AND URBAN LOCATIONS</t>
  </si>
  <si>
    <t>Many methods of protected agriculture are used to modify the growing environment of plants. Ideally, plant production would take place in regions that do not require protective structures, regions that present ideal temperatures, no harsh extremes, and sufficient but not excess precipitation. This is not the case however, as most countries, save for a select few, require various forms of controlled environment agriculture to protect crops against climatic and environmental extremes. Although the greenhouse industry has developed vast amounts of technology for the temperate climate regions of our planet, much remains to be improved in terms of protected agriculture in the more extreme climates. Tropical, arid, polar and urban locations offer contrasting environments that present various challenges for plant growth. Some challenges are specific to each location, while others are common across them. Tropical and arid climates offer high solar radiation, but present harsh temperature and relative humidity conditions. Most protected agriculture structures are relatively open in nature to ventilate and discharge heat, but are susceptible to pests and diseases. On the other hand, polar climates and urban environments often lack solar radiation and require a high level of control of the air quality. The structures used in these environments are relatively enclosed to entrap heat (polar) and to make efficient use of space. The sustainability of available technologies and energy efficiency are important themes present in all discussed climates and environments. Protected agriculture technologies offer solutions to growers in locations with extreme climates wishing to produce high yields of high quality crop, and this article presents a review of the existing challenges and of the advancements made in this field.</t>
  </si>
  <si>
    <t>Prikupets, LB; Boos, GV; Terekhov, VG; Tarakanov, IG</t>
  </si>
  <si>
    <t>Prikupets, Leonid B.; Boos, George V.; Terekhov, Vladislav G.; Tarakanov, Ivan G.</t>
  </si>
  <si>
    <t>RESEARCH INTO INFLUENCE FROM DIFFERENT RANGES OF PAR RADIATION ON EFFICIENCY AND BIOCHEMICAL COMPOSITION OF GREEN SALAD FOLIAGE BIOMASS</t>
  </si>
  <si>
    <t>Results of the first photobiological studies of optimisation of LED phyto irradiators spectrum and irradiance level, when growing salad-greengrocers plants in greenhouses and plant factories in photoculture conditions, are presented in the article. The results are given as a series of producing capacity curves for salad and basil plants when irradiating by quasi-monochromatic spectrum for three PAR ranges: blue, green and red. In the experiment, levels of photosynthetic photon irradiance (70 divided by 230) mu mol/s.m(2) and of irradiance (13 divided by 60) W/m(2) were varied within a wide range. Rough spectra of optical radiation action estimated over producing capacity of plants with different irradiance levels are given, and questions of additivity of different spectral radiation influence in forming vegetable biomass are considered. Evaluations of efficiency of various PAR intervals for synthesis of biochemical combinations determining nutrition facts of the studied cultures are performed.</t>
  </si>
  <si>
    <t>Riikonen, J; Luoranen, J</t>
  </si>
  <si>
    <t>Riikonen, Johanna; Luoranen, Jaana</t>
  </si>
  <si>
    <t>Use of short-day treatment in the production of Norway spruce mini-plug seedlings under plant factory conditions</t>
  </si>
  <si>
    <t>Mini-plug transplant seedlings of Norway spruce have been cultivated in closed growth systems, so-called plant factories, for few years. The aim of the experiment was to define a short-day treatment (SD) that harden seedlings to sustain 3 months of cold storage, but does not have adverse effects on growth, morphology, and vitality. The seedlings were subjected to one of the following treatments: (1) 12h photoperiod + 3 weeks duration; (2) 8h photoperiod + 3wk duration; (3) 12h photoperiod + 5wk duration; and (4) 8h photoperiod + 5wk SD. All the SD treatments yielded healthy seedlings that grew well after the cold storage. The frost hardiness of the seedlings improved when the photoperiod was reduced from 12 to 8h, and when the SD duration was increased from 3 weeks to 5 weeks, but reducing the photoperiod from 12h to 8h caused growth reductions. The root and shoot regrowth after cold storage was highest in seedlings that had received 12h photoperiod and 5wk duration. However, 12h photoperiod and 3wk duration may be an adequate practice for nurseries that treat multiple crops in their SD facilities.</t>
  </si>
  <si>
    <t>Shamshiri, RR; Kalantari, F; Ting, KC; Thorp, KR; Hameed, IA; Weltzien, C; Ahmad, D; Shad, ZM</t>
  </si>
  <si>
    <t>Shamshiri, Redmond Ramin; Kalantari, Fatemeh; Ting, K. C.; Thorp, Kelly R.; Hameed, Ibrahim A.; Weltzien, Cornelia; Ahmad, Desa; Shad, Zahra Mojgan</t>
  </si>
  <si>
    <t>Advances in greenhouse automation and controlled environment agriculture: A transition to plant factories and urban agriculture</t>
  </si>
  <si>
    <t>Greenhouse cultivation has evolved from simple covered rows of open-fields crops to highly sophisticated controlled environment agriculture (CEA) facilities that projected the image of plant factories for urban agriculture. The advances and improvements in CEA have promoted the scientific solutions for the efficient production of plants in populated cities and multi-story buildings. Successful deployment of CEA for urban agriculture requires many components and subsystems, as well as the understanding of the external influencing factors that should be systematically considered and integrated. This review is an attempt to highlight some of the most recent advances in greenhouse technology and CEA in order to raise the awareness for technology transfer and adaptation, which is necessary for a successful transition to urban agriculture. This study reviewed several aspects of a high-tech CEA system including improvements in the frame and covering materials, environment perception and data sharing, and advanced microclimate control and energy optimization models. This research highlighted urban agriculture and its derivatives, including vertical farming, rooftop greenhouses and plant factories which are the extensions of CEA and have emerged as a response to the growing population, environmental degradation, and urbanization that are threatening food security. Finally, several opportunities and challenges have been identified in implementing the integrated CEA and vertical farming for urban agriculture.</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</si>
  <si>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</si>
  <si>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</si>
  <si>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</si>
  <si>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</si>
  <si>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Song, XP; Tan, HTW; Tan, PY</t>
  </si>
  <si>
    <t>Song, Xiao Ping; Tan, Hugh T. W.; Tan, Puay Yok</t>
  </si>
  <si>
    <t>Assessment of light adequacy for vertical farming in a tropical city</t>
  </si>
  <si>
    <t>The pursuit of urban agriculture as part of a city's green infrastructure is often a challenge, particularly within compact cities, where there is a limited amount of space between buildings for urban farming and gardening. Instead, such high-rise urban developments present often under-utilized spaces on the vertical surfaces of buildings. A key unknown is the adequacy of light for plant growth. Many leafy vegetables that require high amounts of light form a significant proportion of the staple diet in many Asian countries. We report on the assessment of sunlight adequacy for growing leafy vegetables in a compact tropical city, based on the high-rise and high-density residential environment of Singapore. Leaf physiological traits of seven leafy vegetables were assessed and used to estimate plant light requirements. A survey of photosynthetically active radiation (PAR) along exposed corridors showed that the daily light integral (DLI) value ranged from 2 to 35 mol m(-2) d(-1) under relatively ideal weather conditions during days with abundant solar insolation, and facades that experienced a minimum of half-day direct insolation matched the light requirements of vegetables within the moderate to very high-light categories. With regard to the building form, PAR increased gradually with height, but remains highly influenced by facade orientation and configuration. Owing to the annual north-south oscillation of the sun's path, reduced annual PAR variability and higher total annual PAR at facades, buildings with an east-west orientation will better support continuous vegetable cultivation, especially for basic building typologies without self-shading configurations. However, excessive PAR and temperatures during mid-day hours may hinder plant growth. By highlighting such patterns in levels of PAR, this study confirms the potential for high-rise and high-density conditions in the tropics to support farming using typically under-utilized vertical spaces of residential buildings.</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</si>
  <si>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</si>
  <si>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</si>
  <si>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</si>
  <si>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</si>
  <si>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Muller, A; Ferre, M; Engel, S; Gattinger, A; Holzkamper, A; Huber, R; Muller, M; Six, J</t>
  </si>
  <si>
    <t>Muller, A.; Ferre, M.; Engel, S.; Gattinger, A.; Holzkamper, A.; Huber, R.; Mueller, M.; Six, J.</t>
  </si>
  <si>
    <t>Can soil-less crop production be a sustainable option for soil conservation and future agriculture?</t>
  </si>
  <si>
    <t>Agriculture faces huge challenges regarding sustainable use of soils and its sustainability performance in general. There are three different approaches to sustainable agricultural production commonly proposed, namely intensification, agro-ecological approaches and high-tech industrial approaches. Often, some propose that only agro-ecological approaches are truly sustainable options, with particular benefits for soil protection, while others argue that intensification or high-tech perfonns better through land sparing. In this viewpoint, we scrutinize the notion of sustainable agricultural production and the role these approaches may play for such, in particular addressing the controversy of naturalness versus artificiality in production systems. Consumers often perceive agriculture as natural, but agriculture today thrives always on strong human intervention. We posit that agriculture is linked to soils and natural processes, but that this provides little guidance on what sustainable agriculture should be. Being natural need not be an aspect of being sustainable. If it is, arguments for this need to be provided. Furthermore, revealed consumer preferences may much less frequently posit being natural as a central criterion for food consumed than usually assumed. By all this, we do not want to promote any of those three approaches uncritically. We rather argue for enlarging the option space for sustainable agriculture in an unprejudiced way.</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</si>
  <si>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</si>
  <si>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</si>
  <si>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</si>
  <si>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</si>
  <si>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</si>
  <si>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</si>
  <si>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Joo, HJ; Jeong, HY</t>
  </si>
  <si>
    <t>Joo, Hae-Jong; Jeong, Hwa-Young</t>
  </si>
  <si>
    <t>Growth analysis system for IT-based plant factory</t>
  </si>
  <si>
    <t>MULTIMEDIA TOOLS AND APPLICATIONS</t>
  </si>
  <si>
    <t>In this paper, based on core technologies such as overcoming a place's limitations, light that can substitute for the sunlight, automation, nutrient supply system and temperature, and intelligent situation recognition for solar power generation, geothermal HVAC (heating, ventilating, and air conditioning), a plant growth analysis system for vegetation factories was designed. The system is likely to improve the freshness of agricultural products through order and planned productions, to create new markets through the convergence of the IT and BT industries, and to promote convenience in farming and comfort in workspaces through automatic control, robot development, etc. In addition, the system is expected to offer opportunities for urban residents to experience and learn the whole process of a plant's growth; to provide a leisurely life, such as a downtown oasis, to those who are tired of the dreary city life; to prevent environmental pollution through the effective use of recycled resources; and to produce and stably supply diverse agricultural products all year round, regardless of the weather. Also, we propose a medical condition measurement, including the water content of the plant leaf using the reflected light of the plant leaf in the visible light range NIR(near infrared) region. Proposed a result, the image coordinates (X, Y) for an analysis of a specific wavelength by the refractive index (Z) of a specific wavelength in a specific disease and plants having common characteristics and the refractive index distribution of the refractive index outside the selective wavelength of the plant leaf with respect to the plant were classified by using a specific disease and to predict the characteristics of a plant stress. Therefore, the visible light region and the absorption region due to the moisture including the NIR region 1.4 [mu m] by utilizing the reflectance of the wavelength was measured by the change in the abnormal activity in normal metabolic activity and diseases of the plants leaves.</t>
  </si>
  <si>
    <t>Zhen, SY; van Iersel, MW</t>
  </si>
  <si>
    <t>Zhen, Shuyang; van Iersel, Marc W.</t>
  </si>
  <si>
    <t>Photochemical Acclimation of Three Contrasting Species to Different Light Levels: Implications for Optimizing Supplemental Lighting</t>
  </si>
  <si>
    <t>Photosynthetic responses to light are dependent on light intensity, vary among species, and can be affected by acclimation to different light environments (e.g., light intensity, spectrum, and photoperiod). Understanding how these factors affect photochemistry is important for improving supplemental lighting efficiency in controlled-environment agriculture. We used chlorophyll fluorescence to determine photochemical light response curves of three horticultural crops with contrasting light requirements [sweetpotato (Ipomea batatas), lettuce (Lactuca sativa), and pothos (Epipremnum aureum)]. We also quantified how these responses were affected by acclimation to three shading treatments-full sun, 44% shade, and 75% shade. The quantum yield of photosystem II (Phi(PSII)), a measure of photochemical efficiency, decreased exponentially with increasing photosynthetic photon flux (PPF) in all three species. By contrast, linear electron transport rate (ETR) increased asymptotically with increasing PPF. Within each shading level, the high-light-adapted species sweetpotato used high light more efficiently for electron transport than light-intermediate lettuce and shade-tolerant pothos. Within a species, plants acclimated to high light (full sun) tended to have higher FPSII and ETR than those acclimated to low light (44% or 75% shade). Nonphotochemical quenching (NPQ) (an indicator of the amount of absorbed light energy that is dissipated as heat) was upregulated with increasing PPF; faster upregulation was observed in pothos as well as in plants grown under 75% shade. Our results have implications for supplemental lighting: supplemental light is used more efficiently and results in a greater increase in ETR when provided at low ambient PPF. In addition, high-light-adapted crops and crops grown under relatively high ambient light can use supplemental light more efficiently than low-light-adapted crops or those grown under low ambient light.</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</si>
  <si>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</si>
  <si>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</si>
  <si>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</si>
  <si>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</si>
  <si>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Van Ginkel, SW; Igou, T; Chen, YS</t>
  </si>
  <si>
    <t>Van Ginkel, Steven W.; Igou, Thomas; Chen, Yongsheng</t>
  </si>
  <si>
    <t>Energy, water and nutrient impacts of California-grown vegetables compared to controlled environmental agriculture systems in Atlanta, GA</t>
  </si>
  <si>
    <t>RESOURCES CONSERVATION AND RECYCLING</t>
  </si>
  <si>
    <t>The Central Valley in the State of California alone produces most of our nation's fruits and vegetables and represents just 1% of the nation's farmland. Since California's recent drought was the worst in the last 1200 years, supply of these products may decrease and new sources are needed. To understand the efficacy of growing fruits and vegetables more locally, the energy, water and nutrient impacts of growing fruits and vegetables in local hydroponic and aquaponic controlled environment agriculture systems are compared to vegetables grown in California and shipped to Atlanta, GA. Hydroponically and aquaponically grown fruits and vegetables have areal productivities 29 and 10 times higher than CA-grown vegetables while hydroponically grown vegetables consume 30 times more energy than the CA-grown vegetables. There appears to be no difference in energy consumption between aquaponically- and CA-grown vegetables. On average, 66 and 8 times more water is used in CA-grown vegetables compared to the hydroponic and aquaponic growing techniques. Approximately double the nitrogen needed by plants is applied to CA grown fruits and vegetables which suggests nitrogen is lost in runoff causing eutrophication downstream. There are 20,348 and 10 times twenty times more rainfall, nutrients in domestic wastewater and vacant land needed to supply the water, nutrient and space requirements for vegetable production in Atlanta, GA. Published by Elsevier B.V.</t>
  </si>
  <si>
    <t>Effects of Light Quality on Growth and Phytonutrient Accumulation of Herbs under Controlled Environments</t>
  </si>
  <si>
    <t>In recent years, consumption of herb products has increased in daily diets, contributing to the prevention of cardiovascular diseases, chronic diseases, and certain types of cancer owing to high concentrations of phytonutrients such as essential oils and phenolic compounds. To meet the increasing demand for high quality herbs, controlled environment agriculture is an alternative and a supplement to field production. Light is one of the most important environmental factors influencing herb quality including phytonutrient content, in addition to effects on growth and development. The recent development and adoption of light-emitting diodes provides opportunities for targeted regulation of growth and phytonutrient accumulation by herbs to optimize productivity and quality under controlled environments. For most herb species, red light supplemented with blue light significantly increased plant yield. However, plant yield decreased when the blue light proportion (BP) reached a threshold, which varied among species. Research has also shown that red, blue, and ultraviolet (UV) light enhanced the concentration of essential oils and phenolic compounds in various herbs and improved antioxidant capacities of herbs compared with white light or sunlight, yet these improvement effects varied among species, compounds, and light treatments. In addition to red and blue light, other light spectra within the photosynthetically active region-such as cyan, green, yellow, orange, and far-red light-are absorbed by photosynthetic pigments and utilized in leaves. However, only a few selected ranges of light spectra have been investigated, and the effects of light quality (spectrum distribution of light sources) on herb production are not fully understood. This paper reviews how light quality affected the growth and phytonutrient accumulation of both culinary and medicinal herbs under controlled environments, and discusses future research opportunities to produce high quantity and quality herbs.</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</si>
  <si>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</si>
  <si>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</si>
  <si>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</si>
  <si>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</si>
  <si>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</si>
  <si>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</si>
  <si>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</si>
  <si>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</si>
  <si>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Graamans, L; van den Dobbelsteen, A; Meinen, E; Stanghellini, C</t>
  </si>
  <si>
    <t>Graamans, Luuk; van den Dobbelsteen, Andy; Meinen, Esther; Stanghellini, Cecilia</t>
  </si>
  <si>
    <t>Plant factories; crop transpiration and energy balance</t>
  </si>
  <si>
    <t>Population growth and rapid urbanisation may result in a shortage of food supplies for cities in the foreseeable future. Research on closed plant production systems, such as plant factories, has attempted to offer perspectives for robust (urban) agricultural systems. Insight into the explicit role of plant processes in the total energy balance of these production systems is required to determine their potential. We describe a crop transpiration model that is able to determine the relation between sensible and latent heat exchange, as well as the corresponding vapour flux for the production of lettuce in closed systems. Subsequently, this model is validated for the effect of photosynthetic photon flux, cultivation area cover and air humidity on lettuce transpiration, using literature research and experiments. Results demonstrate that the transpiration rate was accurately simulated for the aforementioned effects. Thereafter we quantify and discuss the energy productivity of a standardised plant factory and illustrate the importance of transpiration as a design parameter for climatisation. Our model can provide a greater insight into the energetic expenditure and performance of closed systems. Consequently, it can provide a starting point for determining the viability and optimisation of plant factories. (C) 2017 Elsevier Ltd. All rights reserved.</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</si>
  <si>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</si>
  <si>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</si>
  <si>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</si>
  <si>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</si>
  <si>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</si>
  <si>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</si>
  <si>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</si>
  <si>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</si>
  <si>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Soccol, JJ; Venturieri, GA; Pedrotti, EL</t>
  </si>
  <si>
    <t>Soccol, Jeferson Joao; Venturieri, Giorgini Augusto; Pedrotti, Enio Luiz</t>
  </si>
  <si>
    <t>Stems age, nitrogen fertilizer and salicylic acid application in cutting induction of noble dendrobium orchid of the Yamamoto series cultivars</t>
  </si>
  <si>
    <t>ORNAMENTAL HORTICULTURE-REVISTA BRASILEIRA DE HORTICULTURA ORNAMENTAL</t>
  </si>
  <si>
    <t>Propagation of noble dendrobium orchid (Dendrobium nobile Lindl.) by cutting was studied in two experiments. In the first experiment we evaluated the effect stem age on propagation success: mature stems - from already bloomed stems; and young stems - yet to bloom; and Nitrogen fertilizer application, from two sources: as Nitrate and Ammonium (respectively as Calcium Nitrate at concentrations of: 5.81 gL(-1); 11.61 gL(-1); 17.42 gL(-1); and Urea at concentrations of 2.00 gL(-1); 4.00 gL(-1) and 6.00 gL(-1) plus control treatments). We evaluated the following parameters: the number of cuttings stalks that launched shoots and/or roots, vigor, number of roots per plant and root length per plant. Factorial analysis of variance (stems age x source of Nitrogen; and age of stem x Nitrogen level) was applied using a Generalized Linear Model (GLM) approach. Where significant differences were observed, averages were compared using post-hoc tests (Tukey). Propagation success was higher using cuttings from mature stems (60.2%), a value 1.6 times higher than obtained with stem cuttings from young stems (38.0%). Application of Nitrogen, in both forms, did not influence any of the evaluated parameters. In the second experiment we treated cuttings from mature stems with Salicylic acid in 3 concentrations (0.10 mM; 0.50 mM; 1.00 mM and plus a control treatment). Evaluated parameters included proportion of cuttings stalks that launched shoots and/or roots, leaf length, root length, and number of roots per stem cutting. Factorial analysis of variance was applied with post-hoc tests. Application of 0.50 mM of Salicylic acid increased the proportion of cuttings stalks that launched shoots and/or roots by 20.5% relative to the control treatment.</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</si>
  <si>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</si>
  <si>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</si>
  <si>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</si>
  <si>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</si>
  <si>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Benis, K; Reinhart, C; Ferrao, P</t>
  </si>
  <si>
    <t>Benis, Khadija; Reinhart, Christoph; Ferrao, Paulo</t>
  </si>
  <si>
    <t>Development of a simulation-based decision support workflow for the implementation of Building-Integrated Agriculture (BIA) in urban contexts</t>
  </si>
  <si>
    <t>Providing healthy food for the world's growing urban population is a recognized global challenge and it is likely that current modes of conventional, large-scale farming will over time be increasingly complemented by local, urban farming practices. Apart from its acknowledged social benefits, urban farming is also widely viewed as a more resource-efficient alternative to conventional remote farming. Especially indoor, soilless cultivation in urban areas is being portrayed as a particularly sustainable solution. However, as this technique relies on controlled environments, its ongoing operation can be quite energy intensive and related carbon emissions should be carefully weighed against reduced emissions, such as those from transportation. To further this goal, this article presents a simulation-based environmental analysis workflow for Building-Integrated Agriculture (BIA) in urban contexts, that includes detailed solar radiation, water and energy specific models. The aim of the workflow is to guide the User through decision-making on the potentialities of implementing BIA in a given neighborhood while maximizing crop yields and minimizing water and energy consumption. The workflow was applied to three hi-tech urban farming scenarios in Lisbon, Portugal: a polycarbonate Rooftop Greenhouse (RG), a Vertical Farm (VF) with windows and skylights on the top floor of a reinforced-concrete building as well as a completely opaque VF with no penetration of natural light on the ground floor of a reinforced-concrete building. Global Warming Potential (GWP) related to water, transportation and operational energy of these three case studies were compared to GWP of (i) the currently existing supply chain for tomato, and (ii) a hypothetical low-tech unconditioned rooftop urban farm. Results show that the RG and the top floor VF had the best overall environmental performance, respectively cutting greenhouse gas emissions in half and in three in comparison with the existing supply chain for tomato. By allowing this preliminary assessment of alternative farm locations and properties, the workflow provides the user with actionable information for early-stage holistic assessment of BIA projects. (C) 2017 Elsevier Ltd. All rights reserved.</t>
  </si>
  <si>
    <t>Al-Ismaili, AM; Al-Mezeini, NK; Jayasuriya, HP</t>
  </si>
  <si>
    <t>Al-Ismaili, Abdulrahim M.; Al-Mezeini, Nawal K.; Jayasuriya, Hemanatha P.</t>
  </si>
  <si>
    <t>Controlled Environment Agriculture in Oman: Facts and Mechanization Potentials</t>
  </si>
  <si>
    <t>AMA-AGRICULTURAL MECHANIZATION IN ASIA AFRICA AND LATIN AMERICA</t>
  </si>
  <si>
    <t>Harsh weather conditions in Oman curbs open-field cultivation of high-value vegetable crops. Greenhouse cultivation presents a promising solution to overcome these conditions. This paper presents the status of controlled-environment agriculture in Oman and highlights the associated mechanization potentials. It was reported that greenhouse population increases swiftly due to the subsidy program implemented by the government. Greenhouse cultivation increased water and land productivity by 2 and 12 times, respectively. The dominant crop cultivated in greenhouses is cucumber (90%) followed by tomatoes (5-9%). Other crops such as beans, capsicums, strawberry, raspberry and melons are also cultivated. Although the main purpose of greenhouses is crop cultivation, other applications such as poultry production, growth chambers, solar drying and saline water desalination are also practiced. Single-span Quonset-type greenhouses are the most popular greenhouses (89%) while double- and multi-span greenhouses are less popular (11%). The majority of greenhouses are covered with polyethylene films but some farmers started shifting to polycarbonate cladding due to its long-lasting and thermal insulation properties. For environmental control, fan-pad evaporative coolers are used to reduce ambient temperatures. Natural ventilation is only practiced in high tech-greenhouses. Other mechanisms such as shading and painting with reflective materials are implemented to reduce light transmission. Soil-based cultivation practice is more popular (97%) as compared with hydroponic systems (3%). The seasonal profitability of cucumber and tomato crops is USD 744 and 369 per greenhouse, respectively. The use of machinery in greenhouses is very weak due to the limited access inside Quonset greenhouses. However, small-size machinery such as mini- and medium-size tillers are used.</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</si>
  <si>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</si>
  <si>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</si>
  <si>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</si>
  <si>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</si>
  <si>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</si>
  <si>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</si>
  <si>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</si>
  <si>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</si>
  <si>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</si>
  <si>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</si>
  <si>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</si>
  <si>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</si>
  <si>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</si>
  <si>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</si>
  <si>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</si>
  <si>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</si>
  <si>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</si>
  <si>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de Anda, J; Shear, H</t>
  </si>
  <si>
    <t>de Anda, Jose; Shear, Harvey</t>
  </si>
  <si>
    <t>Potential of Vertical Hydroponic Agriculture in Mexico</t>
  </si>
  <si>
    <t>In 2050, Mexico's population will reach 150 million people, about 80% of whom will likely live in urban centers. This increase in population will necessitate increased food production in the country. The lands classified as drylands in Mexico occupy approximately 101.5 million hectares, or just over half the territory, limiting the potential for agricultural expansion. In addition to the problem of arid conditions in Mexico, there are conditions in other parts of the country related to low to very low water availability, resulting in pressure on the water resources in almost two-thirds of the country. Currently, agriculture uses 77% of the water withdrawn, primarily for food production. This sector contributes 12% of the total greenhouse gas emission (GHG) production in the country. Given the conditions of pressure on water and land resources in Mexico and the need to reduce the carbon footprint, vertical farming technology could offer the possibility for sustainable food production in the urban areas of the country in the coming years.</t>
  </si>
  <si>
    <t>Khan, RRA; Ahmed, V</t>
  </si>
  <si>
    <t>Khan, Rana Raheel Afzal; Ahmed, Vian</t>
  </si>
  <si>
    <t>Building Information Modelling and vertical farming Data integration to manage facilities and processes</t>
  </si>
  <si>
    <t>FACILITIES</t>
  </si>
  <si>
    <t>Purpose - The UN statistics show that the world's population is expected to be nine billion by the 2050. As a result, the food production must also be raised to 70 per cent or more. Vertical farming (VF) is an innovative and alternative approach to meet the challenges; however, its management will also be a challenge. This paper, therefore, shares the understanding of future food challenges and Building Information Modelling (BIM) and its application to manage the facility. Design/methodology/approach - A conceptual digital prototype of a VF is developed in a BIM environment using design science. First, the data are collected from literature review and then analysed and simulated for optimum conditions in a BIM-enabled digital prototype. Findings - The results showed that BIM to manage a VF has not been researched or explored yet. However, BIM has proven its numerous benefits to the architecture, engineering and construction and facility management industries, and it is a powerful solution to design and manage VF to solve future food production problems. Originality/value - There is a very limited research on VF in the literature, and BIM for VF is also not discussed or researched yet. The originality and value of this research stems from both expanding BIM horizons and designing and managing VF.</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</si>
  <si>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</si>
  <si>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</si>
  <si>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</si>
  <si>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</si>
  <si>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Wang, L; Zhang, HR; Zhou, XH; Liu, YL; Lei, BF</t>
  </si>
  <si>
    <t>Wang, Li; Zhang, Haoran; Zhou, Xiaohua; Liu, Yingliang; Lei, Bingfu</t>
  </si>
  <si>
    <t>A dual-emitting core-shell carbon dot-silica-phosphor composite for LED plant grow light</t>
  </si>
  <si>
    <t>Light-emitting diodes (LEDs) are widely used for artificial lighting in plant factories and have been applied for disease prevention and for accelerating plant growth. In this study, a unique dual-emitting core-shell CDs/CaAlSiN3: Eu2+-silica powder was prepared by a one-pot sol-gel method. LED devices with multiwavelength emission (623 nm red light and 465 nm blue light) were fabricated using the as-prepared dual-emitting core-shell CDs/CaAlSiN3: Eu2+-silica powder, and the electrical characteristics of these LED devices were evaluated. Furthermore, it was demonstrated that these LED devices could be used for plant growth lighting in plant factories. The LEDs prepared in the present study for plant growth lighting have the advantage of being convenient, low-cost, non-toxic, and stable compared with traditional LED devices for plant growth lighting.</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</si>
  <si>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</si>
  <si>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</si>
  <si>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</si>
  <si>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</si>
  <si>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</si>
  <si>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</si>
  <si>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</si>
  <si>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</si>
  <si>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</si>
  <si>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</si>
  <si>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</si>
  <si>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</si>
  <si>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</si>
  <si>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</si>
  <si>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</si>
  <si>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</si>
  <si>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</si>
  <si>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</si>
  <si>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</si>
  <si>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</si>
  <si>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</si>
  <si>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</si>
  <si>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</si>
  <si>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</si>
  <si>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</si>
  <si>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Tsitsimpelis, I; Wolfenden, I; Taylor, CJ</t>
  </si>
  <si>
    <t>Tsitsimpelis, Ioannis; Wolfenden, Ian; Taylor, C. James</t>
  </si>
  <si>
    <t>Development of a grow-cell test facility for research into sustainable controlled-environment agriculture</t>
  </si>
  <si>
    <t>The grow-cell belongs to a relatively new category of plant factory in the horticultural industry, for which the motivation is the maximization of production and the minimization of energy consumption. This article takes a systems design approach to identify the engineering requirements of a new grow-cell facility, with the prototype based on a 12 m x 2.4 m x 2.5 m shipping container. Research contributions are made in respect to: (i) the design of a novel conveyor-irrigation system for mechanical movement of plants; (ii) tuning of the artificial light source for plant growth; and (iii) investigations into the environmental conditions inside the grow-cell, including the temperature and humidity. In particular, the conveyor-irrigation and lighting systems are optimised in this article to make the proposed grow-cell more effective and sustainable. With regard to micro-climate, data are collected from a distributed sensor array to provide improved understanding of the heterogeneous conditions arising within the grow-cell, with a view to future optimisation. Preliminary growth trials demonstrate that Begonia semperflorens can be harvested to the satisfaction of a commercial grower. In future research, the prototype unit thus developed can be used to investigate production rates, plant quality and whole system operating costs. (C) 2016 The Authors. Published by Elsevier Ltd on behalf of IAgrE.</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</si>
  <si>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</si>
  <si>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</si>
  <si>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</si>
  <si>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</si>
  <si>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</si>
  <si>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</si>
  <si>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</si>
  <si>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</si>
  <si>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</si>
  <si>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</si>
  <si>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</si>
  <si>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</si>
  <si>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</si>
  <si>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</si>
  <si>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</si>
  <si>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</si>
  <si>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</si>
  <si>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Wei, AC; Lo, SC; Hung, PF; Lee, JY; Yeh, HY; Huang, HC; Li, CM</t>
  </si>
  <si>
    <t>Wei, An-Chi; Lo, Shih-Chieh; Hung, Pei-Fang; Lee, Ju-Yi; Yeh, Hong-Yih; Huang, Hong-Cheng; Li, Chia-Ming</t>
  </si>
  <si>
    <t>Compound parabolic concentrator design for red, green, blue, and white LED light mixing</t>
  </si>
  <si>
    <t>JAPANESE JOURNAL OF APPLIED PHYSICS</t>
  </si>
  <si>
    <t>A light-mixing module consisting of a compound parabolic concentrator (CPC) and a fiber for mixing light from red, green, blue, and white (RGBW) LEDs was proposed. The design principle was investigated and a design prototype was demonstrated in a simulation. The simulated results showed that the chromatic nonuniformity was reduced to 1/10 when the fiber length was 40 times the core width, and the module efficiencies were more than 80% and more than 60% when the fiber lengths were 350mm and 5m, respectively. The proposed module is suitable for solar lighting compensation or indoor lighting, such as plant-factory lighting. (C) 2016 The Japan Society of Applied Physics</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</si>
  <si>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</si>
  <si>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</si>
  <si>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</si>
  <si>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</si>
  <si>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Zhang, Y; Kacira, M; An, LL</t>
  </si>
  <si>
    <t>Zhang, Ying; Kacira, Murat; An, Lingling</t>
  </si>
  <si>
    <t>A CFD study on improving air flow uniformity in indoor plant factory system</t>
  </si>
  <si>
    <t>Indoor plant factories are one of the alternative ways to meet the demands of food production for the increased urban dwellers. It enables growers to grow food crops consistently and locally with high quality. In an indoor plant factory, a forced convection based ventilation and circulation system is used to control the growing environment and maintain climate uniformity. Lettuce is a common leafy crop grown in indoor plant factories and an improper design could cause the tip burn of lettuces which usually occurs at inner and newly developing leaves with low transpiration rate due to the existence of a stagnant boundary layer under high transpiration demand. A three-dimensional computational fluid dynamics (CFD) model was developed and validated through simulating the growing environment in a single shelf production system. An improved air circulation system was designed and proposed to help providing a dynamic and uniform boundary layer which could help preventing tip bum occurrences in lettuce production. A perforated air tube with three rows of air jets was designed to provide vertical air flow down to the crop canopy surface. Four cases with the perforated air tubes were compared with a control treatment. The results indicated that the case with two perforated air tubes was able to provide an average air velocity of 0.42 m s(-1) with a coefficient of variation of 44%, which was recommended as the optimal design of air circulation system among four cases in this study. Published by Elsevier Ltd on behalf of IAgrE.</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</si>
  <si>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</si>
  <si>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</si>
  <si>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</si>
  <si>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</si>
  <si>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</si>
  <si>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</si>
  <si>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</si>
  <si>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</si>
  <si>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Liaros, S; Botsis, K; Xydis, G</t>
  </si>
  <si>
    <t>Liaros, Stelios; Botsis, Konstantinos; Xydis, George</t>
  </si>
  <si>
    <t>Technoeconomic evaluation of urban plant factories: The case of basil (Ocimum basilicum)</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</si>
  <si>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</si>
  <si>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</si>
  <si>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</si>
  <si>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</si>
  <si>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</si>
  <si>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</si>
  <si>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Hiwasa-Tanase, K; Ezura, H</t>
  </si>
  <si>
    <t>Hiwasa-Tanase, Kyoko; Ezura, Hiroshi</t>
  </si>
  <si>
    <t>Molecular Breeding to Create Optimized Crops: From Genetic Manipulation to Potential Applications in Plant Factories</t>
  </si>
  <si>
    <t>Crop cultivation in controlled environment plant factories offers great potential to stabilize the yield and quality of agricultural products. However, many crops are currently unsuited to these environments, particularly closed cultivation systems, due to space limitations, low light intensity, high implementation costs, and high energy requirements. A major barrier to closed system cultivation is the high running cost, which necessitates the use of high-margin crops for economic viability. High-value crops include those with enhanced nutritional value or containing additional functional components for pharmaceutical production or with the aim of providing health benefits. In addition, it is important to develop cultivars equipped with growth parameters that are suitable for closed cultivation. Small plant size is of particular importance due to the limited cultivation space. Other advantageous traits are short production cycle, the ability to grow under low light, and high nutriculture availability. Cost-effectiveness is improved from the use of cultivars that are specifically optimized for closed system cultivation. This review describes the features of closed cultivation systems and the potential application of molecular breeding to create crops that are optimized for cost-effectiveness and productivity in closed cultivation systems.</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</si>
  <si>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</si>
  <si>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</si>
  <si>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</si>
  <si>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</si>
  <si>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Ishii, M; Sase, S; Moriyama, H; Okushima, L; Ikeguchi, A; Hayashi, M; Kurata, K; Kubota, C; Kacira, M; Giacomelli, GA</t>
  </si>
  <si>
    <t>Ishii, Masahisa; Sase, Sadanori; Moriyama, Hideki; Okushima, Limi; Ikeguchi, Atsuo; Hayashi, Makio; Kurata, Kenji; Kubota, Chieri; Kacira, Murat; Giacomelli, Gene A.</t>
  </si>
  <si>
    <t>Controlled Environment Agriculture for Effective Plant Production Systems in a Semiarid Greenhouse</t>
  </si>
  <si>
    <t>Semiarid climate regions have great potential for productivity due to large amounts of solar radiation throughout year. However, these regions also have disadvantages, such as excessive air temperature and limited water use. Optimizing the ventilation rate and evapotranspiration during fog cooling in combination with natural ventilation will provide more favorable growing conditions for plants in a semiarid climate and allow less water use. A single-span greenhouse at The University of Arizona was used to investigate the fog cooling performance on clear days with excessively high air temperature. The environmental conditions and the natural ventilation rate were measured. The performance of fog cooling in combination with natural ventilation was compared with pad-and-fan cooling. Fog cooling and pad-and-fan cooling used 24 g m(-2) min(-1) and 41 g m(-2) min(-1) of water, respectively. The air relative humidity for fog cooling was slightly higher than that for pad-and-fan cooling, at approximately 35%. An English version of Visual VETH (ventilation-evapotranspiration-temperature-humidity) software was also developed. A cooling strategy devised for semiarid greenhouses found that the air relative humidity inside a greenhouse decreased with an increase in ventilation rate as expected from simulation based on steady-state energy balance equations, while the water use for fog cooling increased. A simple and unique control algorithm for fogging and ventilation inlet openings demonstrated the possibility of maintaining relative humidity and air temperature simultaneously within a desirable range while reducing the water use for fog cooling. The tomato plant canopy transpiration rate and the water balance relative to the natural ventilation rate in a fog-cooled greenhouse were also investigated. The transpiration rate increased linearly with an increase in vapor pressure deficit (VPD) of the air. At a lower ventilation rate made possible by reducing the ventilation inlet openings, total water use in the greenhouse decreased by 13% and relative humidity increased as was expected from the steady-state energy balance simulation. The decrease in canopy transpiration resulted from the decrease in VPD, and was at a magnitude greater than that of the fog evaporation rate under similar experimental conditions with relatively high humidity in the range of 70-94%. By optimizing the natural ventilation rate, the greenhouse could be effectively cooled with less water use. Arizona can be considered a model analogous to many other semiarid climate conditions. Due to the long history of greenhouse technology development, the application of greenhouse crop production to an area with excessive radiation and dry air remains a relatively new effort. We believe that our efforts will contribute not only to the American Southwest but also to enhancing the application of greenhouse technology for crop production in these climate regions worldwide, including Mexico, China, the Middle East and Africa.</t>
  </si>
  <si>
    <t>Chen, WT; Yeh, YHF; Liu, TY; Lin, TT</t>
  </si>
  <si>
    <t>Chen, Wei-Tai; Yeh, Yu-Hui F.; Liu, Ting-Yu; Lin, Ta-Te</t>
  </si>
  <si>
    <t>An Automated and Continuous Plant Weight Measurement System for Plant Factory</t>
  </si>
  <si>
    <t>In plant factories, plants are usually cultivated in nutrient solution under a controllable environment. Plant quality and growth are closely monitored and precisely controlled. For plant growth evaluation, plant weight is an important and commonly used indicator. Traditional plant weight measurements are destructive and laborious. In order to measure and record the plant weight during plant growth, an automated measurement system was designed and developed herein. The weight measurement system comprises a weight measurement device and an imaging system. The weight measurement device consists of a top disk, a bottom disk, a plant holder and a load cell. The load cell with a resolution of 0.1 g converts the plant weight on the plant holder disk to an analog electrical signal for a precise measurement. The top disk and bottom disk are designed to be durable for different plant sizes, so plant weight can be measured continuously throughout the whole growth period, without hindering plant growth. The results show that plant weights measured by the weight measurement device are highly correlated with the weights estimated by the stereo-vision imaging system; hence, plant weight can be measured by either method. The weight growth of selected vegetables growing in the National Taiwan University plant factory were monitored and measured using our automated plant growth weight measurement system. The experimental results demonstrate the functionality, stability and durability of this system. The information gathered by this weight system can be valuable and beneficial for hydroponic plants monitoring research and agricultural research applications.</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</si>
  <si>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</si>
  <si>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</si>
  <si>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</si>
  <si>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</si>
  <si>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Wang, J; Tong, YX; Yang, QC; Xin, M</t>
  </si>
  <si>
    <t>Wang, Jun; Tong, Yuxin; Yang, Qichang; Xin, Min</t>
  </si>
  <si>
    <t>Performance of Introducing Outdoor Cold Air for Cooling a Plant Production System with Artificial Light</t>
  </si>
  <si>
    <t>The commercial use of a plant production system with artificial light (PPAL) is limited by its high initial construction and operation costs. The electric-energy consumed by heat pumps, applied mainly for cooling, accounts for 15-35% of the total electric-energy used in a PPAL. To reduce the electric-energy consumption, an air exchanger with low capacity (180 W) was used for cooling by introducing outdoor cold air. In this experiment, the indoor air temperature in two PPALs (floor area: 6.2 m(2) each) was maintained at 25 and 20 degrees C during photoperiod and dark period, respectively, for lettuce production. A null CO2 balance enrichment method was used in both PPALs. In one PPAL (PPAL(e)), an air exchanger (air flow rate: 250 m(3).h(-1)) was used along with a heat pump (cooling capacity: 3.2 kW) to maintain the indoor air temperature at the set-point. The other PPAL (PPAL(c)) with only a heat pump (cooling capacity: 3.2 kW) was used for reference. Effects of introducing outdoor cold air on energy use efficiency, coefficient of performance (COP), electric-energy consumption for cooling and growth of lettuce were investigated. The results show that: when the air temperature difference between indoor and outdoor ranged from 20.2 to 30.0 degrees C: (1) the average energy use efficiency of the air exchanger was 2.8 and 3.4 times greater than the COP of the heat pumps in the PPAL(e) and PPAL(c), respectively; (2) hourly electric-energy consumption for cooling in the PPAL(e) reduced by 15.8-73.7% compared with that in the PPAL(c); (3) daily supply of CO2 in the PPAL(e) reduced from 0.15 to 0.04 kg compared with that in the PPAL, with the outdoor air temperature ranging from -5.6 to 2.7 degrees C; (4) no significant difference in lettuce growth was observed in both PPALs. The results indicate that using air exchanger to introduce outdoor cold air should be considered as an effective way to reduce electric-energy consumption for cooling with little effects on plant growth in a PPAL.</t>
  </si>
  <si>
    <t>Miyoshi, T; Ibaraki, Y; Sago, Y</t>
  </si>
  <si>
    <t>Miyoshi, Tatsuya; Ibaraki, Yasuomi; Sago, Yuki</t>
  </si>
  <si>
    <t>Development of an Android-tablet-based system for analyzing light intensity distribution on a plant canopy surface</t>
  </si>
  <si>
    <t>An Android application system for the simple and real-time estimation of light intensity distribution on a plant canopy surface was developed, and its usefulness was tested under artificial lighting. The application system was designed to semi-automatically analyze the photosynthetic photon flux density (PPFD) distribution on the canopy from a reflection image acquired by the tablet. A single manual measurement by a quantum sensor at a point on the canopy was performed to build a regression model that estimated the PPFD on leaves from the pixel values of the image. Measured and estimated PPFD histograms, as well as parameters derived from histograms, were compared at three different growth stages of a plant canopy in a closed plant factory with artificial lighting. The measured and estimated histograms exhibited a similar pattern at each growth stage with close values of the parameters. The results suggested that the reflection-image-based estimation system developed in this study was a useful method for analyzing the light conditions under artificial lighting. Although the developed system will require additional improvements in automation and performance before it can be applied to actual cultivation management procedures, this simple method for estimating the light intensity distribution is expected to help improve the efficiency and reproducibility of light control methods used for plant production. (C) 2016 Elsevier B.V. All rights reserved.</t>
  </si>
  <si>
    <t>Nagatoshi, Y; Ikeda, M; Kishi, H; Hiratsu, K; Muraguchi, A; Ohme-Takagi, M</t>
  </si>
  <si>
    <t>Nagatoshi, Yukari; Ikeda, Miho; Kishi, Hiroyuki; Hiratsu, Keiichiro; Muraguchi, Atsushi; Ohme-Takagi, Masaru</t>
  </si>
  <si>
    <t>Induction of a dwarf phenotype with IBH1 may enable increased production of plant-made pharmaceuticals in plant factory conditions</t>
  </si>
  <si>
    <t>Year-round production in a contained, environmentally controlled plant factory' may provide a cost-effective method to produce pharmaceuticals and other high-value products. However, cost-effective production may require substantial modification of the host plant phenotype; for example, using dwarf plants can enable the growth of more plants in a given volume by allowing more plants per shelf and enabling more shelves to be stacked vertically. We show here that the expression of the chimeric repressor for Arabidopsis AtIBH1 (P35S:AtIBH1SRDX) in transgenic tobacco plants (Nicotiana tabacum) induces a dwarf phenotype, with reduced cell size. We estimate that, in a given volume of cultivation space, we can grow five times more AtIBH1SRDX plants than wild-type plants. Although, the AtIBH1SRDX plants also showed reduced biomass compared with wild-type plants, they produced about four times more biomass per unit of cultivation volume. To test whether the dwarf phenotype affects the production of recombinant proteins, we expressed the genes for anti-hepatitis B virus antibodies (anti-HBs) in tobacco plants and found that the production of anti-HBs per unit fresh weight did not significantly differ between wild-type and AtIBH1SRDX plants. These data indicate that P35S:AtIBH1SRDX plants produced about fourfold more antibody per unit of cultivation volume, compared with wild type. Our results indicate that AtIBH1SRDX provides a useful tool for the modification of plant phenotype for cost-effective production of high-value products by stably transformed plants in plant factory conditions.</t>
  </si>
  <si>
    <t>Okahara, S; Kataoka, M; Okuda, K; Shima, M; Miyagaki, K; Ohara, H</t>
  </si>
  <si>
    <t>Okahara, Satoshi; Kataoka, Masataka; Okuda, Kuniharu; Shima, Masato; Miyagaki, Keiko; Ohara, Hitoshi</t>
  </si>
  <si>
    <t>Muscle activity and mood state during simulated plant factory work in individuals with cervical spinal cord injury</t>
  </si>
  <si>
    <t>JOURNAL OF PHYSICAL THERAPY SCIENCE</t>
  </si>
  <si>
    <t>[Purpose] The present study investigated the physical and mental effects of plant factory work in individuals with cervical spinal cord injury and the use of a newly developed agricultural working environment. [Subjects] Six males with C5-C8 spinal cord injuries and 10 healthy volunteers participated. [Methods] Plant factory work involved three simulated repetitive tasks: sowing, transplantation, and harvesting. Surface electromyography was performed in the dominant upper arm, upper trapezius, anterior deltoid, and biceps brachii muscles. Subjects' moods were monitored using the Profile of Mood States. [Results] Five males with C6-C8 injuries performed the same tasks as healthy persons; a male with a C5 injury performed fewer repetitions of tasks because it took longer. Regarding muscle activity during transplantation and harvesting, subjects with spinal cord injury had higher values for the upper trapezius and anterior deltoid muscles compared with healthy persons. The Profile of Mood States vigor scores were significantly higher after tasks in subjects with spinal cord injury. [Conclusion] Individuals with cervical spinal cord injury completed the plant factory work, though it required increased time and muscle activity. For individuals with C5-C8 injuries, it is necessary to develop an appropriate environment and assistive devices to facilitate their work.</t>
  </si>
  <si>
    <t>van Iersel, MW; Weaver, G; Martin, MT; Ferrarezi, RS; Mattos, E; Haidekker, M</t>
  </si>
  <si>
    <t>van Iersel, Marc W.; Weaver, Geoffrey; Martin, Michael T.; Ferrarezi, Rhuanito S.; Mattos, Erico; Haidekker, Mark</t>
  </si>
  <si>
    <t>A Chlorophyll Fluorescence-based Biofeedback System to Control Photosynthetic Lighting in Controlled Environment Agriculture</t>
  </si>
  <si>
    <t>Photosynthetic lighting is one of the main costs of running controlled environment agriculture facilities. To optimize photosynthetic lighting, it is important to understand how plants use the provided light. When photosynthetic pigments absorb photons, the energy from those photons is used to drive the light reactions of photosynthesis, thermally dissipated, or re-emitted by chlorophyll as fluorescence. Chlorophyll fluorescence measurements can be used to determine the quantum yield of photosystem II (Phi(PSII)) and nonphotochemical quenching (NPQ), which is indicative of the amount of absorbed light energy that is dissipated as heat. Our objective was to develop and test a biofeedback system that allows for the control of photosynthetic photon flux density (PPFD) based on the physiological performance of the plants. To do so, we used a chlorophyll fluorometer to measure Phi(PSII), and used these data and PPFD to calculate the electron transport rate (ETR) through PSII. A datalogger then adjusted the duty cycle of the light-emitting diodes (LEDs) based on the ratio of the measured ETR to a predefined target ETR (ETRT). The biofeedback system was able to maintain ETRs of 70 or 100 mu mol.m(-2).s(-1) over 16-hour periods in experiments conducted with lettuce (Lactuca sativa). With an ETRT of 70 mu mol.m(-2).s(-1), Phi(PSII) was stable throughout the 16 hour and no appreciable changes in PPFD were needed. At an ETRT of 100 mu mol.m(-2).s(-1), Phi(PSII) gradually decreased from 0.612 to 0.582. To maintain ETR at 100 mu mol.m(-2).s(-1), PPFD had to be increased from 389 to 409 mu mol.m(-2).s(-1), resulting in a gradual decrease of Phi(PSII) and an increase in NPQ. The ability of the biofeedback system to achieve a range of different ETRs within a single day was tested using lettuce, sweetpotato (Ipomoea batatas), and pothos (Epipremnum aureum). As the ETRT was gradually increased, the PPFD required to achieve that ETR also increased, whereas Phi(PSII) decreased. Surprisingly, a subsequent decrease in ETRT, and in the PPFD required to achieve that ETR, resulted in only a small increase in Phi(PSII). This indicates that Phi(PSII) was reduced because of photoinhibition. Our results show that the biofeedback system is able to maintain a wide range of ETRs, while it also is capable of distinguishing between NPQ and photoinhibition as causes for decreases in Phi(PSII).</t>
  </si>
  <si>
    <t>Li, K; Li, ZP; Yang, QC</t>
  </si>
  <si>
    <t>Li, Kun; Li, Zhipeng; Yang, Qichang</t>
  </si>
  <si>
    <t>Improving Light Distribution by Zoom Lens for Electricity Savings in a Plant Factory with Light-Emitting Diodes</t>
  </si>
  <si>
    <t>The high energy consumption of a plant factory is the biggest issue in its rapid expansion, especially for lighting electricity, which has been solved to a large extent by light-emitting diodes (LED). However, the remarkable potential for further energy savings remains to be further investigated. In this study, an optical system applied just below the LED was designed. The effects of the system on the growth and photosynthesis of butterhead lettuce (Lactuca sativa var. capitata) were examined, and the performance of the optical improvement in energy savings was evaluated by comparison with the traditional LED illumination mode. The irradiation patterns used were LED with zoom lenses (Z-LED) and conventional non-lenses LED (C-LED). The seedlings in both treatments were exposed to the same light environment over the entire growth period. The improvement saved over half of the light source electricity, while prominently lowering the temperature. Influenced by this, the rate of photosynthesis sharply decreased, causing reductions in plant yield and nitrate content, while having no negative effects on morphological parameters and photosynthetic pigment contents. Nevertheless, the much higher light use efficiency of Z-LEDs makes this system a better approach to illumination in a plant factory with artificial lighting.</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</si>
  <si>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</si>
  <si>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</si>
  <si>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</si>
  <si>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</si>
  <si>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</si>
  <si>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</si>
  <si>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</si>
  <si>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</si>
  <si>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Pocock, T</t>
  </si>
  <si>
    <t>Pocock, T.</t>
  </si>
  <si>
    <t>Advanced lighting technology in controlled environment agriculture</t>
  </si>
  <si>
    <t>LIGHTING RESEARCH &amp; TECHNOLOGY</t>
  </si>
  <si>
    <t>There is a recent awareness of the importance of plants in our everyday lives. Light is a requirement for plants and serves two important roles. It provides energy for growth and provides information that elicits plant responses including, among others, plant shape, pigmentation, nutritional content and resistance to stress. Light is paradoxical to plants, it is a requirement however, in excess it is damaging. Plants sense and interpret light through many families of photoreceptors and through the energy state of the photosynthetic apparatus. Light emitting diodes (LEDs) are quickly replacing traditional light sources for human applications, and currently there is effort being put into tailoring these technology platforms for the plant community. Potential plant sensing pathways and the spectral effects on pigmentation and photochemistry in red lettuce are described.</t>
  </si>
  <si>
    <t>Chiu, JS; Wang, SF; Wang, WJ; Huang, BS; Lai, W; Chang, YJ</t>
  </si>
  <si>
    <t>Chiu, Jyh-Shyan; Wang, Shinn-Fwu; Wang, Wen-June; Huang, Bo-Shun; Lai, Wesley; Chang, Yu-Jing</t>
  </si>
  <si>
    <t>Application of Total Internal Reflection and Heterodyne Interferometry in Electrical Conductivity Measurements</t>
  </si>
  <si>
    <t>The studies conducted on light emitting diode plant factories have mostly adopted hydroponics for convenient nutrient management and pest and disease prevention. In particular, in nutrient management, liquid electrolytes can be measured to determine the aqueous nutrient concentrations and absorption rates as well as electrical conductivity (EC) and pH variations. Precisely controlling the aqueous nutrient contents is crucial to large-scale healthy plant production. However, in most of the current conductivity measurements, electrodes are adopted for determining the nutrient additive concentrations. This approach can be problematic in some cases, such as low electrode sensitivity, which results in nutrient overdose, specifically in nonconductive additives, and hinders plant growth. Therefore, this paper proposes an optical method for measuring the aqueous nutrient contents. In this method, the high sensitivity of common-path heterodyne interferometry is incorporated into aqueous measurements to prevent errors caused by interfering impurities on the electrodes and improve measurement and analytical accuracy. The sensitivity of the sensor used in EC measurements can reach 2300 degrees/mS . cm(-1). The method has some merits, e.g., a simple optical setup, high stability etc., high measurement accuracy, high resolution, rapid measurement, and easy operation. In addition, its feasibility is demonstrated.</t>
  </si>
  <si>
    <t>Chang, CL; Chang, KP; Song, GB</t>
  </si>
  <si>
    <t>Chang, C. L.; Chang, K. P.; Song, G. B.</t>
  </si>
  <si>
    <t>DESIGN AND IMPLEMENTATION OF A CLOUD-BASED LED LIGHTING CONTROL SYSTEM FOR PROTECTED HORTICULTURE</t>
  </si>
  <si>
    <t>Effective extension plant lighting or supplementing of certain spectral wavelengths of light can enhance the growth quality of plants. This article proposes an effective cloud-based light-emitting diode (LED) management system that employs an intelligent LED lighting technique and a plant physiology database to automatically adjust the required light conditions suitable for plant growth, including the light formula, light quality, and light/dark photoperiod. The proposed system can efficiently reduce labor costs and increase the production and quality of plants. Meanwhile, it saves electric energy consumption using a programmable lighting control technique. The results demonstrate the efficiency of the proposed system in a plant factory. Tissue analyses are also performed to assess the growth response of plants under different lighting modes. The proposed cloud-based lighting management system can be applied to greenhouses to achieve standardized plant production and automation in the future.</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</si>
  <si>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</si>
  <si>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</si>
  <si>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</si>
  <si>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</si>
  <si>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Baek, MS; Kwon, SY; Lim, JH</t>
  </si>
  <si>
    <t>Baek, Min-Seon; Kwon, Sook-Youn; Lim, Jae-Hyun</t>
  </si>
  <si>
    <t>Improvement of uniformity in cultivation environment and crop growth rate by hybrid control of air flow devices</t>
  </si>
  <si>
    <t>JOURNAL OF CENTRAL SOUTH UNIVERSITY</t>
  </si>
  <si>
    <t>A complete control type plant factory has high efficiency in terms of cultivation area by constructing vertical multiple layered cultivation beds. However, it has a problem of irregular crop growth due to temperature deviation at upper and lower beds and increases in energy consumption by a prolonged cultivation period. In this work, air flow rate inside a facility was improved by a hybrid control of air flow devices like air conditioning and air circulation fan with an established wireless sensor network to minimize temperature deviations between upper and lower beds and to promote crop growth. The performance of proposed system was verified with an experimental environment or Case A wherein air conditioning device was operated without a control algorithm and Case B wherein air conditioning and circulation fans were alternatively operated based on the hybrid control algorithm. After planting leafy vegetables under each experimental condition, crops were cultivated for 21 days. As a result, Case B wherein AC (air conditioning) and ACF (air-circulation fan) were alternatively operated based on the hybrid control algorithm showed that fresh mass, number of leaves, and leaf length for the crops grown were increased by 40.6%, 41.1%, and 11.1%, respectively, compared to Case A.</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</si>
  <si>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</si>
  <si>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</si>
  <si>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</si>
  <si>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</si>
  <si>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Al-Chalabi, M</t>
  </si>
  <si>
    <t>Al-Chalabi, Malek</t>
  </si>
  <si>
    <t>Vertical farming: Skyscraper sustainability?</t>
  </si>
  <si>
    <t>SUSTAINABLE CITIES AND SOCIETY</t>
  </si>
  <si>
    <t>It is predicted that the world population will reach 9 billion by 2050, of which 70% will live in urban centres. This change, alongside a changing climate, will strain Earth's resources, especially the food supply chain. One idea that has been proposed to address this issue is vertical farming - the urban farming of fruits, vegetables, and grains, inside a building in a city or urban centre, in which floors are designed to accommodate certain crops. While an interesting theoretical concept, no studies currently exist that quantify or qualify the validity of such an idea. The purpose of this paper, therefore, is to examine the feasibility and plausibility of the vertical farming concept from a socio technical, mixed methods, research perspective. This includes (1) examining how much energy is needed to power such a building and whether renewable energy can meet the onsite demands of the building by constructing a energy model, (2) quantifying the carbon footprint of vertically grown produce and subsequently comparing that to conventionally grown produce, and (3) conducting interviews to explore how relevant stakeholders perceive the concept of vertical farming in order to identify what are current barriers and opportunities exist towards possible uptake of the technology. The findings indicate that vertical farming is a tool that can be used to supply food to cities in a sustainable manner, but this depends on the location and design. Areas of future research are identified. (C) 2015 Elsevier Ltd. All rights reserved.</t>
  </si>
  <si>
    <t>Stutte, GW</t>
  </si>
  <si>
    <t>Stutte, Gary W.</t>
  </si>
  <si>
    <t>Commercial Transition to LEDs: A Pathway to High-value Products</t>
  </si>
  <si>
    <t>The use of light-emitting diodes (LEDs) to support plant growth is a radical departure from use of gas-discharge lamps, which were developed in mid-19th and widely adopted by the industry during the 20th century. Initial investigation by the National Aeronautics and Space Administration (NASA) in the late 1980s on the use of LEDs to grow plant in space is resulting in an industry-wide transition from gas discharge to solid-state lighting systems. This global transformation is given urgency by national policies to reduce energy consumption and being facilitated by ready access to information on LEDs. The combination of research, government policy, and information technology has resulted in an exponential increase in research into the use and application of LED technology in horticulture. Commercial horticulture has identified the opportunities provided by LEDs to optimize light spectra to promote growth, regulate morphology, increase nutrient content, and reduce operating costs. LED-light technology is enabling the development of innovative lighting systems, and is being incorporated into large-scale plant factories for the production of edible, ornamental, and medicinal plants. An overview of prevalence of readily accessible information on LEDs and implications for future adoption in horticulture is discussed.</t>
  </si>
  <si>
    <t>Jou, JH; Lin, CC; Li, TH; Li, CJ; Peng, SH; Yang, FC; Justin Thomas, KR; Kumar, D; Chi, Y; Hsu, BD</t>
  </si>
  <si>
    <t>Jou, Jwo-Huei; Lin, Ching-Chiao; Li, Tsung-Han; Li, Chieh-Ju; Peng, Shiang-Hau; Yang, Fu-Chin; Justin Thomas, K. R.; Kumar, Dhirendra; Chi, Yun; Hsu, Ban-Dar</t>
  </si>
  <si>
    <t>Plant Growth Absorption Spectrum Mimicking Light Sources</t>
  </si>
  <si>
    <t>MATERIALS</t>
  </si>
  <si>
    <t>Plant factories have attracted increasing attention because they can produce fresh fruits and vegetables free from pesticides in all weather. However, the emission spectra from current light sources significantly mismatch the spectra absorbed by plants. We demonstrate a concept of using multiple broad-band as well as narrow-band solid-state lighting technologies to design plant-growth light sources. Take an organic light-emitting diode (OLED), for example; the resulting light source shows an 84% resemblance with the photosynthetic action spectrum as a twin-peak blue dye and a diffused mono-peak red dye are employed. This OLED can also show a greater than 90% resemblance as an additional deeper red emitter is added. For a typical LED, the resemblance can be improved to 91% if two additional blue and red LEDs are incorporated. The approach may facilitate either an ideal use of the energy applied for plant growth and/or the design of better light sources for growing different plants.</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</si>
  <si>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</si>
  <si>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</si>
  <si>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</si>
  <si>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</si>
  <si>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Xia, Q; Wu, WC; Tian, K; Jia, YY; Wu, XQ; Guan, Z; Tian, XJ</t>
  </si>
  <si>
    <t>Xia, Qing; Wu, Wen-Chao; Tian, Kai; Jia, Yan-Yan; Wu, Xiaoqiao; Guan, Zhun; Tian, Xing-Jun</t>
  </si>
  <si>
    <t>Effects of different cutting traits on bud emergence and early growth of the Chinese vegetable Toona sinensis</t>
  </si>
  <si>
    <t>This study assessed the effects of different cutting traits on bud emergence and early growth of the Chinese vegetable Toona sinensis. This work, including two indoor box experiments, was conducted in 2013 and 2014 at Nanjing University, Jiangsu Province, China. The plant characteristics include survival rate, number of buds, number of branches, maximum length of new shoot, number of new leaves, biomass, OD (Optical Density) value of soluble sugar and soluble protein, and concentration of chlorophyll. These characteristics were quantified with seedling age (1-year to 4-year-old seedlings), cutting position (apex, middle, base of the seedling stem) and cultivation methods (hydroponics and cuttage) in the age experiment, and cutting season (spring, summer, autumn, winter), cutting position (apex, middle, base of the seedling stem) and cultivation methods (hydroponics and cuttage) in the season experiment. Results showed that cuttings derived from 1-year-old seedling stems displayed better morphological and physiological characteristics than from other seedling ages. Cuttings of newly obtained from 1-year-old fresh seedling stems and derived from four seasons were all sprouted well in two cultivation methods (hydroponics and cuttage). Cuttings derived from apical and middle positions in spring and basal positions in autumn displayed better performance than the other treatments. Cuttings cultivated by cuttage exhibited better physiological characteristics than by hydroponics. We concluded that the cuttings of Chinese toon could be cultivated all year round for vegetable production. To obtain faster and more even stands of Chinese toon sprouts in plant factory, we recommended the use of cuttings from 1-year-old Chinese toon seedling stems, apical and middle parts from spring and basal positions from autumn, and use of cuttage method. (C) 2015 Elsevier B.V. All rights reserved.</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</si>
  <si>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</si>
  <si>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</si>
  <si>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</si>
  <si>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</si>
  <si>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</si>
  <si>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</si>
  <si>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</si>
  <si>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</si>
  <si>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Ikeura, H; Sato, K</t>
  </si>
  <si>
    <t>Ikeura, Hiromi; Sato, Kanami</t>
  </si>
  <si>
    <t>Pelletizing of spinach and honewort plant parts, and analysis of their pellet inorganic components and combustion ash</t>
  </si>
  <si>
    <t>ENVIRONMENTAL PROGRESS &amp; SUSTAINABLE ENERGY</t>
  </si>
  <si>
    <t>Recently, plant factory is becoming widespread and drumming up in Japan. Agricultural residues have generated from there, are disposed of as waste after harvesting. We aimed to demonstrate the effectiveness of honewort leaves, stems and roots, and spinach roots as a pellet material, and investigated combustion tests in order to pelletize honewort leaves, stems and roots and spinach roots. Moreover, inorganic component in their pellets and combustion ash of their pellets was analyzed. Honewort leaves, stems and roots, and spinach roots could be pelletized in 11% wet. Next, although honewort pellets could not be combusted continuously, spinach pellets could be combusted the same level as wood pellets. Inorganic contents in their pellets combustion ash were significantly higher than those in wood pellets. These results indicated that spinach pellets and its combustion ash can be utilized as an energy source and fertilizer. (c) 2014 American Institute of Chemical Engineers Environ Prog, 34: 819-822, 2015</t>
  </si>
  <si>
    <t>Eigenbrod, C; Gruda, N</t>
  </si>
  <si>
    <t>Eigenbrod, Christine; Gruda, Nazim</t>
  </si>
  <si>
    <t>Urban vegetable for food security in cities. A review</t>
  </si>
  <si>
    <t>AGRONOMY FOR SUSTAINABLE DEVELOPMENT</t>
  </si>
  <si>
    <t>Global food production faces great challenges in the future. With a future world population of 9.6 billion by 2050, rising urbanization, decreasing arable land, and weather extremes due to climate change, global agriculture is under pressure. While today over 50 % of the world population live in cities, by 2030, the number will rise to 70 %. In addition, global emissions have to be kept in mind. Currently, agriculture accounts for around 20-30 % of global greenhouse gas emissions. Shifting food production to locations with high demands reduces emissions and mitigates climate change. Urban horticulture increases global food production by exploiting new locations for cultivation. However, higher land prices and urban pollution constrain urban horticulture. In this paper, we review different urban cultivation systems throughout the world. Our main findings from ecological, economical, and social aspects are: (1) Urban horticulture activities are increasing globally with at least 100 million people involved worldwide. With potential yields of up to 50 kg per m(2) per year and more, vegetable production is the most significant component of urban food production which contributes to global food security. (2) Organoponic and other low-input systems will continue to play an important role for a sustainable and secure food production in the future. (3) Despite the resource efficiency of indoor farming systems, they are still very expensive. (4) Integrating urban horticulture into educational and social programs improves nutrition and food security. Overlaying these, new technologies in horticultural research need to be adopted for urban horticulture to increase future efficiency and productivity. To enhance sustainability, urban horticulture has to be integrated into the urban planning process and supported through policies. However, future food production should not be local at any price, but rather committed to increase sustainability.</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</si>
  <si>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</si>
  <si>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</si>
  <si>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</si>
  <si>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</si>
  <si>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</si>
  <si>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</si>
  <si>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</si>
  <si>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</si>
  <si>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Hwa-Soo, L; Sook-Youn, K; Jae-Hyun, L</t>
  </si>
  <si>
    <t>Hwa-Soo, Lee; Sook-Youn, Kwon; Jae-Hyun, Lim</t>
  </si>
  <si>
    <t>Improvement of light uniformity by lighting arrangement for standardized crop production</t>
  </si>
  <si>
    <t>In a commercialized, fully artificial plant factory, artificial luminaire is arranged in a unified way using a general illumination theory, an actual measurement, or an empirical methodology. However, with these methods, lightings are implemented without considering specific optical characteristics of lighting or material characteristics of each component that constructs a cultivation system, resulting in an amount of light that becomes irregular. The amount of lighting is closely related with the growth and quality of crops, and the deviation between points where cultivated crops are located causes quality difference in the produced crops, thus impairing the economic feasibility of a plant factory. In this regard, a simulation to figure out an optimum lighting layout was performed. Arrangements based on the spectrum distribution of light source and reflector materials were implemented to ascertain the distance between lighting and height of lighting and gather information in the pre-treatment process to improve the uniformity of light in the plant cultivation system. Improvement of around 15% in light uniformity is achieved compared with the existing system after the simulation is carried out. This result would reduce the deviation in crop growth to make uniform quality crop production possible.</t>
  </si>
  <si>
    <t>Winiwarter, W; Leip, A; Tuomisto, HL; Haastrup, P</t>
  </si>
  <si>
    <t>Winiwarter, Wilfried; Leip, Adrian; Tuomisto, Hanna L.; Haastrup, Palle</t>
  </si>
  <si>
    <t>A European perspective of innovations towards mitigation of nitrogen-related greenhouse gases</t>
  </si>
  <si>
    <t>CURRENT OPINION IN ENVIRONMENTAL SUSTAINABILITY</t>
  </si>
  <si>
    <t>Technology design and effectiveness studies available in the scientific literature demonstrate future mitigation potentials of nitrogen-related greenhouse gases. Here we investigate 'innovations' influencing such emissions. These innovations mainly address agriculture: reduced meat diets, urban gardening, genetically modified crops, and precision farming, but also more distant options such as vertical farming and cultured meat production, that is, indoor agriculture. While the latter approaches, which allow full management of effluents, seem very promising in terms of emission control, the cost estimates available would rule out any practical relevance. Technologies that currently seem more realistic offer much smaller mitigation potential. Information on energy need, greenhouse gas emissions, and land requirements feed into a semi-quantitative assessment, which delivers information in a format useful for existing European policy tools.</t>
  </si>
  <si>
    <t>Togawa, T; Fujita, T; Dong, L; Fujii, M; Ooba, M</t>
  </si>
  <si>
    <t>Togawa, Takuya; Fujita, Tsuyoshi; Dong, Liang; Fujii, Minoru; Ooba, Makoto</t>
  </si>
  <si>
    <t>Feasibility assessment of the use of power plant-sourced waste heat for plant factory heating considering spatial configuration</t>
  </si>
  <si>
    <t>Japan is facing the twin challenges of energy conservation and climate change in the post-Fukushima era. Industrial and power plant-sourced waste heat is a significant potential resource for nearby sinks. However, because industrial facilities are not usually optimally located for waste heat utilization, most of the potential heat is emitted to the surrounding environment. To achieve the future targets of the efficient energy provision network system in the coastal regions of Fukushima that experienced tsunami devastation, this study developed a simulation process model integrating spatial analysis, technology systems, and land use controls to maximize the utilization of waste heat from coal-fired thermal power plants to nearby plant factories. Shinchi-town in Fukushima Prefecture was selected as a case study, in which an energy symbiosis network was being constructed. Our findings indicated that the waste heat system provided more environmental benefits than the individual boiler system. With waste heat utilization, fuel oil consumption is reduced by 16.05 Tliyear, while total CO2 emissions are reduced by 1204 ton/year. In addition, as economic feasibility depends on the distance between the power plant and the factory, cost-effective areas with regards to heat supply were identified based on cost-benefit analysis and geographic information system techniques. Finally, policy implications to support the construction of an energy symbiosis network are proposed and discussed. Such a resolution with energy symbiosis and waste heat utilization would shed light on the Japanese energy dilemma. (C) 2014 Elsevier Ltd. All rights reserved.</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</si>
  <si>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</si>
  <si>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</si>
  <si>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</si>
  <si>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</si>
  <si>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</si>
  <si>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</si>
  <si>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</si>
  <si>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</si>
  <si>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</si>
  <si>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</si>
  <si>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</si>
  <si>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</si>
  <si>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</si>
  <si>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Jiang, JA; Su, YL; Shieh, JC; Kuo, KC; Lin, TS; Lin, TT; Fang, W; Chou, JJ; Wang, JC</t>
  </si>
  <si>
    <t>Jiang, Joe-Air; Su, Yu-Li; Shieh, Jyh-Cherng; Kuo, Kun-Chang; Lin, Tzu-Shiang; Lin, Ta-Te; Fang, Wei; Chou, Jui-Jen; Wang, Jen-Cheng</t>
  </si>
  <si>
    <t>On application of a new hybrid maximum power point tracking (MPPT) based photovoltaic system to the closed plant factory</t>
  </si>
  <si>
    <t>Photovoltaic (PV) generation systems have been shown to have a promising role for use in high electric-load buildings, such as the closed plant factory which is dependent upon artificial lighting. The power generated by the PV systems can be either directly supplied to the buildings or fed back into the electrical grid to reduce the high economic costs and environmental impact associated with the traditional energy sources such as nuclear power and fossil fuels. However, PV systems usually suffer from low energy-conversion efficiency, and it is therefore necessary to improve their performance by tackling the energy loss issues. The maximum power point tracking (MPPT) control technique is essential to the PV-assisted generation systems in order to achieve the maximum power output in real time. In this study, we integrate the previously proposed direct-prediction MPP method with a perturbation and observation (P&amp;O) method to develop a new hybrid MPPT method. The proposed MPPT method is further utilized in the PV inverters in a PV system installed on the roof of a closed plant factory at National Taiwan University. The tested PV system is constructed as a two-stage grid-connected photovoltaic power conditioning (PVPC) system with a boost-buck full bridge design configuration. A control scheme based on the hybrid MPPT method is also developed and implemented in the PV inverters of the PVPC system to achieve tracking of the maximum power output of the PV system in real time. Based on experimental results obtained in an outdoor environment over a period of one year, the hybrid MPPT method not only decreases energy loss but also increases power utilization. These results demonstrate the applicability of the PV system to a closed plant factory for saving energy consumption and reducing CO2 emissions. (C) 2014 Elsevier Ltd. All rights reserved.</t>
  </si>
  <si>
    <t>Sung, WT; Chung, HY; Chang, KY</t>
  </si>
  <si>
    <t>Sung, Wen-Tsai; Chung, Hung-Yuan; Chang, Kuo-Yi</t>
  </si>
  <si>
    <t>Agricultural monitoring system based on ant colony algorithm with centre data aggregation</t>
  </si>
  <si>
    <t>IET COMMUNICATIONS</t>
  </si>
  <si>
    <t>This paper proposed environmental parameters are collected by use of outdoor ZigBee based weather stations as a prerequisite for the optimisation of plant growth. In most cases, all the sensors required are integrated into a weather station, due to which merely a single monitoring node is employed following data aggregation. An energy efficient center data aggregation algorithm, where an ant colony algorithm is applied to the construction of a level gradient field, is presented as an effective way to extend the life cycles of sensor nodes. A weather station and a ZigBee module both are portable and easy to install battery operated devices. Furthermore, a remote web-based human machine interface (HMI) is developed by InduSof on a server, and has an access to a database. This proposed algorithm is confirmed by computer simulations as an effective approach to remarkably extend the life cycles of sensor nodes. This work can be applied not merely to traditional outdoor large scale farming, but also to small scale indoor plantation, e.g. in a green house, a plant factory, etc., and applied to the field of conservation ecology.</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</si>
  <si>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</si>
  <si>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</si>
  <si>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</si>
  <si>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</si>
  <si>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Cicekli, M; Barlas, NT</t>
  </si>
  <si>
    <t>Cicekli, M.; Barlas, N. T.</t>
  </si>
  <si>
    <t>TRANSFORMATION OF TODAY GREENHOUSES INTO HIGH TECHNOLOGY VERTICAL FARMING SYSTEMS FOR METROPOLITAN REGIONS</t>
  </si>
  <si>
    <t>JOURNAL OF ENVIRONMENTAL PROTECTION AND ECOLOGY</t>
  </si>
  <si>
    <t>World population will be approximately 9 billion by the year 2050. Additional area required to feed this population using available technologies equals to the size of Brazil. Because of the decrease in agricultural lands that will nourish people, the crop losses caused by emerging new pests and diseases, climate change and environmental pollution, the development of alternative agricultural systems in order for the production needed to be made to feed people has become compulsory. Therefore, 'Vertical Farming Systems', which is one of the agricultural systems where the yield (harvest) to be received from the unit area is high, is progressing on the way to becoming an agricultural system that will rapidly develop in the future. However, for sustainable production and energy in this system, engineering, architecture, technology and experiences are needed to be used all together. Thus, in this agricultural system with advanced technology, production made in an area of 4000-30 000 m(2) is being achieved in an area of 1000 m(2); the risk of crop loss dependent on conditions like aridity, floods, pests and disease, etc. is eliminated. By virtue of the utilisation of renewable energy resources (solar, wind, etc.), environmental pollution and fossil fuel consumption decreases. Due to multiplex buildings and systems, it is enabled to carry out agriculture in the city centre and healthy products are provided in the sense of food safety.</t>
  </si>
  <si>
    <t>Moon, SM; Kwon, SY; Lim, JH</t>
  </si>
  <si>
    <t>Moon, Seung-Mi; Kwon, Sook-Youn; Lim, Jae-Hyun</t>
  </si>
  <si>
    <t>Minimization of Temperature Ranges between the Top and Bottom of an Air Flow Controlling Device through Hybrid Control in a Plant Factory</t>
  </si>
  <si>
    <t>SCIENTIFIC WORLD JOURNAL</t>
  </si>
  <si>
    <t>To maintain the production timing, productivity, and product quality of plant factories, it is necessary to keep the growth environment uniform. A vertical multistage type of plant factory involves different levels of growing trays, which results in the problem of difference in temperature among vertically different locations. To address it, it is necessary to install air flow devices such as air flow fan and cooling/heating device at the proper locations in order to facilitate air circulation in the facility as well as develop a controlling technology for efficient operation. Accordingly, this study compares the temperature and air distribution within the space of a vertical multistage closed-type plant factory by controlling cooling/heating devices and air flow fans harmoniously by means of the specially designed testbed. The experiment results indicate that in the hybrid control of cooling and heating devices and air flow fans, the difference in temperature decreased by as much as 78.9% compared to that when only cooling and heating devices were operated; the air distribution was improved by as much as 63.4%.</t>
  </si>
  <si>
    <t>Yeh, YHF; Lai, TC; Liu, TY; Liu, CC; Chung, WC; Lin, TT</t>
  </si>
  <si>
    <t>Yeh, Yu-Hui Flora; Lai, Tsung-Cheng; Liu, Ting-Yu; Liu, Chang-Chih; Chung, Wei-Chang; Lin, Ta-Te</t>
  </si>
  <si>
    <t>An automated growth measurement system for leafy vegetables</t>
  </si>
  <si>
    <t>In plant science, the fundamental information for research and related applications is derived from the measurement of plant features. It is especially useful for applications in plant growth modelling and climate control in greenhouses or plant factories. Standard, direct measurement methods are generally simple and reliable, but they are time consuming and laborious. In contrast, vision-based methods are non-destructive and an efficient way to describe external plant features and plant growth. In this study, a stereo-vision system, using two off-the-shelf cameras with parallel optical axes, integrated a self-developed image processing algorithm to monitor the growth of Boston lettuce in a plant factory. The system was mounted on a sliding rail to extend the field of vision of planting beds. Images were continuously recorded to determine the plants' features and construct panoramic images. The image processing algorithms, that calculated geometric features such as the projected leaf area, plant height, volume and diameters were developed and incorporated into the automated measurement system. Subsequently, plant growth curves were determined from calculations of the plant features data. This automated vision-based system showed promising results when put into practice. (C) 2013 IAgrE. Published by Elsevier Ltd. All rights reserved.</t>
  </si>
  <si>
    <t>Kang, JH; KrishnaKumar, S; Atulba, SLS; Jeong, BR; Hwang, SJ</t>
  </si>
  <si>
    <t>Kang, Jeong Hwa; KrishnaKumar, Sugumaran; Atulba, Sarah Louise Sua; Jeong, Byoung Ryong; Hwang, Seung Jae</t>
  </si>
  <si>
    <t>Light intensity and photoperiod influence the growth and development of hydroponically grown leaf lettuce in a closed-type plant factory system</t>
  </si>
  <si>
    <t>Effect of light provided by various light intensities combined with different photoperiods on the growth and morphogenesis of lettuce (Lactuca sativa L.) 'Hongyeom Jeockchukmyeon' in a closed-type plant factory system were evaluated in this study. Four light intensity treatments, i.e., 200, 230, 260, and 290 mu mol.m(-2).s(-1) PPFD, provided from light-emitting diodes (LEDs), with a combination of three different photoperiods 18/6 (1 cycle), 9/3 (2 cycles) or 6/2 (3 cycles) (light/dark) were used. The combination of 290-9/3 (light intensity-photoperiod) showed the highest plant height and fresh shoot weight, while plants grown at 290-18/6 exhibited the greatest root fresh weight, leaf dry weight, and longest root length. The greatest leaf width, maximum number of leaves, and greatest root dry weight were observed in the treatment combination of 290-6/2. Anthocyanin content was found to be highest in the 290-6/2 and lowest in the 200-6/2 treatment, whereas chlorophyll fluorescence was observed to be highest in the 260-6/2 and the lowest in the 290-9/3 treatment. Our data showed that providing a high light intensity of 290 mu mol.m(-2).s(-1) PPFD with a shorter photoperiod of 6/2 (light/dark) resulted in good plant growth and development of lettuce, whereas growth at light intensities of 230 or 260 mu mol.m(-2).s(-1) PPFD with longer photoperiods of 18/6 and 9/3 (light/dark) resulted in good growth as well as higher photosynthetic capacity.</t>
  </si>
  <si>
    <t>Resource use efficiency of closed plant production system with artificial light: Concept, estimation and application to plant factory</t>
  </si>
  <si>
    <t>PROCEEDINGS OF THE JAPAN ACADEMY SERIES B-PHYSICAL AND BIOLOGICAL SCIENCES</t>
  </si>
  <si>
    <t>Extensive research has recently been conducted on plant factory with artificial light, which is one type of closed plant production system (CPPS) consisting of a thermally insulated and airtight structure, a multi-tier system with lighting devices, air conditioners and fans, a CO2 supply unit, a nutrient solution supply unit, and an environment control unit. One of the research outcomes is the concept of resource use efficiency (RUE) of CPPS. This paper reviews the characteristics of the CPPS compared with those of the greenhouse, mainly from the viewpoint of RUE, which is defined as the ratio of the amount of the resource fixed or held in plants to the amount of the resource supplied to the CPPS. It is shown that the use efficiencies of water, CO2 and light energy are considerably higher in the CPPS than those in the greenhouse. On the other hand, there is much more room for improving the light and electric energy use efficiencies of CPPS. Challenging issues for CPPS and RUE are also discussed.</t>
  </si>
  <si>
    <t>Lee, SG; Choi, CS; Lee, JG; Jang, YA; Lee, HJ; Lee, HJ; Chae, WB; Um, YC</t>
  </si>
  <si>
    <t>Lee, Sang Gyu; Choi, Chang Sun; Lee, Jun Gu; Jang, Yoon Ah; Lee, Hee Ju; Lee, Hye Jin; Chae, Won Byoung; Um, Yeong Cheol</t>
  </si>
  <si>
    <t>Influence of air temperature on yield and phytochemical content of red chicory and garland chrysanthemum grown in plant factory</t>
  </si>
  <si>
    <t>This study was conducted to improve the yield and quality of red chicory (Cichorium intybus L.) and garland chrysanthemum (Chrysanthemum coronarium L.) grown in a plant factory where fluorescent lamps were used as an artificial light source. Seeds of a chicory 'Juck' and garland chrysanthemum 'Joongyupssuckgot' were sown in a peat-lite germination mix. Twenty-day old seedlings with roots being washed off were anchored on a styrofoam board and were grown in hydroponics for 30 days. Plants were exposed to one of the three different air temperature regimes (20, 25, and 30A degrees C during the day combined with 18A degrees C during the night) which were being monitored with a sensor at 30 cm above the plant canopy. In all treatments, light intensity was maintained at 200 +/- 20 mu mol center dot m(-2)center dot s(-1), day length was 12 hours, and relative humidity was 50-80%. Electrical conductivity (EC) and pH of the nutrient solution were 2.0 +/- 0.2 dS center dot m(-1) and 6.5-7.0, respectively, in all treatments. Increase in fresh weight was observed in chicory, but not in garland chrysanthemum, in both 25 and 30A degrees C as compared to 20A degrees C. Photosynthetic capacity and ascorbic acid content of chicory leaves were higher at 25A degrees C than in other temperatures. In garland chrysanthemum, photosynthetic capacity was the greatest in both 20 and 25A degrees C, while ascorbic acid content was the greatest in 25A degrees C. Also plants grown at 25A degrees C had the greatest contents of total phenol and flavonoid in both chicory and garland chrysanthemum. Hence, the optimum temperature appears to be 25A degrees C for growing both chicory and garland chrysanthemum in the plant factory with fluorescent light as the sole souse of light.</t>
  </si>
  <si>
    <t>Lee, JG; Choi, CS; Jang, YA; Jang, SW; Lee, SG; Um, YC</t>
  </si>
  <si>
    <t>Lee, Jun Gu; Choi, Chang Sun; Jang, Yoon Ah; Jang, Suk Woo; Lee, Sang Gyu; Um, Yeong Cheol</t>
  </si>
  <si>
    <t>Effects of air temperature and air flow rate control on the tipburn occurrence of leaf lettuce in a closed-type plant factory system</t>
  </si>
  <si>
    <t>This study aimed to establish a practical method to reduce tipburn symptoms on leaf lettuce cultivars in a closed plant factory system, focusing on air temperature conversion at specific plant growth stages and artificial air flow application strategies using pre-screened tipburn-sensitive cultivars. Inter-conversion effect of day temperature among 18, 22, and 25A degrees C, 12 days after transplanting on tipburn occurrences, were compared with stable day temperature condition. Horizontal air flow rates were controlled at 0.28 (Low), 0.55 (Medium), and 1.04 m center dot s(-1) (High). Tipburn occurrences were highly variable depending on the lettuce cultivars tested. Following the initial screening of 28 leaf lettuce cultivars under 3 different light intensity conditions (ranging from 150 to 250 mol center dot m(-2)center dot s(-1)), two cultivars exhibiting relatively higher percentages of tipburn were selected for the following air temperature and air flow treatments. None of the temperature treatments effectively reduced tipburn symptom, while adjusting the temperature to a lower day temperatures at 12 days after transplanting only had a minor effect on lettuce growth and tipburn occurrence. In contrast, stable horizontal 24-hour air flow rates above 0.28 m center dot s(-1) effectively reduced tipburn symptom, with no significant differences being found among the tested air flow rates, while above 65% of tipburned plants were found in the control plot of 0.08 m center dot s(-1) flow rate. When stable air flow was applied, compared to the control, there was an increase in the absolute calcium content and a decrease in the calcium content difference between the inner and outer lettuce leaves. This calcium balance change may have occurred due to the enhanced transpiration in the inner parts of plants. This study showed that stable horizontal air flow application along cultivation beds is more effective than air temperature control in decreasing tipburn symptoms in a closed plant factory system.</t>
  </si>
  <si>
    <t>Son, KH; Oh, MM</t>
  </si>
  <si>
    <t>Son, Ki-Ho; Oh, Myung-Min</t>
  </si>
  <si>
    <t>Leaf Shape, Growth, and Antioxidant Phenolic Compounds of Two Lettuce Cultivars Grown under Various Combinations of Blue and Red Light-emitting Diodes</t>
  </si>
  <si>
    <t>Light-emitting diodes (LEDs) of short wavelength ranges are being developed as light sources in closed-type plant production systems. Among the various wavelengths, red and blue lights are known to be effective for enhancing plant photosynthesis. In this study, we determined the effects of blue and red LED ratios on leaf shape, plant growth, and the accumulation of antioxidant phenolic compounds of a red leaf lettuce (Lactuca sativa L. 'Sunmang') and a green leaf lettuce (Lactuca sativa L. 'Grand Rapid TBR'). Lettuce seedlings grown under normal growth conditions (20 degrees C, fluorescent lamp + high-pressure sodium lamp 177 +/- 5 mu mol.m(-2).s(-1), 12-hour photoperiod) for 18 days were transferred into growth chambers that were set at 20 degrees C and equipped with various combinations of blue (456 nm) and red (655 nm) LEDs [blue:red = 0:100 (0 B), 13:87 (13 B), 26:74 (26 B), 35:65 (35 B), 47:53 (47 B) or 59:41 (59 B)] under the same light intensity and photoperiod (171 +/- 7 mu mol.m(-2).s(-1), 12-hour photoperiod). Leaf width, leaf length, leaf area, fresh and dry weights of shoots and roots, chlorophyll content (SPAD value), total phenolic concentration, total flavonoid concentration, and antioxidant capacity were measured at 2 and 4 weeks after the onset of LED treatment. The leaf shape indices (leaf length/leaf width) of the two lettuce cultivars subjected to blue LEDs treatment were similar to the control, regardless of the blue-to-red ratio during the entire growth stage. However, 0 B (100% red LED) induced a significantly higher leaf shape index, which represents elongated leaf shape, compared with the other treatments. Increasing blue LED levels negatively affected lettuce growth. Most growth characteristics (such as the fresh and dry weights of shoots and leaf area) were highest under 0 B for both cultivars compared with all other LED treatments. For red and green leaf lettuce cultivar plants, shoot fresh weight under 0 B was 4.3 and 4.1 times higher compared with that under 59 B after 4 weeks of LED treatment, respectively. In contrast, the accumulation of chlorophyll, phenolics (including flavonoids), and antioxidants in both red and green leaf lettuce showed an opposite trend compared with that observed for growth. The SPAD value (chlorophyll content), total phenolic concentration, total flavonoid concentration, and antioxidant capacity of lettuces grown under high ratios of blue LED (such as 59 B, 47 B, and 35 B) were significantly higher compared with 0 B or control conditions. Thus, this study indicates that the ratio of blue to red LEDs is important for the morphology, growth, and phenolic compounds with antioxidant properties in the two lettuce cultivars tested.</t>
  </si>
  <si>
    <t>Besthorn, FH</t>
  </si>
  <si>
    <t>Besthorn, Fred H.</t>
  </si>
  <si>
    <t>Vertical Farming: Social Work and Sustainable Urban Agriculture in an Age of Global Food Crises</t>
  </si>
  <si>
    <t>AUSTRALIAN SOCIAL WORK</t>
  </si>
  <si>
    <t>Environmental concerns, including issues of ecological justice, attention to sustainability, and focus on issues of food security have gathered increased momentum in social work. This article will trace the background of sustainable urban agriculture as a partial solution to the issue of global food insecurity and its impact on marginalised urban populations. It will review the development of a sustainable agricultural initiative called vertical farming and suggest that it holds promise for communities struggling with chronic food security problems. It will outline some tentative steps social work may consider in order to become more fully involved in support of vertical farming initiatives.</t>
  </si>
  <si>
    <t>Hata, N; Hayashi, Y; Ono, E; Satake, H; Kobayashi, A; Muranaka, T; Okazawa, A</t>
  </si>
  <si>
    <t>Hata, Naoki; Hayashi, Yoshinori; Ono, Eiichiro; Satake, Honoo; Kobayashi, Akio; Muranaka, Toshiya; Okazawa, Atsushi</t>
  </si>
  <si>
    <t>Differences in plant growth and leaf sesamin content of the lignan-rich sesame variety 'Gomazou' under continuous light of different wavelengths</t>
  </si>
  <si>
    <t>Sesamin is a major lignan constituent of sesame seeds and beneficial to human health. We previously reported that sesamin is contained in leaves as well as seeds of sesame and proposed that sesame leaves could be a new sesamin source. Growth and constituents of plants are affected by light wavelength. In this study, growth and leaf sesamin content of sesame variety 'Gomazou' were investigated in plants grown under continuous white fluorescent and monochromatic red or blue light emitting diode (LED) light. Under red LED light, plants developed pale-green, epinastic leaves. Compared with white fluorescent light, red LED light promoted stem elongation 1-3 weeks after sowing but retarded it 3-5 weeks after sowing. Under blue LED light, plants exhibited interveinal necrosis in the leaf blades and excessive stem elongation occurred irrespective of plant age. Leaf yields were lower in plants grown under red and blue LED lights relative to those under white fluorescent light. Blue LED light increased leaf sesamin content by 2.0 and 4.5 times compared with white fluorescent and red LED lights, respectively. From these results, we concluded that blue (LED) light may be effective at producing sesamin-rich leaves if the unfavorable morphological changes and reduction in growth can be prevented.</t>
  </si>
  <si>
    <t>Bamsey, M; Graham, T; Thompson, C; Berinstain, A; Scott, A; Dixon, M</t>
  </si>
  <si>
    <t>Bamsey, Matthew; Graham, Thomas; Thompson, Cody; Berinstain, Alain; Scott, Alan; Dixon, Michael</t>
  </si>
  <si>
    <t>Ion-Specific Nutrient Management in Closed Systems: The Necessity for Ion-Selective Sensors in Terrestrial and Space-Based Agriculture and Water Management Systems</t>
  </si>
  <si>
    <t>The ability to monitor and control plant nutrient ions in fertigation solutions, on an ion-specific basis, is critical to the future of controlled environment agriculture crop production, be it in traditional terrestrial settings (e. g., greenhouse crop production) or as a component of bioregenerative life support systems for long duration space exploration. Several technologies are currently available that can provide the required measurement of ion-specific activities in solution. The greenhouse sector has invested in research examining the potential of a number of these technologies to meet the industry's demanding requirements, and although no ideal solution yet exists for on-line measurement, growers do utilize technologies such as high-performance liquid chromatography to provide off-line measurements. An analogous situation exists on the International Space Station where, technological solutions are sought, but currently on-orbit water quality monitoring is considerably restricted. This paper examines the specific advantages that on-line ion-selective sensors could provide to plant production systems both terrestrially and when utilized in space-based biological life support systems and how similar technologies could be applied to nominal on-orbit water quality monitoring. A historical development and technical review of the various ion-selective monitoring technologies is provided.</t>
  </si>
  <si>
    <t>Cho, YY; Choi, KY; Lee, YB; Son, JE</t>
  </si>
  <si>
    <t>Cho, Young Yeol; Choi, Ki Young; Lee, Yong-Beom; Son, Jung Eek</t>
  </si>
  <si>
    <t>Growth characteristics of sowthistle (Ixeris dentata Nakai) under different levels of light intensity, electrical conductivity of nutrient solution, and planting density in a plant factory</t>
  </si>
  <si>
    <t>The objective of this study was to investigate the growth characteristics of sowthistle (Ixeris dentata Nakai) under different levels of light intensity (photosynthetic photon flux, PPF), electrical conductivity (EC) of nutrient solution, and planting density for efficient production in a closed-type plant factory system. Growth and yield of the plants were analyzed at EC 1.5 and 2.0 dS center dot m(-1) with PPF 100 and 200 mu mol center dot m(-2)center dot s(-1). Further, growth and yield were measured under four different planting densities: a 15-cm between-row distance with within-row distances of 10, 15, 20, and 25 cm. Shoot dry weight and leaf photosynthetic rate all increased with increasing EC and light intensity. Shoot fresh and dry weights, chlorophyll content, and leaf photosynthetic rate were maximal at EC 2.0 dS center dot m(-1) with PPF 200 mu mol center dot m(-2)center dot s(-1). For all planting densities, number of leaves and leaf width were not significantly different. Shoot fresh and dry weights per plant were not significantly different, however, shoot fresh and dry weights per area decreased with increasing plating densities. A linear relationship was observed between the number of leaves and days after transplantation. Based on the results, we suggest a nutrient solution of EC 2.0 dS center dot m(-1), PPF 200 mu mol center dot m(-2) center dot s(-1), and planting density of 15x10 cm for maximal growth and yield of sowthistle in a closed-type plant factory.</t>
  </si>
  <si>
    <t>He, CJ; Davies, FT</t>
  </si>
  <si>
    <t>He, Chuanjiu; Davies, Fred T., Jr.</t>
  </si>
  <si>
    <t>Ethylene reduces plant gas exchange and growth of lettuce grown from seed to harvest under hypobaric and ambient total pressure</t>
  </si>
  <si>
    <t>JOURNAL OF PLANT PHYSIOLOGY</t>
  </si>
  <si>
    <t>Naturally occurring high levels of ethylene can be a problem in spaceflight and controlled environment agriculture (CEA) leading to sterility and irregular plant growth. There are engineering and safety advantages of growing plants under hypobaria (low pressure) for space habitation. The goals of this research were to successfully grow lettuce (Lactuca sativa cv. Buttercrunch) in a long-term study from seed to harvest under hypobaric conditions, and to investigate how endogenously produced ethylene affects gas exchange and plant growth from seed germination to harvest under hypobaric and ambient total pressure conditions. Lettuce was grown under two levels of total gas pressure [hypobaric or ambient (25 or 101 kPa)] in a long-term, 32-day study. Significant levels of endogenous ethylene occurred by day-15 causing reductions in photosynthesis, dark-period respiration, and a subsequent decrease in plant growth. Hypobaria did not mitigate the adverse ethylene effects on plant growth. Seed germination was not adversely affected by hypobaria, but was reduced by hypoxia (6 kPa pO(2)). Under hypoxia, seed germination was higher under hypobaria than ambient total pressure. This research shows that lettuce can be grown from seed to harvest under hypobaria (congruent to 25% of normal earth ambient total pressure). (C) 2011 Elsevier GmbH. All rights reserved.</t>
  </si>
  <si>
    <t>Koyama, R; Itoh, H; Kimura, S; Morioka, A; Uno, Y</t>
  </si>
  <si>
    <t>Koyama, Ryohei; Itoh, Hiromichi; Kimura, Syuji; Morioka, Ai; Uno, Yuichi</t>
  </si>
  <si>
    <t>Augmentation of Antioxidant Constituents by Drought Stress to Roots in Leafy Vegetables</t>
  </si>
  <si>
    <t>Plants can synthesize some antioxidants, including L-ascorbic acid (AsA) and polyphenol, in response to environmental stresses. Antioxidants detoxify reactive oxygen species in plants and also aid in human health. In this study, we demonstrate that a novel hydroponic treatment can increase leafy vegetable nutritional quality without retarding growth. Leaf lettuce (Lactuca sativa) was grown hydroponically and subjected to rhizosphere drought stress by lowering the water level in the solution tub before harvesting. Appropriate drought stress using this method could increase AsA, polyphenol, and sugar content by 24%, 50%, and 17%, respectively, and decrease nitrate nitrogen content by 18% without reducing yield. Similar effects of drought stress on AsA content were observed in four other plant species. This hydroponic method has a universal potential to increase leafy vegetable quality without reducing yield in controlled environments such as plant factories.</t>
  </si>
  <si>
    <t>Koyama, R; Sanada, M; Itoh, H; Kanechi, M; Inagaki, N; Uno, Y</t>
  </si>
  <si>
    <t>Koyama, Ryohei; Sanada, Mitsuhiro; Itoh, Hiromichi; Kanechi, Michio; Inagaki, Noboru; Uno, Yuichi</t>
  </si>
  <si>
    <t>In vitro evaluation of tipburn resistance in lettuce (Lactuca sativa. L)</t>
  </si>
  <si>
    <t>Lettuce tipburn is an irreversible physiological disorder caused by calcium deficiency that decreases the crop value. Breeding a tipburn-resistant cultivar is the only causal therapy in many cases. In this study, we investigated an efficient method to evaluate lettuce resistance to tipburn in vitro. Seedlings of 19 lettuce cultivars representing three head types were cultured on agar medium containing EGTA, which chelates Ca2+. The percentage of tipburned leaves decreased proportionally with EGTA concentration. Susceptible cultivars were distinguished at 0.01 mM EGTA, whereas resistant cultivars were classified at 1.0 mM EGTA. Based on mean values of tipburn measurements, tipburn susceptibility was highest for 'Leaf Lettuce', followed by 'Butterhead Lettuce', and then 'Crisphead Lettuce'. Two cultivars were selected for further tests using hydroponic and pot culture. The rank order of susceptibility to tipburn in these experiments was consistent with that of the in vitro assay. The in vitro evaluation of lettuce susceptibility to calcium deficiency is useful for initial screening of lettuce cultivars against tipburn incidence. Resistant cultivars identified in this study are practical candidates for cultivation in controlled environments, such as a plant factory, while sensitive cultivars are also useful as indicator plants to monitor environmental conditions.</t>
  </si>
  <si>
    <t>Despommier, D</t>
  </si>
  <si>
    <t>Despommier, Dickson</t>
  </si>
  <si>
    <t>The vertical farm: controlled environment agriculture carried out in tall buildings would create greater food safety and security for large urban populations</t>
  </si>
  <si>
    <t>JOURNAL FUR VERBRAUCHERSCHUTZ UND LEBENSMITTELSICHERHEIT-JOURNAL OF CONSUMER PROTECTION AND FOOD SAFETY</t>
  </si>
  <si>
    <t>Over the next 50 years, rapid climate change issues will play a major role in agriculture. It is estimated for every 1A degrees of increase in atmospheric temperature, 10 % of the land where we now grow food crops will be lost. The ability of governments to provide essential services for its citizens, and in particular to maintain systems that provide a reliable and safe food and water supply becomes more and more problematic. In less developed countries, other problems also exist that will become magnified because of global warming. For example, diseases transmitted by fecal contamination, such as cholera, typhoid fever and a plethora of parasitic infections, are commonplace where human excrement is used as fertilizer (an estimated 50 % of all farming on the planet). These infections are in large part responsible for widespread poverty and illiteracy. Geo-helminths, alone, cripple enormous numbers of children and adults alike. Heavy infections with ascaris, hookworm and whipworm can permanently reduce a child's capacity for learning, and the diarrheal diseases they cause routinely keep them out of school. Illiteracy, malnutrition, and poverty are the result. Today, even in more developed countries where many of these kinds of infectious diseases have been either eradicated or are under control, food safety and security issues dominate the headlines. Over the last 5 years, in the United States alone, food recalls due to bacterial infectious diseases have resulted in billions of dollars of lost income. In traditional farming, a plethora of plant pathogens (e.g., rice blast, wheat rust) and insect pests (e.g., locusts) account for staggering losses of crops worldwide, further pushing the yields of most grain and vegetable crops towards lower and lower limits. Soil erosion due to floods and droughts completes the picture of climate change issues that have already significantly reduced where we can grow our food. The majority of environmental experts agree that farming as we know it will become marginalized over the next 50 years, as climate changes accelerate even more due to deforestation. This is because forests are being sacrificed for farmland. The consequence of this activity is that the carbon cycle is out of balance and will only get worse if nothing is done on a global scale. Controlled environment agriculture is one answer to reversing this situation. Greenhouse technologies are well-established and guarantee a safer, more reliable food supply that can be produced year round, and they can be located close to urban centers. By stacking these buildings on top of each other in an integrated well-engineered fashion, we can greatly reduce our agricultural footprint, and the vertical farm concept can then be applied to every urban center, regardless of location.</t>
  </si>
  <si>
    <t>Germer, J; Sauerborn, J; Asch, F; de Boer, J; Schreiber, J; Weber, G; Muller, J</t>
  </si>
  <si>
    <t>Germer, Joern; Sauerborn, Joachim; Asch, Folkard; de Boer, Jan; Schreiber, Juergen; Weber, Gerd; Mueller, Joachim</t>
  </si>
  <si>
    <t>Skyfarming an ecological innovation to enhance global food security</t>
  </si>
  <si>
    <t>Population growth increases the demand for food and thus leads to expansion of cultivated land and intensification of agricultural production. There is a definite limit to both of these options for food security and their multiple negative effects on the environment undermine the aim for sustainability. Presently the impact of the Green Revolution on crop production is levelling off at high yields attained and even the potential of large scale irrigation programmes and transgenic crops seem to be limited in view of the expected increase in demand for food. Moreover, climate change threatens to affect agricultural production across the globe. Skyfarming represents a promising approach for food production that is largely environment independent and therefore immune to climate change. Optimal growing conditions, shielded from weather extremes and pests are aimed at raising plant production towards the physiological potential. Selecting rice as a pioneer crop for Skyfarming will not only provide a staple for a large part of the global population, but also significantly reduce the greenhouse gas emission caused by paddy cultivation. Multiplication of the benefits could be achieved by stacking production floors vertically. In Skyfarming the crop, with its requirements for optimal growth, development and production, determines the system's design. Accordingly, the initial development must focus on the growing environment, lighting, temperature, humidity regulation and plant protection strategies as well as on the overall energy supply. For each of these areas potentially suitable technologies are presented and discussed.</t>
  </si>
  <si>
    <t>Yeo, KH; Cho, YY; Lee, YB</t>
  </si>
  <si>
    <t>Yeo, Kyung-Hwan; Cho, Young Yeol; Lee, Yong-Beom</t>
  </si>
  <si>
    <t>Estimation of Shoot Development for a Single-stemmed Rose 'Vital' Based on Thermal Units in a Plant Factory System</t>
  </si>
  <si>
    <t>This study was conducted to predict number and fresh weight of leaves, and total leaf area of a single-stemmed rose 'Vital' based on the accumulated thermal units, and to develop a model of shoot development for the prediction of the time when the flowering shoot reaches a phenological stage in a plant factory system. The base temperature (T-b), optimum temperature (T-opt), and maximum temperature (T-max) were estimated by regressing the rate of shoot development against the temperature gradient. The rate of shoot development (R, d(1)) for the phase from cutting to bud break (CT-BB) was best described by a linear model R-b (d(-1)) = -0.0089 + 0.0016.temp. The rate of shoot development for the phase from bud break to harvest (BB-HV) was fitted to the parabolic model R-h (d(-1)) = -0.0001.temp(2) + 0.0054.temp - 0.0484. The T-b, T-opt, and T-max values were 5.56, 27.0, and 42.7 degrees C, respectively. The T-b value was used in the thermal unit computations for the shoot development. Number of leaves, leaf area (LA), and leaf fresh weight showed sigmoidal curves regardless of the cut time. The shoot development and leaf area model was described as a sigmoidal function using thermal units. Leaf area was described as LA = 578.7 [1 + (thermal units/956.1)(-8.54)](-1). Estimated and observed shoot length and leaf fresh weight showed a reasonably good fit with 1.060 (R-2 = 0.976***) and 1.043 (R-2 = 0.955***), respectively. The average thermal units required from cutting to transplant and from transplant to harvest stages were 426 +/- 42 degrees C.d and 783 +/- 24 degrees C.d, respectively.</t>
  </si>
  <si>
    <t>Kato, K; Yoshida, R; Kikuzaki, A; Hirai, T; Kuroda, H; Hiwasa-Tanase, K; Takane, K; Ezura, H; Mizoguchi, T</t>
  </si>
  <si>
    <t>Kato, Kazuhisa; Yoshida, Riichiro; Kikuzaki, Ayako; Hirai, Tadayoshi; Kuroda, Hirofumi; Hiwasa-Tanase, Kyoko; Takane, Kenichi; Ezura, Hiroshi; Mizoguchi, Tsuyoshi</t>
  </si>
  <si>
    <t>Molecular Breeding of Tomato Lines for Mass Production of Miraculin in a Plant Factory</t>
  </si>
  <si>
    <t>A transgenic tomato line (56B, Moneymaker) that expresses the miraculin gene driven by the CaMV 35S promoter was crossed with a dwarf tomato (Micro-Tom) for the molecular breeding of cultivars that are suitable for miraculin production in a closed cultivation system. Plant size, miraculin accumulation, and self-pruning growth were used as selection indicators for F-2 plants. Two lines were chosen for further analysis, bred to the F-6 or F-7 generation and cultivated in a closed cultivation system. In 56B and the two crossed lines, the concentrations of miraculin in the pericarp were 140, 367, and 343 mu g/g FW, respectively. We also estimated that 26.2, 73.6, and 45.9 kg FW/m(2) of tomatoes and 2.2, 16.6, and 9.8 mg/m(2) of miraculin in the pericarp, respectively, could be harvested per year. These two crossed lines will be useful for the mass production of miraculin, especially in a closed cultivation system.</t>
  </si>
  <si>
    <t>Shibata, S; Oyabu, T; Kimura, H</t>
  </si>
  <si>
    <t>Shibata, Shin-ichi; Oyabu, Takashi; Kimura, Haruhiko</t>
  </si>
  <si>
    <t>Bioelectric Potential of Pothos under Light-Emitting Diode</t>
  </si>
  <si>
    <t>SENSORS AND MATERIALS</t>
  </si>
  <si>
    <t>Plant bioelectric potential changes according to environmental factors such as temperature, humidity, light intensity, and atmospheric pressure. Light is the fundamental factor for plant photosynthesis. In this paper, the relationship between bioelectric potential and the wavelength of emitted light (light-emitting diodes (LEDs): blue, green, red, and white) was examined. The bioelectric potential in darkness was adopted as a control and it was compared with those at various wavelengths. The bioelectric potential was measured as a function of time. Data were recorded every 0.1 s and summed over 1 h. The summation value was adopted as a representative value. The correlation between the bioelectric potential under light emission and that of the control was determined. The correlation coefficient reached a maximum as the bioelectric potential under emission was shifted from 1-3 h of light exposure. The coefficient became lower as the wavelength of emitted light became higher. A coefficient of 0.84 under red light (660 nm) at a shifted time of 3 h was obtained, and 0.7 for green light (525 nm) at a shifted time of 1 h, 0.5 for blue (475 nm) without a shift. A coefficient of over 0.5 was obtained under white light at a shifted time of 1-2 h. The obtained result contributes to our understanding of plant physiology. In addition, it contributes to the development of a plant environmental sensor and a plant factory.</t>
  </si>
  <si>
    <t>Study ID No.</t>
  </si>
  <si>
    <t>Focus</t>
  </si>
  <si>
    <t>Technical</t>
  </si>
  <si>
    <t>Biological</t>
  </si>
  <si>
    <t>Environmental</t>
  </si>
  <si>
    <t>Socio-economical</t>
  </si>
  <si>
    <t>Theme 1</t>
  </si>
  <si>
    <t>Theme 2</t>
  </si>
  <si>
    <t>Theme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</si>
</sst>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shrinkToFit="1"/>
    </xf>
    <xf numFmtId="0" fontId="2" fillId="0" borderId="0" xfId="0" applyFont="1"/>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30"/>
  <sheetViews>
    <sheetView tabSelected="1" topLeftCell="A95" zoomScale="140" zoomScaleNormal="140" workbookViewId="0">
      <selection activeCell="I84" sqref="I84"/>
    </sheetView>
  </sheetViews>
  <sheetFormatPr baseColWidth="10" defaultRowHeight="13"/>
  <cols>
    <col min="1" max="3" width="8.83203125" customWidth="1"/>
    <col min="4" max="4" width="27.33203125" style="3" customWidth="1"/>
    <col min="5" max="5" width="28.83203125" customWidth="1"/>
    <col min="6" max="6" width="59.33203125" style="3" customWidth="1"/>
    <col min="7" max="7" width="8.83203125" customWidth="1"/>
    <col min="8" max="8" width="8.5" style="1" customWidth="1"/>
    <col min="9" max="9" width="13.6640625" customWidth="1"/>
    <col min="10" max="247" width="8.83203125" customWidth="1"/>
  </cols>
  <sheetData>
    <row r="1" spans="1:11" ht="14">
      <c r="A1" t="s">
        <v>2694</v>
      </c>
      <c r="B1" t="s">
        <v>0</v>
      </c>
      <c r="C1" t="s">
        <v>1</v>
      </c>
      <c r="D1" s="3" t="s">
        <v>2</v>
      </c>
      <c r="E1" t="s">
        <v>3</v>
      </c>
      <c r="F1" s="3" t="s">
        <v>4</v>
      </c>
      <c r="G1" t="s">
        <v>5</v>
      </c>
      <c r="H1" s="1" t="s">
        <v>6</v>
      </c>
      <c r="I1" s="2" t="s">
        <v>2700</v>
      </c>
      <c r="J1" s="2" t="s">
        <v>2701</v>
      </c>
      <c r="K1" s="2" t="s">
        <v>2702</v>
      </c>
    </row>
    <row r="2" spans="1:11" ht="345" hidden="1">
      <c r="A2">
        <v>1</v>
      </c>
      <c r="B2" t="s">
        <v>7</v>
      </c>
      <c r="C2" t="s">
        <v>9</v>
      </c>
      <c r="D2" s="3" t="s">
        <v>10</v>
      </c>
      <c r="E2" t="s">
        <v>11</v>
      </c>
      <c r="F2" s="3" t="s">
        <v>12</v>
      </c>
      <c r="G2">
        <v>2022</v>
      </c>
      <c r="H2" s="1" t="str">
        <f>HYPERLINK("http://dx.doi.org/10.1016/j.biosystemseng.2022.06.007","http://dx.doi.org/10.1016/j.biosystemseng.2022.06.007")</f>
        <v>http://dx.doi.org/10.1016/j.biosystemseng.2022.06.007</v>
      </c>
      <c r="I2" s="2" t="s">
        <v>2696</v>
      </c>
      <c r="J2" t="s">
        <v>2697</v>
      </c>
    </row>
    <row r="3" spans="1:11" ht="358" hidden="1">
      <c r="A3">
        <v>2</v>
      </c>
      <c r="B3" t="s">
        <v>13</v>
      </c>
      <c r="C3" t="s">
        <v>14</v>
      </c>
      <c r="D3" s="3" t="s">
        <v>15</v>
      </c>
      <c r="E3" t="s">
        <v>16</v>
      </c>
      <c r="F3" s="3" t="s">
        <v>17</v>
      </c>
      <c r="G3">
        <v>2022</v>
      </c>
      <c r="H3" s="1" t="str">
        <f>HYPERLINK("http://dx.doi.org/10.1016/j.apenergy.2022.119334","http://dx.doi.org/10.1016/j.apenergy.2022.119334")</f>
        <v>http://dx.doi.org/10.1016/j.apenergy.2022.119334</v>
      </c>
      <c r="I3" t="s">
        <v>2696</v>
      </c>
    </row>
    <row r="4" spans="1:11" ht="319" hidden="1">
      <c r="A4">
        <v>3</v>
      </c>
      <c r="B4" t="s">
        <v>18</v>
      </c>
      <c r="C4" t="s">
        <v>19</v>
      </c>
      <c r="D4" s="3" t="s">
        <v>20</v>
      </c>
      <c r="E4" t="s">
        <v>21</v>
      </c>
      <c r="F4" s="3" t="s">
        <v>22</v>
      </c>
      <c r="G4">
        <v>2022</v>
      </c>
      <c r="H4" s="1" t="str">
        <f>HYPERLINK("http://dx.doi.org/10.1016/j.enconman.2022.115788","http://dx.doi.org/10.1016/j.enconman.2022.115788")</f>
        <v>http://dx.doi.org/10.1016/j.enconman.2022.115788</v>
      </c>
      <c r="I4" t="s">
        <v>2696</v>
      </c>
    </row>
    <row r="5" spans="1:11" ht="196" hidden="1">
      <c r="A5">
        <v>4</v>
      </c>
      <c r="B5" t="s">
        <v>23</v>
      </c>
      <c r="C5" t="s">
        <v>24</v>
      </c>
      <c r="D5" s="3" t="s">
        <v>25</v>
      </c>
      <c r="E5" t="s">
        <v>21</v>
      </c>
      <c r="F5" s="3" t="s">
        <v>26</v>
      </c>
      <c r="G5">
        <v>2022</v>
      </c>
      <c r="H5" s="1" t="str">
        <f>HYPERLINK("http://dx.doi.org/10.1016/j.enconman.2022.115850","http://dx.doi.org/10.1016/j.enconman.2022.115850")</f>
        <v>http://dx.doi.org/10.1016/j.enconman.2022.115850</v>
      </c>
      <c r="I5" t="s">
        <v>2699</v>
      </c>
    </row>
    <row r="6" spans="1:11" ht="293" hidden="1">
      <c r="A6">
        <v>5</v>
      </c>
      <c r="B6" t="s">
        <v>27</v>
      </c>
      <c r="C6" t="s">
        <v>28</v>
      </c>
      <c r="D6" s="3" t="s">
        <v>29</v>
      </c>
      <c r="E6" t="s">
        <v>30</v>
      </c>
      <c r="F6" s="3" t="s">
        <v>31</v>
      </c>
      <c r="G6">
        <v>2022</v>
      </c>
      <c r="H6" s="1" t="str">
        <f>HYPERLINK("http://dx.doi.org/10.1016/j.jclepro.2022.132069","http://dx.doi.org/10.1016/j.jclepro.2022.132069")</f>
        <v>http://dx.doi.org/10.1016/j.jclepro.2022.132069</v>
      </c>
      <c r="I6" s="2" t="s">
        <v>2699</v>
      </c>
      <c r="J6" t="s">
        <v>2698</v>
      </c>
      <c r="K6" t="s">
        <v>2697</v>
      </c>
    </row>
    <row r="7" spans="1:11" ht="266" hidden="1">
      <c r="A7">
        <v>6</v>
      </c>
      <c r="B7" t="s">
        <v>32</v>
      </c>
      <c r="C7" t="s">
        <v>33</v>
      </c>
      <c r="D7" s="3" t="s">
        <v>34</v>
      </c>
      <c r="E7" t="s">
        <v>35</v>
      </c>
      <c r="F7" s="3" t="s">
        <v>36</v>
      </c>
      <c r="G7" t="s">
        <v>8</v>
      </c>
      <c r="H7" s="1" t="str">
        <f>HYPERLINK("http://dx.doi.org/10.1080/17452007.2022.2109123","http://dx.doi.org/10.1080/17452007.2022.2109123")</f>
        <v>http://dx.doi.org/10.1080/17452007.2022.2109123</v>
      </c>
      <c r="I7" t="s">
        <v>2698</v>
      </c>
      <c r="J7" t="s">
        <v>2699</v>
      </c>
    </row>
    <row r="8" spans="1:11" ht="319">
      <c r="A8">
        <v>7</v>
      </c>
      <c r="B8" t="s">
        <v>37</v>
      </c>
      <c r="C8" t="s">
        <v>38</v>
      </c>
      <c r="D8" s="3" t="s">
        <v>39</v>
      </c>
      <c r="E8" t="s">
        <v>40</v>
      </c>
      <c r="F8" s="3" t="s">
        <v>41</v>
      </c>
      <c r="G8">
        <v>2022</v>
      </c>
      <c r="H8" s="1" t="str">
        <f>HYPERLINK("http://dx.doi.org/10.1371/journal.pone.0272520","http://dx.doi.org/10.1371/journal.pone.0272520")</f>
        <v>http://dx.doi.org/10.1371/journal.pone.0272520</v>
      </c>
      <c r="I8" t="s">
        <v>2697</v>
      </c>
    </row>
    <row r="9" spans="1:11" ht="266">
      <c r="A9">
        <v>8</v>
      </c>
      <c r="B9" t="s">
        <v>42</v>
      </c>
      <c r="C9" t="s">
        <v>43</v>
      </c>
      <c r="D9" s="3" t="s">
        <v>44</v>
      </c>
      <c r="E9" t="s">
        <v>45</v>
      </c>
      <c r="F9" s="3" t="s">
        <v>46</v>
      </c>
      <c r="G9">
        <v>2022</v>
      </c>
      <c r="H9" s="1" t="str">
        <f>HYPERLINK("http://dx.doi.org/10.3390/horticulturae8080673","http://dx.doi.org/10.3390/horticulturae8080673")</f>
        <v>http://dx.doi.org/10.3390/horticulturae8080673</v>
      </c>
      <c r="I9" t="s">
        <v>2697</v>
      </c>
    </row>
    <row r="10" spans="1:11" ht="345">
      <c r="A10">
        <v>9</v>
      </c>
      <c r="B10" t="s">
        <v>47</v>
      </c>
      <c r="C10" t="s">
        <v>48</v>
      </c>
      <c r="D10" s="3" t="s">
        <v>49</v>
      </c>
      <c r="E10" t="s">
        <v>50</v>
      </c>
      <c r="F10" s="3" t="s">
        <v>51</v>
      </c>
      <c r="G10" t="s">
        <v>8</v>
      </c>
      <c r="H10" s="1" t="str">
        <f>HYPERLINK("http://dx.doi.org/10.1007/s13580-022-00448-0","http://dx.doi.org/10.1007/s13580-022-00448-0")</f>
        <v>http://dx.doi.org/10.1007/s13580-022-00448-0</v>
      </c>
      <c r="I10" t="s">
        <v>2697</v>
      </c>
    </row>
    <row r="11" spans="1:11" ht="409.6">
      <c r="A11">
        <v>10</v>
      </c>
      <c r="B11" t="s">
        <v>52</v>
      </c>
      <c r="C11" t="s">
        <v>53</v>
      </c>
      <c r="D11" s="3" t="s">
        <v>54</v>
      </c>
      <c r="E11" t="s">
        <v>55</v>
      </c>
      <c r="F11" s="3" t="s">
        <v>56</v>
      </c>
      <c r="G11">
        <v>2022</v>
      </c>
      <c r="H11" s="1" t="str">
        <f>HYPERLINK("http://dx.doi.org/10.1016/j.jksus.2022.102168","http://dx.doi.org/10.1016/j.jksus.2022.102168")</f>
        <v>http://dx.doi.org/10.1016/j.jksus.2022.102168</v>
      </c>
      <c r="I11" t="s">
        <v>2697</v>
      </c>
    </row>
    <row r="12" spans="1:11" ht="293" hidden="1">
      <c r="A12">
        <v>11</v>
      </c>
      <c r="B12" t="s">
        <v>57</v>
      </c>
      <c r="C12" t="s">
        <v>58</v>
      </c>
      <c r="D12" s="3" t="s">
        <v>59</v>
      </c>
      <c r="E12" t="s">
        <v>60</v>
      </c>
      <c r="F12" s="3" t="s">
        <v>61</v>
      </c>
      <c r="G12">
        <v>2022</v>
      </c>
      <c r="H12" s="1" t="str">
        <f>HYPERLINK("http://dx.doi.org/10.3390/atmos13081317","http://dx.doi.org/10.3390/atmos13081317")</f>
        <v>http://dx.doi.org/10.3390/atmos13081317</v>
      </c>
      <c r="I12" s="2" t="s">
        <v>2698</v>
      </c>
    </row>
    <row r="13" spans="1:11" ht="280" hidden="1">
      <c r="A13">
        <v>12</v>
      </c>
      <c r="B13" t="s">
        <v>62</v>
      </c>
      <c r="C13" t="s">
        <v>63</v>
      </c>
      <c r="D13" s="3" t="s">
        <v>64</v>
      </c>
      <c r="E13" t="s">
        <v>60</v>
      </c>
      <c r="F13" s="3" t="s">
        <v>65</v>
      </c>
      <c r="G13">
        <v>2022</v>
      </c>
      <c r="H13" s="1" t="str">
        <f>HYPERLINK("http://dx.doi.org/10.3390/atmos13081250","http://dx.doi.org/10.3390/atmos13081250")</f>
        <v>http://dx.doi.org/10.3390/atmos13081250</v>
      </c>
      <c r="I13" s="2" t="s">
        <v>2698</v>
      </c>
      <c r="J13" s="2" t="s">
        <v>2699</v>
      </c>
    </row>
    <row r="14" spans="1:11" ht="409.6">
      <c r="A14">
        <v>13</v>
      </c>
      <c r="B14" t="s">
        <v>66</v>
      </c>
      <c r="C14" t="s">
        <v>67</v>
      </c>
      <c r="D14" s="3" t="s">
        <v>68</v>
      </c>
      <c r="E14" t="s">
        <v>69</v>
      </c>
      <c r="F14" s="3" t="s">
        <v>70</v>
      </c>
      <c r="G14">
        <v>2022</v>
      </c>
      <c r="H14" s="1" t="str">
        <f>HYPERLINK("http://dx.doi.org/10.3390/agronomy12081787","http://dx.doi.org/10.3390/agronomy12081787")</f>
        <v>http://dx.doi.org/10.3390/agronomy12081787</v>
      </c>
      <c r="I14" s="2" t="s">
        <v>2697</v>
      </c>
    </row>
    <row r="15" spans="1:11" ht="319" hidden="1">
      <c r="A15">
        <v>14</v>
      </c>
      <c r="B15" t="s">
        <v>71</v>
      </c>
      <c r="C15" t="s">
        <v>72</v>
      </c>
      <c r="D15" s="3" t="s">
        <v>73</v>
      </c>
      <c r="E15" t="s">
        <v>74</v>
      </c>
      <c r="F15" s="3" t="s">
        <v>75</v>
      </c>
      <c r="G15">
        <v>2022</v>
      </c>
      <c r="H15" s="1" t="str">
        <f>HYPERLINK("http://dx.doi.org/10.3390/su14159114","http://dx.doi.org/10.3390/su14159114")</f>
        <v>http://dx.doi.org/10.3390/su14159114</v>
      </c>
      <c r="I15" s="2" t="s">
        <v>2699</v>
      </c>
    </row>
    <row r="16" spans="1:11" ht="332" hidden="1">
      <c r="A16">
        <v>15</v>
      </c>
      <c r="B16" t="s">
        <v>76</v>
      </c>
      <c r="C16" t="s">
        <v>77</v>
      </c>
      <c r="D16" s="3" t="s">
        <v>78</v>
      </c>
      <c r="E16" t="s">
        <v>79</v>
      </c>
      <c r="F16" s="3" t="s">
        <v>80</v>
      </c>
      <c r="G16">
        <v>2022</v>
      </c>
      <c r="H16" s="1" t="str">
        <f>HYPERLINK("http://dx.doi.org/10.1016/j.wasman.2022.07.006","http://dx.doi.org/10.1016/j.wasman.2022.07.006")</f>
        <v>http://dx.doi.org/10.1016/j.wasman.2022.07.006</v>
      </c>
      <c r="I16" s="2" t="s">
        <v>2698</v>
      </c>
    </row>
    <row r="17" spans="1:10" ht="306" hidden="1">
      <c r="A17">
        <v>16</v>
      </c>
      <c r="B17" t="s">
        <v>81</v>
      </c>
      <c r="C17" t="s">
        <v>82</v>
      </c>
      <c r="D17" s="3" t="s">
        <v>83</v>
      </c>
      <c r="E17" t="s">
        <v>84</v>
      </c>
      <c r="F17" s="3" t="s">
        <v>85</v>
      </c>
      <c r="G17">
        <v>2022</v>
      </c>
      <c r="H17" s="1" t="str">
        <f>HYPERLINK("http://dx.doi.org/10.1016/j.compag.2022.107139","http://dx.doi.org/10.1016/j.compag.2022.107139")</f>
        <v>http://dx.doi.org/10.1016/j.compag.2022.107139</v>
      </c>
      <c r="I17" s="2" t="s">
        <v>2696</v>
      </c>
    </row>
    <row r="18" spans="1:10" ht="358" hidden="1">
      <c r="A18">
        <v>17</v>
      </c>
      <c r="B18" t="s">
        <v>86</v>
      </c>
      <c r="C18" t="s">
        <v>87</v>
      </c>
      <c r="D18" s="3" t="s">
        <v>88</v>
      </c>
      <c r="E18" t="s">
        <v>60</v>
      </c>
      <c r="F18" s="3" t="s">
        <v>89</v>
      </c>
      <c r="G18">
        <v>2022</v>
      </c>
      <c r="H18" s="1" t="str">
        <f>HYPERLINK("http://dx.doi.org/10.3390/atmos13081258","http://dx.doi.org/10.3390/atmos13081258")</f>
        <v>http://dx.doi.org/10.3390/atmos13081258</v>
      </c>
      <c r="I18" s="2" t="s">
        <v>2698</v>
      </c>
    </row>
    <row r="19" spans="1:10" ht="293">
      <c r="A19">
        <v>18</v>
      </c>
      <c r="B19" t="s">
        <v>90</v>
      </c>
      <c r="C19" t="s">
        <v>91</v>
      </c>
      <c r="D19" s="3" t="s">
        <v>92</v>
      </c>
      <c r="E19" t="s">
        <v>93</v>
      </c>
      <c r="F19" s="3" t="s">
        <v>94</v>
      </c>
      <c r="G19">
        <v>2022</v>
      </c>
      <c r="H19" s="1" t="str">
        <f>HYPERLINK("http://dx.doi.org/10.1016/j.envexpbot.2022.104918","http://dx.doi.org/10.1016/j.envexpbot.2022.104918")</f>
        <v>http://dx.doi.org/10.1016/j.envexpbot.2022.104918</v>
      </c>
      <c r="I19" s="2" t="s">
        <v>2697</v>
      </c>
    </row>
    <row r="20" spans="1:10" ht="252">
      <c r="A20">
        <v>19</v>
      </c>
      <c r="B20" t="s">
        <v>95</v>
      </c>
      <c r="C20" t="s">
        <v>96</v>
      </c>
      <c r="D20" s="3" t="s">
        <v>97</v>
      </c>
      <c r="E20" t="s">
        <v>45</v>
      </c>
      <c r="F20" s="3" t="s">
        <v>98</v>
      </c>
      <c r="G20">
        <v>2022</v>
      </c>
      <c r="H20" s="1" t="str">
        <f>HYPERLINK("http://dx.doi.org/10.3390/horticulturae8080725","http://dx.doi.org/10.3390/horticulturae8080725")</f>
        <v>http://dx.doi.org/10.3390/horticulturae8080725</v>
      </c>
      <c r="I20" s="2" t="s">
        <v>2697</v>
      </c>
    </row>
    <row r="21" spans="1:10" ht="319" hidden="1">
      <c r="A21">
        <v>20</v>
      </c>
      <c r="B21" t="s">
        <v>99</v>
      </c>
      <c r="C21" t="s">
        <v>100</v>
      </c>
      <c r="D21" s="3" t="s">
        <v>101</v>
      </c>
      <c r="E21" t="s">
        <v>11</v>
      </c>
      <c r="F21" s="3" t="s">
        <v>102</v>
      </c>
      <c r="G21">
        <v>2022</v>
      </c>
      <c r="H21" s="1" t="str">
        <f>HYPERLINK("http://dx.doi.org/10.1016/j.biosystemseng.2022.05.009","http://dx.doi.org/10.1016/j.biosystemseng.2022.05.009")</f>
        <v>http://dx.doi.org/10.1016/j.biosystemseng.2022.05.009</v>
      </c>
      <c r="I21" s="2" t="s">
        <v>2696</v>
      </c>
    </row>
    <row r="22" spans="1:10" ht="397">
      <c r="A22">
        <v>22</v>
      </c>
      <c r="B22" t="s">
        <v>103</v>
      </c>
      <c r="C22" t="s">
        <v>104</v>
      </c>
      <c r="D22" s="3" t="s">
        <v>105</v>
      </c>
      <c r="E22" t="s">
        <v>106</v>
      </c>
      <c r="F22" s="3" t="s">
        <v>107</v>
      </c>
      <c r="G22" t="s">
        <v>8</v>
      </c>
      <c r="H22" s="1" t="str">
        <f>HYPERLINK("http://dx.doi.org/10.1007/s00344-022-10724-z","http://dx.doi.org/10.1007/s00344-022-10724-z")</f>
        <v>http://dx.doi.org/10.1007/s00344-022-10724-z</v>
      </c>
      <c r="I22" s="2" t="s">
        <v>2697</v>
      </c>
    </row>
    <row r="23" spans="1:10" ht="371" hidden="1">
      <c r="A23">
        <v>23</v>
      </c>
      <c r="B23" t="s">
        <v>108</v>
      </c>
      <c r="C23" t="s">
        <v>109</v>
      </c>
      <c r="D23" s="3" t="s">
        <v>110</v>
      </c>
      <c r="E23" t="s">
        <v>50</v>
      </c>
      <c r="F23" s="3" t="s">
        <v>111</v>
      </c>
      <c r="G23" t="s">
        <v>8</v>
      </c>
      <c r="H23" s="1" t="str">
        <f>HYPERLINK("http://dx.doi.org/10.1007/s13580-022-00457-z","http://dx.doi.org/10.1007/s13580-022-00457-z")</f>
        <v>http://dx.doi.org/10.1007/s13580-022-00457-z</v>
      </c>
      <c r="I23" s="2" t="s">
        <v>2696</v>
      </c>
    </row>
    <row r="24" spans="1:10" ht="280">
      <c r="A24">
        <v>24</v>
      </c>
      <c r="B24" t="s">
        <v>112</v>
      </c>
      <c r="C24" t="s">
        <v>113</v>
      </c>
      <c r="D24" s="3" t="s">
        <v>114</v>
      </c>
      <c r="E24" t="s">
        <v>115</v>
      </c>
      <c r="F24" s="3" t="s">
        <v>116</v>
      </c>
      <c r="G24">
        <v>2022</v>
      </c>
      <c r="H24" s="1" t="str">
        <f>HYPERLINK("http://dx.doi.org/10.1007/s11418-022-01634-1","http://dx.doi.org/10.1007/s11418-022-01634-1")</f>
        <v>http://dx.doi.org/10.1007/s11418-022-01634-1</v>
      </c>
      <c r="I24" s="2" t="s">
        <v>2697</v>
      </c>
    </row>
    <row r="25" spans="1:10" ht="196" hidden="1">
      <c r="A25">
        <v>25</v>
      </c>
      <c r="B25" t="s">
        <v>117</v>
      </c>
      <c r="C25" t="s">
        <v>118</v>
      </c>
      <c r="D25" s="3" t="s">
        <v>119</v>
      </c>
      <c r="E25" t="s">
        <v>120</v>
      </c>
      <c r="F25" s="3" t="s">
        <v>121</v>
      </c>
      <c r="G25">
        <v>2022</v>
      </c>
      <c r="H25" s="1" t="str">
        <f>HYPERLINK("http://dx.doi.org/10.1108/JMTM-10-2021-0422","http://dx.doi.org/10.1108/JMTM-10-2021-0422")</f>
        <v>http://dx.doi.org/10.1108/JMTM-10-2021-0422</v>
      </c>
      <c r="I25" s="2" t="s">
        <v>2699</v>
      </c>
    </row>
    <row r="26" spans="1:10" ht="280" hidden="1">
      <c r="A26">
        <v>26</v>
      </c>
      <c r="B26" t="s">
        <v>122</v>
      </c>
      <c r="C26" t="s">
        <v>123</v>
      </c>
      <c r="D26" s="3" t="s">
        <v>124</v>
      </c>
      <c r="E26" t="s">
        <v>45</v>
      </c>
      <c r="F26" s="3" t="s">
        <v>125</v>
      </c>
      <c r="G26">
        <v>2022</v>
      </c>
      <c r="H26" s="1" t="str">
        <f>HYPERLINK("http://dx.doi.org/10.3390/horticulturae8070644","http://dx.doi.org/10.3390/horticulturae8070644")</f>
        <v>http://dx.doi.org/10.3390/horticulturae8070644</v>
      </c>
      <c r="I26" s="2" t="s">
        <v>2696</v>
      </c>
    </row>
    <row r="27" spans="1:10" ht="409.6">
      <c r="A27">
        <v>27</v>
      </c>
      <c r="B27" t="s">
        <v>126</v>
      </c>
      <c r="C27" t="s">
        <v>127</v>
      </c>
      <c r="D27" s="3" t="s">
        <v>128</v>
      </c>
      <c r="E27" t="s">
        <v>129</v>
      </c>
      <c r="F27" s="3" t="s">
        <v>130</v>
      </c>
      <c r="G27">
        <v>2022</v>
      </c>
      <c r="H27" s="1" t="str">
        <f>HYPERLINK("http://dx.doi.org/10.3390/biology11070959","http://dx.doi.org/10.3390/biology11070959")</f>
        <v>http://dx.doi.org/10.3390/biology11070959</v>
      </c>
      <c r="I27" s="2" t="s">
        <v>2697</v>
      </c>
    </row>
    <row r="28" spans="1:10" ht="319">
      <c r="A28">
        <v>28</v>
      </c>
      <c r="B28" t="s">
        <v>131</v>
      </c>
      <c r="C28" t="s">
        <v>132</v>
      </c>
      <c r="D28" s="3" t="s">
        <v>133</v>
      </c>
      <c r="E28" t="s">
        <v>69</v>
      </c>
      <c r="F28" s="3" t="s">
        <v>134</v>
      </c>
      <c r="G28">
        <v>2022</v>
      </c>
      <c r="H28" s="1" t="str">
        <f>HYPERLINK("http://dx.doi.org/10.3390/agronomy12071502","http://dx.doi.org/10.3390/agronomy12071502")</f>
        <v>http://dx.doi.org/10.3390/agronomy12071502</v>
      </c>
      <c r="I28" s="2" t="s">
        <v>2697</v>
      </c>
    </row>
    <row r="29" spans="1:10" ht="252">
      <c r="A29">
        <v>29</v>
      </c>
      <c r="B29" t="s">
        <v>135</v>
      </c>
      <c r="C29" t="s">
        <v>136</v>
      </c>
      <c r="D29" s="3" t="s">
        <v>137</v>
      </c>
      <c r="E29" t="s">
        <v>138</v>
      </c>
      <c r="F29" s="3" t="s">
        <v>139</v>
      </c>
      <c r="G29">
        <v>2022</v>
      </c>
      <c r="H29" s="1" t="str">
        <f>HYPERLINK("http://dx.doi.org/10.3390/plants11141818","http://dx.doi.org/10.3390/plants11141818")</f>
        <v>http://dx.doi.org/10.3390/plants11141818</v>
      </c>
      <c r="I29" s="2" t="s">
        <v>2697</v>
      </c>
      <c r="J29" s="2" t="s">
        <v>2696</v>
      </c>
    </row>
    <row r="30" spans="1:10" ht="306">
      <c r="A30">
        <v>30</v>
      </c>
      <c r="B30" t="s">
        <v>140</v>
      </c>
      <c r="C30" t="s">
        <v>141</v>
      </c>
      <c r="D30" s="3" t="s">
        <v>142</v>
      </c>
      <c r="E30" t="s">
        <v>143</v>
      </c>
      <c r="F30" s="3" t="s">
        <v>144</v>
      </c>
      <c r="G30">
        <v>2022</v>
      </c>
      <c r="H30" s="1" t="str">
        <f>HYPERLINK("http://dx.doi.org/10.3390/ijms23147619","http://dx.doi.org/10.3390/ijms23147619")</f>
        <v>http://dx.doi.org/10.3390/ijms23147619</v>
      </c>
      <c r="I30" s="2" t="s">
        <v>2697</v>
      </c>
    </row>
    <row r="31" spans="1:10" ht="306">
      <c r="A31">
        <v>31</v>
      </c>
      <c r="B31" t="s">
        <v>145</v>
      </c>
      <c r="C31" t="s">
        <v>146</v>
      </c>
      <c r="D31" s="3" t="s">
        <v>147</v>
      </c>
      <c r="E31" t="s">
        <v>45</v>
      </c>
      <c r="F31" s="3" t="s">
        <v>148</v>
      </c>
      <c r="G31">
        <v>2022</v>
      </c>
      <c r="H31" s="1" t="str">
        <f>HYPERLINK("http://dx.doi.org/10.3390/horticulturae8070604","http://dx.doi.org/10.3390/horticulturae8070604")</f>
        <v>http://dx.doi.org/10.3390/horticulturae8070604</v>
      </c>
      <c r="I31" s="2" t="s">
        <v>2697</v>
      </c>
    </row>
    <row r="32" spans="1:10" ht="224" hidden="1">
      <c r="A32">
        <v>32</v>
      </c>
      <c r="B32" t="s">
        <v>149</v>
      </c>
      <c r="C32" t="s">
        <v>150</v>
      </c>
      <c r="D32" s="3" t="s">
        <v>151</v>
      </c>
      <c r="E32" t="s">
        <v>152</v>
      </c>
      <c r="F32" s="3" t="s">
        <v>153</v>
      </c>
      <c r="G32">
        <v>2022</v>
      </c>
      <c r="H32" s="1" t="str">
        <f>HYPERLINK("http://dx.doi.org/10.3390/app12147038","http://dx.doi.org/10.3390/app12147038")</f>
        <v>http://dx.doi.org/10.3390/app12147038</v>
      </c>
      <c r="I32" s="2" t="s">
        <v>2696</v>
      </c>
    </row>
    <row r="33" spans="1:10" ht="280">
      <c r="A33">
        <v>33</v>
      </c>
      <c r="B33" t="s">
        <v>154</v>
      </c>
      <c r="C33" t="s">
        <v>155</v>
      </c>
      <c r="D33" s="3" t="s">
        <v>156</v>
      </c>
      <c r="E33" t="s">
        <v>138</v>
      </c>
      <c r="F33" s="3" t="s">
        <v>157</v>
      </c>
      <c r="G33">
        <v>2022</v>
      </c>
      <c r="H33" s="1" t="str">
        <f>HYPERLINK("http://dx.doi.org/10.3390/plants11131732","http://dx.doi.org/10.3390/plants11131732")</f>
        <v>http://dx.doi.org/10.3390/plants11131732</v>
      </c>
      <c r="I33" s="2" t="s">
        <v>2697</v>
      </c>
    </row>
    <row r="34" spans="1:10" ht="196">
      <c r="A34">
        <v>34</v>
      </c>
      <c r="B34" t="s">
        <v>158</v>
      </c>
      <c r="C34" t="s">
        <v>159</v>
      </c>
      <c r="D34" s="3" t="s">
        <v>160</v>
      </c>
      <c r="E34" t="s">
        <v>69</v>
      </c>
      <c r="F34" s="3" t="s">
        <v>161</v>
      </c>
      <c r="G34">
        <v>2022</v>
      </c>
      <c r="H34" s="1" t="str">
        <f>HYPERLINK("http://dx.doi.org/10.3390/agronomy12071699","http://dx.doi.org/10.3390/agronomy12071699")</f>
        <v>http://dx.doi.org/10.3390/agronomy12071699</v>
      </c>
      <c r="I34" s="2" t="s">
        <v>2697</v>
      </c>
    </row>
    <row r="35" spans="1:10" ht="409.6">
      <c r="A35">
        <v>35</v>
      </c>
      <c r="B35" t="s">
        <v>162</v>
      </c>
      <c r="C35" t="s">
        <v>163</v>
      </c>
      <c r="D35" s="3" t="s">
        <v>164</v>
      </c>
      <c r="E35" t="s">
        <v>129</v>
      </c>
      <c r="F35" s="3" t="s">
        <v>165</v>
      </c>
      <c r="G35">
        <v>2022</v>
      </c>
      <c r="H35" s="1" t="str">
        <f>HYPERLINK("http://dx.doi.org/10.3390/biology11070991","http://dx.doi.org/10.3390/biology11070991")</f>
        <v>http://dx.doi.org/10.3390/biology11070991</v>
      </c>
      <c r="I35" s="2" t="s">
        <v>2697</v>
      </c>
    </row>
    <row r="36" spans="1:10" ht="409.6" hidden="1">
      <c r="A36">
        <v>36</v>
      </c>
      <c r="B36" t="s">
        <v>166</v>
      </c>
      <c r="C36" t="s">
        <v>167</v>
      </c>
      <c r="D36" s="3" t="s">
        <v>168</v>
      </c>
      <c r="E36" t="s">
        <v>169</v>
      </c>
      <c r="F36" s="3" t="s">
        <v>170</v>
      </c>
      <c r="G36">
        <v>2022</v>
      </c>
      <c r="H36" s="1" t="str">
        <f>HYPERLINK("http://dx.doi.org/10.3389/fpls.2022.929672","http://dx.doi.org/10.3389/fpls.2022.929672")</f>
        <v>http://dx.doi.org/10.3389/fpls.2022.929672</v>
      </c>
      <c r="I36" s="2" t="s">
        <v>2696</v>
      </c>
      <c r="J36" s="2" t="s">
        <v>2699</v>
      </c>
    </row>
    <row r="37" spans="1:10" ht="384">
      <c r="A37">
        <v>37</v>
      </c>
      <c r="B37" t="s">
        <v>171</v>
      </c>
      <c r="C37" t="s">
        <v>172</v>
      </c>
      <c r="D37" s="3" t="s">
        <v>173</v>
      </c>
      <c r="E37" t="s">
        <v>45</v>
      </c>
      <c r="F37" s="3" t="s">
        <v>174</v>
      </c>
      <c r="G37">
        <v>2022</v>
      </c>
      <c r="H37" s="1" t="str">
        <f>HYPERLINK("http://dx.doi.org/10.3390/horticulturae8070653","http://dx.doi.org/10.3390/horticulturae8070653")</f>
        <v>http://dx.doi.org/10.3390/horticulturae8070653</v>
      </c>
      <c r="I37" s="2" t="s">
        <v>2697</v>
      </c>
    </row>
    <row r="38" spans="1:10" ht="345">
      <c r="A38">
        <v>38</v>
      </c>
      <c r="B38" t="s">
        <v>175</v>
      </c>
      <c r="C38" t="s">
        <v>176</v>
      </c>
      <c r="D38" s="3" t="s">
        <v>177</v>
      </c>
      <c r="E38" t="s">
        <v>178</v>
      </c>
      <c r="F38" s="3" t="s">
        <v>179</v>
      </c>
      <c r="G38" t="s">
        <v>8</v>
      </c>
      <c r="H38" s="1" t="str">
        <f>HYPERLINK("http://dx.doi.org/10.1002/fes3.391","http://dx.doi.org/10.1002/fes3.391")</f>
        <v>http://dx.doi.org/10.1002/fes3.391</v>
      </c>
      <c r="I38" s="2" t="s">
        <v>2697</v>
      </c>
    </row>
    <row r="39" spans="1:10" ht="196">
      <c r="A39">
        <v>39</v>
      </c>
      <c r="B39" t="s">
        <v>180</v>
      </c>
      <c r="C39" t="s">
        <v>181</v>
      </c>
      <c r="D39" s="3" t="s">
        <v>182</v>
      </c>
      <c r="E39" t="s">
        <v>183</v>
      </c>
      <c r="F39" s="3" t="s">
        <v>184</v>
      </c>
      <c r="G39">
        <v>2022</v>
      </c>
      <c r="H39" s="1" t="str">
        <f>HYPERLINK("http://dx.doi.org/10.1016/j.scienta.2022.111068","http://dx.doi.org/10.1016/j.scienta.2022.111068")</f>
        <v>http://dx.doi.org/10.1016/j.scienta.2022.111068</v>
      </c>
      <c r="I39" s="2" t="s">
        <v>2697</v>
      </c>
    </row>
    <row r="40" spans="1:10" ht="358">
      <c r="A40">
        <v>40</v>
      </c>
      <c r="B40" t="s">
        <v>185</v>
      </c>
      <c r="C40" t="s">
        <v>186</v>
      </c>
      <c r="D40" s="3" t="s">
        <v>187</v>
      </c>
      <c r="E40" t="s">
        <v>183</v>
      </c>
      <c r="F40" s="3" t="s">
        <v>188</v>
      </c>
      <c r="G40">
        <v>2022</v>
      </c>
      <c r="H40" s="1" t="str">
        <f>HYPERLINK("http://dx.doi.org/10.1016/j.scienta.2022.111076","http://dx.doi.org/10.1016/j.scienta.2022.111076")</f>
        <v>http://dx.doi.org/10.1016/j.scienta.2022.111076</v>
      </c>
      <c r="I40" s="2" t="s">
        <v>2697</v>
      </c>
    </row>
    <row r="41" spans="1:10" ht="196" hidden="1">
      <c r="A41">
        <v>41</v>
      </c>
      <c r="B41" t="s">
        <v>189</v>
      </c>
      <c r="C41" t="s">
        <v>190</v>
      </c>
      <c r="D41" s="3" t="s">
        <v>191</v>
      </c>
      <c r="E41" t="s">
        <v>192</v>
      </c>
      <c r="F41" s="3" t="s">
        <v>193</v>
      </c>
      <c r="G41">
        <v>2022</v>
      </c>
      <c r="H41" s="1" t="str">
        <f>HYPERLINK("http://dx.doi.org/10.1007/s11356-022-21396-3","http://dx.doi.org/10.1007/s11356-022-21396-3")</f>
        <v>http://dx.doi.org/10.1007/s11356-022-21396-3</v>
      </c>
      <c r="I41" s="2" t="s">
        <v>2698</v>
      </c>
      <c r="J41" s="2" t="s">
        <v>2696</v>
      </c>
    </row>
    <row r="42" spans="1:10" ht="140" hidden="1">
      <c r="A42">
        <v>42</v>
      </c>
      <c r="B42" t="s">
        <v>194</v>
      </c>
      <c r="C42" t="s">
        <v>195</v>
      </c>
      <c r="D42" s="3" t="s">
        <v>196</v>
      </c>
      <c r="E42" t="s">
        <v>197</v>
      </c>
      <c r="F42" s="3" t="s">
        <v>198</v>
      </c>
      <c r="G42">
        <v>2022</v>
      </c>
      <c r="H42" s="1" t="str">
        <f>HYPERLINK("http://dx.doi.org/10.1080/03066150.2022.2082287","http://dx.doi.org/10.1080/03066150.2022.2082287")</f>
        <v>http://dx.doi.org/10.1080/03066150.2022.2082287</v>
      </c>
      <c r="I42" s="2" t="s">
        <v>2699</v>
      </c>
    </row>
    <row r="43" spans="1:10" ht="409.6" hidden="1">
      <c r="A43">
        <v>43</v>
      </c>
      <c r="B43" t="s">
        <v>199</v>
      </c>
      <c r="C43" t="s">
        <v>200</v>
      </c>
      <c r="D43" s="3" t="s">
        <v>201</v>
      </c>
      <c r="E43" t="s">
        <v>202</v>
      </c>
      <c r="F43" s="3" t="s">
        <v>203</v>
      </c>
      <c r="G43">
        <v>2022</v>
      </c>
      <c r="H43" s="1" t="str">
        <f>HYPERLINK("http://dx.doi.org/10.3389/fsufs.2022.891256","http://dx.doi.org/10.3389/fsufs.2022.891256")</f>
        <v>http://dx.doi.org/10.3389/fsufs.2022.891256</v>
      </c>
      <c r="I43" s="2" t="s">
        <v>2698</v>
      </c>
      <c r="J43" s="2"/>
    </row>
    <row r="44" spans="1:10" ht="409.6">
      <c r="A44">
        <v>44</v>
      </c>
      <c r="B44" t="s">
        <v>204</v>
      </c>
      <c r="C44" t="s">
        <v>205</v>
      </c>
      <c r="D44" s="3" t="s">
        <v>206</v>
      </c>
      <c r="E44" t="s">
        <v>169</v>
      </c>
      <c r="F44" s="3" t="s">
        <v>207</v>
      </c>
      <c r="G44">
        <v>2022</v>
      </c>
      <c r="H44" s="1" t="str">
        <f>HYPERLINK("http://dx.doi.org/10.3389/fpls.2022.918170","http://dx.doi.org/10.3389/fpls.2022.918170")</f>
        <v>http://dx.doi.org/10.3389/fpls.2022.918170</v>
      </c>
      <c r="I44" s="2" t="s">
        <v>2697</v>
      </c>
    </row>
    <row r="45" spans="1:10" ht="306" hidden="1">
      <c r="A45">
        <v>45</v>
      </c>
      <c r="B45" t="s">
        <v>208</v>
      </c>
      <c r="C45" t="s">
        <v>209</v>
      </c>
      <c r="D45" s="3" t="s">
        <v>210</v>
      </c>
      <c r="E45" t="s">
        <v>129</v>
      </c>
      <c r="F45" s="3" t="s">
        <v>211</v>
      </c>
      <c r="G45">
        <v>2022</v>
      </c>
      <c r="H45" s="1" t="str">
        <f>HYPERLINK("http://dx.doi.org/10.3390/biology11060922","http://dx.doi.org/10.3390/biology11060922")</f>
        <v>http://dx.doi.org/10.3390/biology11060922</v>
      </c>
      <c r="I45" s="2" t="s">
        <v>2698</v>
      </c>
      <c r="J45" s="2" t="s">
        <v>2697</v>
      </c>
    </row>
    <row r="46" spans="1:10" ht="238">
      <c r="A46">
        <v>46</v>
      </c>
      <c r="B46" t="s">
        <v>212</v>
      </c>
      <c r="C46" t="s">
        <v>213</v>
      </c>
      <c r="D46" s="3" t="s">
        <v>214</v>
      </c>
      <c r="E46" t="s">
        <v>143</v>
      </c>
      <c r="F46" s="3" t="s">
        <v>215</v>
      </c>
      <c r="G46">
        <v>2022</v>
      </c>
      <c r="H46" s="1" t="str">
        <f>HYPERLINK("http://dx.doi.org/10.3390/ijms23126819","http://dx.doi.org/10.3390/ijms23126819")</f>
        <v>http://dx.doi.org/10.3390/ijms23126819</v>
      </c>
      <c r="I46" s="2" t="s">
        <v>2697</v>
      </c>
    </row>
    <row r="47" spans="1:10" ht="358" hidden="1">
      <c r="A47">
        <v>47</v>
      </c>
      <c r="B47" t="s">
        <v>216</v>
      </c>
      <c r="C47" t="s">
        <v>217</v>
      </c>
      <c r="D47" s="3" t="s">
        <v>218</v>
      </c>
      <c r="E47" t="s">
        <v>152</v>
      </c>
      <c r="F47" s="3" t="s">
        <v>219</v>
      </c>
      <c r="G47">
        <v>2022</v>
      </c>
      <c r="H47" s="1" t="str">
        <f>HYPERLINK("http://dx.doi.org/10.3390/app12125901","http://dx.doi.org/10.3390/app12125901")</f>
        <v>http://dx.doi.org/10.3390/app12125901</v>
      </c>
      <c r="I47" s="2" t="s">
        <v>2698</v>
      </c>
      <c r="J47" s="2" t="s">
        <v>2696</v>
      </c>
    </row>
    <row r="48" spans="1:10" ht="306">
      <c r="A48">
        <v>48</v>
      </c>
      <c r="B48" t="s">
        <v>220</v>
      </c>
      <c r="C48" t="s">
        <v>221</v>
      </c>
      <c r="D48" s="3" t="s">
        <v>222</v>
      </c>
      <c r="E48" t="s">
        <v>93</v>
      </c>
      <c r="F48" s="3" t="s">
        <v>223</v>
      </c>
      <c r="G48">
        <v>2022</v>
      </c>
      <c r="H48" s="1" t="str">
        <f>HYPERLINK("http://dx.doi.org/10.1016/j.envexpbot.2022.104866","http://dx.doi.org/10.1016/j.envexpbot.2022.104866")</f>
        <v>http://dx.doi.org/10.1016/j.envexpbot.2022.104866</v>
      </c>
      <c r="I48" s="2" t="s">
        <v>2697</v>
      </c>
    </row>
    <row r="49" spans="1:10" ht="358">
      <c r="A49">
        <v>49</v>
      </c>
      <c r="B49" t="s">
        <v>224</v>
      </c>
      <c r="C49" t="s">
        <v>225</v>
      </c>
      <c r="D49" s="3" t="s">
        <v>226</v>
      </c>
      <c r="E49" t="s">
        <v>183</v>
      </c>
      <c r="F49" s="3" t="s">
        <v>227</v>
      </c>
      <c r="G49">
        <v>2022</v>
      </c>
      <c r="H49" s="1" t="str">
        <f>HYPERLINK("http://dx.doi.org/10.1016/j.scienta.2022.111042","http://dx.doi.org/10.1016/j.scienta.2022.111042")</f>
        <v>http://dx.doi.org/10.1016/j.scienta.2022.111042</v>
      </c>
      <c r="I49" s="2" t="s">
        <v>2697</v>
      </c>
    </row>
    <row r="50" spans="1:10" ht="238" hidden="1">
      <c r="A50">
        <v>50</v>
      </c>
      <c r="B50" t="s">
        <v>228</v>
      </c>
      <c r="C50" t="s">
        <v>229</v>
      </c>
      <c r="D50" s="3" t="s">
        <v>230</v>
      </c>
      <c r="E50" t="s">
        <v>231</v>
      </c>
      <c r="F50" s="3" t="s">
        <v>232</v>
      </c>
      <c r="G50">
        <v>2022</v>
      </c>
      <c r="H50" s="1" t="str">
        <f>HYPERLINK("http://dx.doi.org/10.17660/eJHS.2022/031","http://dx.doi.org/10.17660/eJHS.2022/031")</f>
        <v>http://dx.doi.org/10.17660/eJHS.2022/031</v>
      </c>
      <c r="I50" s="2" t="s">
        <v>2699</v>
      </c>
    </row>
    <row r="51" spans="1:10" ht="332" hidden="1">
      <c r="A51">
        <v>51</v>
      </c>
      <c r="B51" t="s">
        <v>233</v>
      </c>
      <c r="C51" t="s">
        <v>234</v>
      </c>
      <c r="D51" s="3" t="s">
        <v>235</v>
      </c>
      <c r="E51" t="s">
        <v>84</v>
      </c>
      <c r="F51" s="3" t="s">
        <v>236</v>
      </c>
      <c r="G51">
        <v>2022</v>
      </c>
      <c r="H51" s="1" t="str">
        <f>HYPERLINK("http://dx.doi.org/10.1016/j.compag.2022.106991","http://dx.doi.org/10.1016/j.compag.2022.106991")</f>
        <v>http://dx.doi.org/10.1016/j.compag.2022.106991</v>
      </c>
      <c r="I51" s="2" t="s">
        <v>2696</v>
      </c>
    </row>
    <row r="52" spans="1:10" ht="345" hidden="1">
      <c r="A52">
        <v>52</v>
      </c>
      <c r="B52" t="s">
        <v>237</v>
      </c>
      <c r="C52" t="s">
        <v>238</v>
      </c>
      <c r="D52" s="3" t="s">
        <v>239</v>
      </c>
      <c r="E52" t="s">
        <v>240</v>
      </c>
      <c r="F52" s="3" t="s">
        <v>241</v>
      </c>
      <c r="G52">
        <v>2022</v>
      </c>
      <c r="H52" s="1" t="str">
        <f>HYPERLINK("http://dx.doi.org/10.3390/agriculture12060787","http://dx.doi.org/10.3390/agriculture12060787")</f>
        <v>http://dx.doi.org/10.3390/agriculture12060787</v>
      </c>
      <c r="I52" s="2" t="s">
        <v>2698</v>
      </c>
    </row>
    <row r="53" spans="1:10" ht="238" hidden="1">
      <c r="A53">
        <v>53</v>
      </c>
      <c r="B53" t="s">
        <v>242</v>
      </c>
      <c r="C53" t="s">
        <v>243</v>
      </c>
      <c r="D53" s="3" t="s">
        <v>244</v>
      </c>
      <c r="E53" t="s">
        <v>245</v>
      </c>
      <c r="F53" s="3" t="s">
        <v>246</v>
      </c>
      <c r="G53">
        <v>2022</v>
      </c>
      <c r="H53" s="1" t="str">
        <f>HYPERLINK("http://dx.doi.org/10.1016/j.mtchem.2022.100835","http://dx.doi.org/10.1016/j.mtchem.2022.100835")</f>
        <v>http://dx.doi.org/10.1016/j.mtchem.2022.100835</v>
      </c>
      <c r="I53" s="2" t="s">
        <v>2696</v>
      </c>
    </row>
    <row r="54" spans="1:10" ht="319" hidden="1">
      <c r="A54">
        <v>54</v>
      </c>
      <c r="B54" t="s">
        <v>247</v>
      </c>
      <c r="C54" t="s">
        <v>248</v>
      </c>
      <c r="D54" s="3" t="s">
        <v>249</v>
      </c>
      <c r="E54" t="s">
        <v>250</v>
      </c>
      <c r="F54" s="3" t="s">
        <v>251</v>
      </c>
      <c r="G54">
        <v>2022</v>
      </c>
      <c r="H54" s="1" t="str">
        <f>HYPERLINK("http://dx.doi.org/10.1038/s41598-022-12732-1","http://dx.doi.org/10.1038/s41598-022-12732-1")</f>
        <v>http://dx.doi.org/10.1038/s41598-022-12732-1</v>
      </c>
      <c r="I54" s="2" t="s">
        <v>2696</v>
      </c>
    </row>
    <row r="55" spans="1:10" ht="345">
      <c r="A55">
        <v>56</v>
      </c>
      <c r="B55" t="s">
        <v>252</v>
      </c>
      <c r="C55" t="s">
        <v>253</v>
      </c>
      <c r="D55" s="3" t="s">
        <v>254</v>
      </c>
      <c r="E55" t="s">
        <v>169</v>
      </c>
      <c r="F55" s="3" t="s">
        <v>255</v>
      </c>
      <c r="G55">
        <v>2022</v>
      </c>
      <c r="H55" s="1" t="str">
        <f>HYPERLINK("http://dx.doi.org/10.3389/fpls.2022.874035","http://dx.doi.org/10.3389/fpls.2022.874035")</f>
        <v>http://dx.doi.org/10.3389/fpls.2022.874035</v>
      </c>
      <c r="I55" s="2" t="s">
        <v>2697</v>
      </c>
      <c r="J55" s="2" t="s">
        <v>2696</v>
      </c>
    </row>
    <row r="56" spans="1:10" ht="280" hidden="1">
      <c r="A56">
        <v>57</v>
      </c>
      <c r="B56" t="s">
        <v>256</v>
      </c>
      <c r="C56" t="s">
        <v>257</v>
      </c>
      <c r="D56" s="3" t="s">
        <v>258</v>
      </c>
      <c r="E56" t="s">
        <v>74</v>
      </c>
      <c r="F56" s="3" t="s">
        <v>259</v>
      </c>
      <c r="G56">
        <v>2022</v>
      </c>
      <c r="H56" s="1" t="str">
        <f>HYPERLINK("http://dx.doi.org/10.3390/su14095676","http://dx.doi.org/10.3390/su14095676")</f>
        <v>http://dx.doi.org/10.3390/su14095676</v>
      </c>
      <c r="I56" s="2" t="s">
        <v>2699</v>
      </c>
    </row>
    <row r="57" spans="1:10" ht="332" hidden="1">
      <c r="A57">
        <v>58</v>
      </c>
      <c r="B57" t="s">
        <v>260</v>
      </c>
      <c r="C57" t="s">
        <v>261</v>
      </c>
      <c r="D57" s="3" t="s">
        <v>262</v>
      </c>
      <c r="E57" t="s">
        <v>138</v>
      </c>
      <c r="F57" s="3" t="s">
        <v>263</v>
      </c>
      <c r="G57">
        <v>2022</v>
      </c>
      <c r="H57" s="1" t="str">
        <f>HYPERLINK("http://dx.doi.org/10.3390/plants11091153","http://dx.doi.org/10.3390/plants11091153")</f>
        <v>http://dx.doi.org/10.3390/plants11091153</v>
      </c>
      <c r="I57" s="2" t="s">
        <v>2698</v>
      </c>
      <c r="J57" s="2" t="s">
        <v>2696</v>
      </c>
    </row>
    <row r="58" spans="1:10" ht="358" hidden="1">
      <c r="A58">
        <v>59</v>
      </c>
      <c r="B58" t="s">
        <v>264</v>
      </c>
      <c r="C58" t="s">
        <v>265</v>
      </c>
      <c r="D58" s="3" t="s">
        <v>266</v>
      </c>
      <c r="E58" t="s">
        <v>240</v>
      </c>
      <c r="F58" s="3" t="s">
        <v>267</v>
      </c>
      <c r="G58">
        <v>2022</v>
      </c>
      <c r="H58" s="1" t="str">
        <f>HYPERLINK("http://dx.doi.org/10.3390/agriculture12050656","http://dx.doi.org/10.3390/agriculture12050656")</f>
        <v>http://dx.doi.org/10.3390/agriculture12050656</v>
      </c>
      <c r="I58" s="2" t="s">
        <v>2696</v>
      </c>
    </row>
    <row r="59" spans="1:10" ht="293" hidden="1">
      <c r="A59">
        <v>60</v>
      </c>
      <c r="B59" t="s">
        <v>268</v>
      </c>
      <c r="C59" t="s">
        <v>269</v>
      </c>
      <c r="D59" s="3" t="s">
        <v>270</v>
      </c>
      <c r="E59" t="s">
        <v>240</v>
      </c>
      <c r="F59" s="3" t="s">
        <v>271</v>
      </c>
      <c r="G59">
        <v>2022</v>
      </c>
      <c r="H59" s="1" t="str">
        <f>HYPERLINK("http://dx.doi.org/10.3390/agriculture12050684","http://dx.doi.org/10.3390/agriculture12050684")</f>
        <v>http://dx.doi.org/10.3390/agriculture12050684</v>
      </c>
      <c r="I59" s="2" t="s">
        <v>2699</v>
      </c>
      <c r="J59" s="2" t="s">
        <v>2698</v>
      </c>
    </row>
    <row r="60" spans="1:10" ht="306">
      <c r="A60">
        <v>61</v>
      </c>
      <c r="B60" t="s">
        <v>272</v>
      </c>
      <c r="C60" t="s">
        <v>273</v>
      </c>
      <c r="D60" s="3" t="s">
        <v>274</v>
      </c>
      <c r="E60" t="s">
        <v>275</v>
      </c>
      <c r="F60" s="3" t="s">
        <v>276</v>
      </c>
      <c r="G60">
        <v>2022</v>
      </c>
      <c r="H60" s="1" t="str">
        <f>HYPERLINK("http://dx.doi.org/10.25165/j.ijabe.20221503.7362","http://dx.doi.org/10.25165/j.ijabe.20221503.7362")</f>
        <v>http://dx.doi.org/10.25165/j.ijabe.20221503.7362</v>
      </c>
      <c r="I60" s="2" t="s">
        <v>2697</v>
      </c>
    </row>
    <row r="61" spans="1:10" ht="210" hidden="1">
      <c r="A61">
        <v>62</v>
      </c>
      <c r="B61" t="s">
        <v>277</v>
      </c>
      <c r="C61" t="s">
        <v>278</v>
      </c>
      <c r="D61" s="3" t="s">
        <v>279</v>
      </c>
      <c r="E61" t="s">
        <v>69</v>
      </c>
      <c r="F61" s="3" t="s">
        <v>280</v>
      </c>
      <c r="G61">
        <v>2022</v>
      </c>
      <c r="H61" s="1" t="str">
        <f>HYPERLINK("http://dx.doi.org/10.3390/agronomy12051021","http://dx.doi.org/10.3390/agronomy12051021")</f>
        <v>http://dx.doi.org/10.3390/agronomy12051021</v>
      </c>
      <c r="I61" s="2" t="s">
        <v>2696</v>
      </c>
      <c r="J61" s="2" t="s">
        <v>2697</v>
      </c>
    </row>
    <row r="62" spans="1:10" ht="409.6">
      <c r="A62">
        <v>63</v>
      </c>
      <c r="B62" t="s">
        <v>281</v>
      </c>
      <c r="C62" t="s">
        <v>282</v>
      </c>
      <c r="D62" s="3" t="s">
        <v>283</v>
      </c>
      <c r="E62" t="s">
        <v>69</v>
      </c>
      <c r="F62" s="3" t="s">
        <v>284</v>
      </c>
      <c r="G62">
        <v>2022</v>
      </c>
      <c r="H62" s="1" t="str">
        <f>HYPERLINK("http://dx.doi.org/10.3390/agronomy12051026","http://dx.doi.org/10.3390/agronomy12051026")</f>
        <v>http://dx.doi.org/10.3390/agronomy12051026</v>
      </c>
      <c r="I62" s="2" t="s">
        <v>2697</v>
      </c>
    </row>
    <row r="63" spans="1:10" ht="319" hidden="1">
      <c r="A63">
        <v>64</v>
      </c>
      <c r="B63" t="s">
        <v>285</v>
      </c>
      <c r="C63" t="s">
        <v>286</v>
      </c>
      <c r="D63" s="3" t="s">
        <v>287</v>
      </c>
      <c r="E63" t="s">
        <v>288</v>
      </c>
      <c r="F63" s="3" t="s">
        <v>289</v>
      </c>
      <c r="G63">
        <v>2022</v>
      </c>
      <c r="H63" s="1" t="str">
        <f>HYPERLINK("http://dx.doi.org/10.1016/j.ijheatmasstransfer.2021.122460","http://dx.doi.org/10.1016/j.ijheatmasstransfer.2021.122460")</f>
        <v>http://dx.doi.org/10.1016/j.ijheatmasstransfer.2021.122460</v>
      </c>
      <c r="I63" s="2" t="s">
        <v>2696</v>
      </c>
    </row>
    <row r="64" spans="1:10" ht="397">
      <c r="A64">
        <v>65</v>
      </c>
      <c r="B64" t="s">
        <v>290</v>
      </c>
      <c r="C64" t="s">
        <v>291</v>
      </c>
      <c r="D64" s="3" t="s">
        <v>292</v>
      </c>
      <c r="E64" t="s">
        <v>293</v>
      </c>
      <c r="F64" s="3" t="s">
        <v>294</v>
      </c>
      <c r="G64">
        <v>2022</v>
      </c>
      <c r="H64" s="1" t="str">
        <f>HYPERLINK("http://dx.doi.org/10.3390/antiox11050811","http://dx.doi.org/10.3390/antiox11050811")</f>
        <v>http://dx.doi.org/10.3390/antiox11050811</v>
      </c>
      <c r="I64" s="2" t="s">
        <v>2697</v>
      </c>
    </row>
    <row r="65" spans="1:10" ht="345">
      <c r="A65">
        <v>66</v>
      </c>
      <c r="B65" t="s">
        <v>295</v>
      </c>
      <c r="C65" t="s">
        <v>296</v>
      </c>
      <c r="D65" s="3" t="s">
        <v>297</v>
      </c>
      <c r="E65" t="s">
        <v>250</v>
      </c>
      <c r="F65" s="3" t="s">
        <v>298</v>
      </c>
      <c r="G65">
        <v>2022</v>
      </c>
      <c r="H65" s="1" t="str">
        <f>HYPERLINK("http://dx.doi.org/10.1038/s41598-022-11001-5","http://dx.doi.org/10.1038/s41598-022-11001-5")</f>
        <v>http://dx.doi.org/10.1038/s41598-022-11001-5</v>
      </c>
      <c r="I65" s="2" t="s">
        <v>2697</v>
      </c>
    </row>
    <row r="66" spans="1:10" ht="409.6">
      <c r="A66">
        <v>67</v>
      </c>
      <c r="B66" t="s">
        <v>299</v>
      </c>
      <c r="C66" t="s">
        <v>300</v>
      </c>
      <c r="D66" s="3" t="s">
        <v>301</v>
      </c>
      <c r="E66" t="s">
        <v>250</v>
      </c>
      <c r="F66" s="3" t="s">
        <v>302</v>
      </c>
      <c r="G66">
        <v>2022</v>
      </c>
      <c r="H66" s="1" t="str">
        <f>HYPERLINK("http://dx.doi.org/10.1038/s41598-022-10681-3","http://dx.doi.org/10.1038/s41598-022-10681-3")</f>
        <v>http://dx.doi.org/10.1038/s41598-022-10681-3</v>
      </c>
      <c r="I66" s="2" t="s">
        <v>2697</v>
      </c>
    </row>
    <row r="67" spans="1:10" ht="266" hidden="1">
      <c r="A67">
        <v>68</v>
      </c>
      <c r="B67" t="s">
        <v>303</v>
      </c>
      <c r="C67" t="s">
        <v>304</v>
      </c>
      <c r="D67" s="3" t="s">
        <v>305</v>
      </c>
      <c r="E67" t="s">
        <v>306</v>
      </c>
      <c r="F67" s="3" t="s">
        <v>307</v>
      </c>
      <c r="G67">
        <v>2022</v>
      </c>
      <c r="H67" s="1" t="str">
        <f>HYPERLINK("http://dx.doi.org/10.1007/s10163-022-01403-y","http://dx.doi.org/10.1007/s10163-022-01403-y")</f>
        <v>http://dx.doi.org/10.1007/s10163-022-01403-y</v>
      </c>
      <c r="I67" s="2" t="s">
        <v>2696</v>
      </c>
      <c r="J67" s="2" t="s">
        <v>2697</v>
      </c>
    </row>
    <row r="68" spans="1:10" ht="409.6" hidden="1">
      <c r="A68">
        <v>69</v>
      </c>
      <c r="B68" t="s">
        <v>308</v>
      </c>
      <c r="C68" t="s">
        <v>309</v>
      </c>
      <c r="D68" s="3" t="s">
        <v>310</v>
      </c>
      <c r="E68" t="s">
        <v>169</v>
      </c>
      <c r="F68" s="3" t="s">
        <v>311</v>
      </c>
      <c r="G68">
        <v>2022</v>
      </c>
      <c r="H68" s="1" t="str">
        <f>HYPERLINK("http://dx.doi.org/10.3389/fpls.2022.758818","http://dx.doi.org/10.3389/fpls.2022.758818")</f>
        <v>http://dx.doi.org/10.3389/fpls.2022.758818</v>
      </c>
      <c r="I68" s="2" t="s">
        <v>2696</v>
      </c>
    </row>
    <row r="69" spans="1:10" ht="293" hidden="1">
      <c r="A69">
        <v>70</v>
      </c>
      <c r="B69" t="s">
        <v>312</v>
      </c>
      <c r="C69" t="s">
        <v>313</v>
      </c>
      <c r="D69" s="3" t="s">
        <v>314</v>
      </c>
      <c r="E69" t="s">
        <v>169</v>
      </c>
      <c r="F69" s="3" t="s">
        <v>315</v>
      </c>
      <c r="G69">
        <v>2022</v>
      </c>
      <c r="H69" s="1" t="str">
        <f>HYPERLINK("http://dx.doi.org/10.3389/fpls.2022.822634","http://dx.doi.org/10.3389/fpls.2022.822634")</f>
        <v>http://dx.doi.org/10.3389/fpls.2022.822634</v>
      </c>
      <c r="I69" s="2" t="s">
        <v>2696</v>
      </c>
    </row>
    <row r="70" spans="1:10" ht="397">
      <c r="A70">
        <v>71</v>
      </c>
      <c r="B70" t="s">
        <v>316</v>
      </c>
      <c r="C70" t="s">
        <v>317</v>
      </c>
      <c r="D70" s="3" t="s">
        <v>318</v>
      </c>
      <c r="E70" t="s">
        <v>169</v>
      </c>
      <c r="F70" s="3" t="s">
        <v>319</v>
      </c>
      <c r="G70">
        <v>2022</v>
      </c>
      <c r="H70" s="1" t="str">
        <f>HYPERLINK("http://dx.doi.org/10.3389/fpls.2022.852654","http://dx.doi.org/10.3389/fpls.2022.852654")</f>
        <v>http://dx.doi.org/10.3389/fpls.2022.852654</v>
      </c>
      <c r="I70" s="2" t="s">
        <v>2697</v>
      </c>
    </row>
    <row r="71" spans="1:10" ht="345">
      <c r="A71">
        <v>72</v>
      </c>
      <c r="B71" t="s">
        <v>320</v>
      </c>
      <c r="C71" t="s">
        <v>321</v>
      </c>
      <c r="D71" s="3" t="s">
        <v>322</v>
      </c>
      <c r="E71" t="s">
        <v>202</v>
      </c>
      <c r="F71" s="3" t="s">
        <v>323</v>
      </c>
      <c r="G71">
        <v>2022</v>
      </c>
      <c r="H71" s="1" t="str">
        <f>HYPERLINK("http://dx.doi.org/10.3389/fsufs.2022.856162","http://dx.doi.org/10.3389/fsufs.2022.856162")</f>
        <v>http://dx.doi.org/10.3389/fsufs.2022.856162</v>
      </c>
      <c r="I71" s="2" t="s">
        <v>2697</v>
      </c>
    </row>
    <row r="72" spans="1:10" ht="293">
      <c r="A72">
        <v>73</v>
      </c>
      <c r="B72" t="s">
        <v>324</v>
      </c>
      <c r="C72" t="s">
        <v>325</v>
      </c>
      <c r="D72" s="3" t="s">
        <v>326</v>
      </c>
      <c r="E72" t="s">
        <v>45</v>
      </c>
      <c r="F72" s="3" t="s">
        <v>327</v>
      </c>
      <c r="G72">
        <v>2022</v>
      </c>
      <c r="H72" s="1" t="str">
        <f>HYPERLINK("http://dx.doi.org/10.3390/horticulturae8040294","http://dx.doi.org/10.3390/horticulturae8040294")</f>
        <v>http://dx.doi.org/10.3390/horticulturae8040294</v>
      </c>
      <c r="I72" s="2" t="s">
        <v>2697</v>
      </c>
    </row>
    <row r="73" spans="1:10" ht="409.6">
      <c r="A73">
        <v>74</v>
      </c>
      <c r="B73" t="s">
        <v>328</v>
      </c>
      <c r="C73" t="s">
        <v>329</v>
      </c>
      <c r="D73" s="3" t="s">
        <v>330</v>
      </c>
      <c r="E73" t="s">
        <v>93</v>
      </c>
      <c r="F73" s="3" t="s">
        <v>331</v>
      </c>
      <c r="G73">
        <v>2022</v>
      </c>
      <c r="H73" s="1" t="str">
        <f>HYPERLINK("http://dx.doi.org/10.1016/j.envexpbot.2022.104797","http://dx.doi.org/10.1016/j.envexpbot.2022.104797")</f>
        <v>http://dx.doi.org/10.1016/j.envexpbot.2022.104797</v>
      </c>
      <c r="I73" s="2" t="s">
        <v>2697</v>
      </c>
    </row>
    <row r="74" spans="1:10" ht="409.6">
      <c r="A74">
        <v>75</v>
      </c>
      <c r="B74" t="s">
        <v>332</v>
      </c>
      <c r="C74" t="s">
        <v>333</v>
      </c>
      <c r="D74" s="3" t="s">
        <v>334</v>
      </c>
      <c r="E74" t="s">
        <v>93</v>
      </c>
      <c r="F74" s="3" t="s">
        <v>335</v>
      </c>
      <c r="G74">
        <v>2022</v>
      </c>
      <c r="H74" s="1" t="str">
        <f>HYPERLINK("http://dx.doi.org/10.1016/j.envexpbot.2022.104811","http://dx.doi.org/10.1016/j.envexpbot.2022.104811")</f>
        <v>http://dx.doi.org/10.1016/j.envexpbot.2022.104811</v>
      </c>
      <c r="I74" s="2" t="s">
        <v>2697</v>
      </c>
    </row>
    <row r="75" spans="1:10" ht="409.6" hidden="1">
      <c r="A75">
        <v>76</v>
      </c>
      <c r="B75" t="s">
        <v>336</v>
      </c>
      <c r="C75" t="s">
        <v>337</v>
      </c>
      <c r="D75" s="3" t="s">
        <v>338</v>
      </c>
      <c r="E75" t="s">
        <v>74</v>
      </c>
      <c r="F75" s="3" t="s">
        <v>339</v>
      </c>
      <c r="G75">
        <v>2022</v>
      </c>
      <c r="H75" s="1" t="str">
        <f>HYPERLINK("http://dx.doi.org/10.3390/su14074155","http://dx.doi.org/10.3390/su14074155")</f>
        <v>http://dx.doi.org/10.3390/su14074155</v>
      </c>
      <c r="I75" s="2" t="s">
        <v>2699</v>
      </c>
    </row>
    <row r="76" spans="1:10" ht="238">
      <c r="A76">
        <v>77</v>
      </c>
      <c r="B76" t="s">
        <v>340</v>
      </c>
      <c r="C76" t="s">
        <v>341</v>
      </c>
      <c r="D76" s="3" t="s">
        <v>342</v>
      </c>
      <c r="E76" t="s">
        <v>138</v>
      </c>
      <c r="F76" s="3" t="s">
        <v>343</v>
      </c>
      <c r="G76">
        <v>2022</v>
      </c>
      <c r="H76" s="1" t="str">
        <f>HYPERLINK("http://dx.doi.org/10.3390/plants11081010","http://dx.doi.org/10.3390/plants11081010")</f>
        <v>http://dx.doi.org/10.3390/plants11081010</v>
      </c>
      <c r="I76" s="2" t="s">
        <v>2697</v>
      </c>
    </row>
    <row r="77" spans="1:10" ht="252" hidden="1">
      <c r="A77">
        <v>78</v>
      </c>
      <c r="B77" t="s">
        <v>344</v>
      </c>
      <c r="C77" t="s">
        <v>345</v>
      </c>
      <c r="D77" s="3" t="s">
        <v>346</v>
      </c>
      <c r="E77" t="s">
        <v>347</v>
      </c>
      <c r="F77" s="3" t="s">
        <v>348</v>
      </c>
      <c r="G77">
        <v>2022</v>
      </c>
      <c r="H77" s="1" t="str">
        <f>HYPERLINK("http://dx.doi.org/10.47836/pjst.30.2.06","http://dx.doi.org/10.47836/pjst.30.2.06")</f>
        <v>http://dx.doi.org/10.47836/pjst.30.2.06</v>
      </c>
      <c r="I77" s="2" t="s">
        <v>2696</v>
      </c>
    </row>
    <row r="78" spans="1:10" ht="409.6">
      <c r="A78">
        <v>79</v>
      </c>
      <c r="B78" t="s">
        <v>349</v>
      </c>
      <c r="C78" t="s">
        <v>350</v>
      </c>
      <c r="D78" s="3" t="s">
        <v>351</v>
      </c>
      <c r="E78" t="s">
        <v>45</v>
      </c>
      <c r="F78" s="3" t="s">
        <v>352</v>
      </c>
      <c r="G78">
        <v>2022</v>
      </c>
      <c r="H78" s="1" t="str">
        <f>HYPERLINK("http://dx.doi.org/10.3390/horticulturae8040315","http://dx.doi.org/10.3390/horticulturae8040315")</f>
        <v>http://dx.doi.org/10.3390/horticulturae8040315</v>
      </c>
      <c r="I78" s="2" t="s">
        <v>2697</v>
      </c>
    </row>
    <row r="79" spans="1:10" ht="252">
      <c r="A79">
        <v>80</v>
      </c>
      <c r="B79" t="s">
        <v>353</v>
      </c>
      <c r="C79" t="s">
        <v>354</v>
      </c>
      <c r="D79" s="3" t="s">
        <v>355</v>
      </c>
      <c r="E79" t="s">
        <v>45</v>
      </c>
      <c r="F79" s="3" t="s">
        <v>356</v>
      </c>
      <c r="G79">
        <v>2022</v>
      </c>
      <c r="H79" s="1" t="str">
        <f>HYPERLINK("http://dx.doi.org/10.3390/horticulturae8040346","http://dx.doi.org/10.3390/horticulturae8040346")</f>
        <v>http://dx.doi.org/10.3390/horticulturae8040346</v>
      </c>
      <c r="I79" s="2" t="s">
        <v>2697</v>
      </c>
      <c r="J79" s="2" t="s">
        <v>2696</v>
      </c>
    </row>
    <row r="80" spans="1:10" ht="409.6" hidden="1">
      <c r="A80">
        <v>81</v>
      </c>
      <c r="B80" t="s">
        <v>357</v>
      </c>
      <c r="C80" t="s">
        <v>358</v>
      </c>
      <c r="D80" s="3" t="s">
        <v>359</v>
      </c>
      <c r="E80" t="s">
        <v>202</v>
      </c>
      <c r="F80" s="3" t="s">
        <v>360</v>
      </c>
      <c r="G80">
        <v>2022</v>
      </c>
      <c r="H80" s="1" t="str">
        <f>HYPERLINK("http://dx.doi.org/10.3389/fsufs.2022.849304","http://dx.doi.org/10.3389/fsufs.2022.849304")</f>
        <v>http://dx.doi.org/10.3389/fsufs.2022.849304</v>
      </c>
      <c r="I80" s="2" t="s">
        <v>2698</v>
      </c>
      <c r="J80" s="2" t="s">
        <v>2696</v>
      </c>
    </row>
    <row r="81" spans="1:10" ht="409.6">
      <c r="A81">
        <v>82</v>
      </c>
      <c r="B81" t="s">
        <v>361</v>
      </c>
      <c r="C81" t="s">
        <v>362</v>
      </c>
      <c r="D81" s="3" t="s">
        <v>363</v>
      </c>
      <c r="E81" t="s">
        <v>364</v>
      </c>
      <c r="F81" s="3" t="s">
        <v>365</v>
      </c>
      <c r="G81">
        <v>2022</v>
      </c>
      <c r="H81" s="1" t="str">
        <f>HYPERLINK("http://dx.doi.org/10.1186/s12870-022-03528-6","http://dx.doi.org/10.1186/s12870-022-03528-6")</f>
        <v>http://dx.doi.org/10.1186/s12870-022-03528-6</v>
      </c>
      <c r="I81" s="2" t="s">
        <v>2697</v>
      </c>
    </row>
    <row r="82" spans="1:10" ht="409.6">
      <c r="A82">
        <v>83</v>
      </c>
      <c r="B82" t="s">
        <v>366</v>
      </c>
      <c r="C82" t="s">
        <v>367</v>
      </c>
      <c r="D82" s="3" t="s">
        <v>368</v>
      </c>
      <c r="E82" t="s">
        <v>183</v>
      </c>
      <c r="F82" s="3" t="s">
        <v>369</v>
      </c>
      <c r="G82">
        <v>2022</v>
      </c>
      <c r="H82" s="1" t="str">
        <f>HYPERLINK("http://dx.doi.org/10.1016/j.scienta.2021.110864","http://dx.doi.org/10.1016/j.scienta.2021.110864")</f>
        <v>http://dx.doi.org/10.1016/j.scienta.2021.110864</v>
      </c>
      <c r="I82" s="2" t="s">
        <v>2697</v>
      </c>
    </row>
    <row r="83" spans="1:10" ht="397">
      <c r="A83">
        <v>84</v>
      </c>
      <c r="B83" t="s">
        <v>370</v>
      </c>
      <c r="C83" t="s">
        <v>371</v>
      </c>
      <c r="D83" s="3" t="s">
        <v>372</v>
      </c>
      <c r="E83" t="s">
        <v>45</v>
      </c>
      <c r="F83" s="3" t="s">
        <v>373</v>
      </c>
      <c r="G83">
        <v>2022</v>
      </c>
      <c r="H83" s="1" t="str">
        <f>HYPERLINK("http://dx.doi.org/10.3390/horticulturae8030270","http://dx.doi.org/10.3390/horticulturae8030270")</f>
        <v>http://dx.doi.org/10.3390/horticulturae8030270</v>
      </c>
      <c r="I83" s="2" t="s">
        <v>2697</v>
      </c>
    </row>
    <row r="84" spans="1:10" ht="252" hidden="1">
      <c r="A84">
        <v>85</v>
      </c>
      <c r="B84" t="s">
        <v>374</v>
      </c>
      <c r="C84" t="s">
        <v>375</v>
      </c>
      <c r="D84" s="3" t="s">
        <v>376</v>
      </c>
      <c r="E84" t="s">
        <v>45</v>
      </c>
      <c r="F84" s="3" t="s">
        <v>377</v>
      </c>
      <c r="G84">
        <v>2022</v>
      </c>
      <c r="H84" s="1" t="str">
        <f>HYPERLINK("http://dx.doi.org/10.3390/horticulturae8030256","http://dx.doi.org/10.3390/horticulturae8030256")</f>
        <v>http://dx.doi.org/10.3390/horticulturae8030256</v>
      </c>
      <c r="I84" s="2" t="s">
        <v>2699</v>
      </c>
    </row>
    <row r="85" spans="1:10" ht="319">
      <c r="A85">
        <v>86</v>
      </c>
      <c r="B85" t="s">
        <v>378</v>
      </c>
      <c r="C85" t="s">
        <v>379</v>
      </c>
      <c r="D85" s="3" t="s">
        <v>380</v>
      </c>
      <c r="E85" t="s">
        <v>45</v>
      </c>
      <c r="F85" s="3" t="s">
        <v>381</v>
      </c>
      <c r="G85">
        <v>2022</v>
      </c>
      <c r="H85" s="1" t="str">
        <f>HYPERLINK("http://dx.doi.org/10.3390/horticulturae8030216","http://dx.doi.org/10.3390/horticulturae8030216")</f>
        <v>http://dx.doi.org/10.3390/horticulturae8030216</v>
      </c>
      <c r="I85" s="2" t="s">
        <v>2697</v>
      </c>
    </row>
    <row r="86" spans="1:10" ht="266" hidden="1">
      <c r="A86">
        <v>87</v>
      </c>
      <c r="B86" t="s">
        <v>382</v>
      </c>
      <c r="C86" t="s">
        <v>383</v>
      </c>
      <c r="D86" s="3" t="s">
        <v>384</v>
      </c>
      <c r="E86" t="s">
        <v>385</v>
      </c>
      <c r="F86" s="3" t="s">
        <v>386</v>
      </c>
      <c r="G86">
        <v>2022</v>
      </c>
      <c r="H86" s="1" t="str">
        <f>HYPERLINK("http://dx.doi.org/10.20965/ijat.2022.p0218","http://dx.doi.org/10.20965/ijat.2022.p0218")</f>
        <v>http://dx.doi.org/10.20965/ijat.2022.p0218</v>
      </c>
      <c r="I86" s="2" t="s">
        <v>2699</v>
      </c>
    </row>
    <row r="87" spans="1:10" ht="397" hidden="1">
      <c r="A87">
        <v>88</v>
      </c>
      <c r="B87" t="s">
        <v>387</v>
      </c>
      <c r="C87" t="s">
        <v>388</v>
      </c>
      <c r="D87" s="3" t="s">
        <v>389</v>
      </c>
      <c r="E87" t="s">
        <v>74</v>
      </c>
      <c r="F87" s="3" t="s">
        <v>390</v>
      </c>
      <c r="G87">
        <v>2022</v>
      </c>
      <c r="H87" s="1" t="str">
        <f>HYPERLINK("http://dx.doi.org/10.3390/su14052771","http://dx.doi.org/10.3390/su14052771")</f>
        <v>http://dx.doi.org/10.3390/su14052771</v>
      </c>
      <c r="I87" s="2" t="s">
        <v>2699</v>
      </c>
    </row>
    <row r="88" spans="1:10" ht="293" hidden="1">
      <c r="A88">
        <v>89</v>
      </c>
      <c r="B88" t="s">
        <v>391</v>
      </c>
      <c r="C88" t="s">
        <v>392</v>
      </c>
      <c r="D88" s="3" t="s">
        <v>393</v>
      </c>
      <c r="E88" t="s">
        <v>394</v>
      </c>
      <c r="F88" s="3" t="s">
        <v>395</v>
      </c>
      <c r="G88">
        <v>2022</v>
      </c>
      <c r="H88" s="1" t="str">
        <f>HYPERLINK("http://dx.doi.org/10.1038/s43016-022-00461-7","http://dx.doi.org/10.1038/s43016-022-00461-7")</f>
        <v>http://dx.doi.org/10.1038/s43016-022-00461-7</v>
      </c>
      <c r="I88" s="2" t="s">
        <v>2698</v>
      </c>
    </row>
    <row r="89" spans="1:10" ht="182">
      <c r="A89">
        <v>90</v>
      </c>
      <c r="B89" t="s">
        <v>396</v>
      </c>
      <c r="C89" t="s">
        <v>397</v>
      </c>
      <c r="D89" s="3" t="s">
        <v>398</v>
      </c>
      <c r="E89" t="s">
        <v>169</v>
      </c>
      <c r="F89" s="3" t="s">
        <v>399</v>
      </c>
      <c r="G89">
        <v>2022</v>
      </c>
      <c r="H89" s="1" t="str">
        <f>HYPERLINK("http://dx.doi.org/10.3389/fpls.2022.804368","http://dx.doi.org/10.3389/fpls.2022.804368")</f>
        <v>http://dx.doi.org/10.3389/fpls.2022.804368</v>
      </c>
      <c r="I89" s="2" t="s">
        <v>2697</v>
      </c>
    </row>
    <row r="90" spans="1:10" ht="332">
      <c r="A90">
        <v>91</v>
      </c>
      <c r="B90" t="s">
        <v>400</v>
      </c>
      <c r="C90" t="s">
        <v>401</v>
      </c>
      <c r="D90" s="3" t="s">
        <v>402</v>
      </c>
      <c r="E90" t="s">
        <v>403</v>
      </c>
      <c r="F90" s="3" t="s">
        <v>404</v>
      </c>
      <c r="G90">
        <v>2022</v>
      </c>
      <c r="H90" s="1" t="str">
        <f>HYPERLINK("http://dx.doi.org/10.3390/foods11030300","http://dx.doi.org/10.3390/foods11030300")</f>
        <v>http://dx.doi.org/10.3390/foods11030300</v>
      </c>
      <c r="I90" s="2" t="s">
        <v>2697</v>
      </c>
    </row>
    <row r="91" spans="1:10" ht="266">
      <c r="A91">
        <v>92</v>
      </c>
      <c r="B91" t="s">
        <v>405</v>
      </c>
      <c r="C91" t="s">
        <v>406</v>
      </c>
      <c r="D91" s="3" t="s">
        <v>407</v>
      </c>
      <c r="E91" t="s">
        <v>408</v>
      </c>
      <c r="F91" s="3" t="s">
        <v>409</v>
      </c>
      <c r="G91">
        <v>2022</v>
      </c>
      <c r="H91" s="1" t="str">
        <f>HYPERLINK("http://dx.doi.org/10.15376/biores.17.1.1136-1143","http://dx.doi.org/10.15376/biores.17.1.1136-1143")</f>
        <v>http://dx.doi.org/10.15376/biores.17.1.1136-1143</v>
      </c>
      <c r="I91" s="2" t="s">
        <v>2697</v>
      </c>
    </row>
    <row r="92" spans="1:10" ht="306" hidden="1">
      <c r="A92">
        <v>93</v>
      </c>
      <c r="B92" t="s">
        <v>410</v>
      </c>
      <c r="C92" t="s">
        <v>411</v>
      </c>
      <c r="D92" s="3" t="s">
        <v>412</v>
      </c>
      <c r="E92" t="s">
        <v>413</v>
      </c>
      <c r="F92" s="3" t="s">
        <v>414</v>
      </c>
      <c r="G92">
        <v>2022</v>
      </c>
      <c r="H92" s="1" t="str">
        <f>HYPERLINK("http://dx.doi.org/10.21273/HORTSCI16159-21","http://dx.doi.org/10.21273/HORTSCI16159-21")</f>
        <v>http://dx.doi.org/10.21273/HORTSCI16159-21</v>
      </c>
      <c r="I92" s="2" t="s">
        <v>2696</v>
      </c>
      <c r="J92" s="2" t="s">
        <v>2699</v>
      </c>
    </row>
    <row r="93" spans="1:10" ht="252" hidden="1">
      <c r="A93">
        <v>94</v>
      </c>
      <c r="B93" t="s">
        <v>415</v>
      </c>
      <c r="C93" t="s">
        <v>416</v>
      </c>
      <c r="D93" s="3" t="s">
        <v>417</v>
      </c>
      <c r="E93" t="s">
        <v>418</v>
      </c>
      <c r="F93" s="3" t="s">
        <v>419</v>
      </c>
      <c r="G93">
        <v>2022</v>
      </c>
      <c r="H93" s="1" t="str">
        <f>HYPERLINK("http://dx.doi.org/10.1115/1.4052055","http://dx.doi.org/10.1115/1.4052055")</f>
        <v>http://dx.doi.org/10.1115/1.4052055</v>
      </c>
      <c r="I93" s="2" t="s">
        <v>2696</v>
      </c>
    </row>
    <row r="94" spans="1:10" ht="196">
      <c r="A94">
        <v>95</v>
      </c>
      <c r="B94" t="s">
        <v>420</v>
      </c>
      <c r="C94" t="s">
        <v>421</v>
      </c>
      <c r="D94" s="3" t="s">
        <v>422</v>
      </c>
      <c r="E94" t="s">
        <v>138</v>
      </c>
      <c r="F94" s="3" t="s">
        <v>423</v>
      </c>
      <c r="G94">
        <v>2022</v>
      </c>
      <c r="H94" s="1" t="str">
        <f>HYPERLINK("http://dx.doi.org/10.3390/plants11030342","http://dx.doi.org/10.3390/plants11030342")</f>
        <v>http://dx.doi.org/10.3390/plants11030342</v>
      </c>
      <c r="I94" s="2" t="s">
        <v>2697</v>
      </c>
    </row>
    <row r="95" spans="1:10" ht="266">
      <c r="A95">
        <v>96</v>
      </c>
      <c r="B95" t="s">
        <v>424</v>
      </c>
      <c r="C95" t="s">
        <v>425</v>
      </c>
      <c r="D95" s="3" t="s">
        <v>426</v>
      </c>
      <c r="E95" t="s">
        <v>69</v>
      </c>
      <c r="F95" s="3" t="s">
        <v>427</v>
      </c>
      <c r="G95">
        <v>2022</v>
      </c>
      <c r="H95" s="1" t="str">
        <f>HYPERLINK("http://dx.doi.org/10.3390/agronomy12020343","http://dx.doi.org/10.3390/agronomy12020343")</f>
        <v>http://dx.doi.org/10.3390/agronomy12020343</v>
      </c>
      <c r="I95" s="2" t="s">
        <v>2697</v>
      </c>
    </row>
    <row r="96" spans="1:10" ht="306">
      <c r="A96">
        <v>97</v>
      </c>
      <c r="B96" t="s">
        <v>428</v>
      </c>
      <c r="C96" t="s">
        <v>429</v>
      </c>
      <c r="D96" s="3" t="s">
        <v>430</v>
      </c>
      <c r="E96" t="s">
        <v>138</v>
      </c>
      <c r="F96" s="3" t="s">
        <v>431</v>
      </c>
      <c r="G96">
        <v>2022</v>
      </c>
      <c r="H96" s="1" t="str">
        <f>HYPERLINK("http://dx.doi.org/10.3390/plants11030441","http://dx.doi.org/10.3390/plants11030441")</f>
        <v>http://dx.doi.org/10.3390/plants11030441</v>
      </c>
      <c r="I96" s="2" t="s">
        <v>2697</v>
      </c>
    </row>
    <row r="97" spans="1:11" ht="266" hidden="1">
      <c r="A97">
        <v>98</v>
      </c>
      <c r="B97" t="s">
        <v>432</v>
      </c>
      <c r="C97" t="s">
        <v>433</v>
      </c>
      <c r="D97" s="3" t="s">
        <v>434</v>
      </c>
      <c r="E97" t="s">
        <v>84</v>
      </c>
      <c r="F97" s="3" t="s">
        <v>435</v>
      </c>
      <c r="G97">
        <v>2022</v>
      </c>
      <c r="H97" s="1" t="str">
        <f>HYPERLINK("http://dx.doi.org/10.1016/j.compag.2022.106714","http://dx.doi.org/10.1016/j.compag.2022.106714")</f>
        <v>http://dx.doi.org/10.1016/j.compag.2022.106714</v>
      </c>
      <c r="I97" s="2" t="s">
        <v>2696</v>
      </c>
    </row>
    <row r="98" spans="1:11" ht="409.6" hidden="1">
      <c r="A98">
        <v>99</v>
      </c>
      <c r="B98" t="s">
        <v>436</v>
      </c>
      <c r="C98" t="s">
        <v>437</v>
      </c>
      <c r="D98" s="3" t="s">
        <v>438</v>
      </c>
      <c r="E98" t="s">
        <v>50</v>
      </c>
      <c r="F98" s="3" t="s">
        <v>439</v>
      </c>
      <c r="G98">
        <v>2022</v>
      </c>
      <c r="H98" s="1" t="str">
        <f>HYPERLINK("http://dx.doi.org/10.1007/s13580-021-00410-6","http://dx.doi.org/10.1007/s13580-021-00410-6")</f>
        <v>http://dx.doi.org/10.1007/s13580-021-00410-6</v>
      </c>
      <c r="I98" s="2" t="s">
        <v>2696</v>
      </c>
    </row>
    <row r="99" spans="1:11" ht="371">
      <c r="A99">
        <v>100</v>
      </c>
      <c r="B99" t="s">
        <v>440</v>
      </c>
      <c r="C99" t="s">
        <v>441</v>
      </c>
      <c r="D99" s="3" t="s">
        <v>442</v>
      </c>
      <c r="E99" t="s">
        <v>50</v>
      </c>
      <c r="F99" s="3" t="s">
        <v>443</v>
      </c>
      <c r="G99">
        <v>2022</v>
      </c>
      <c r="H99" s="1" t="str">
        <f>HYPERLINK("http://dx.doi.org/10.1007/s13580-021-00380-9","http://dx.doi.org/10.1007/s13580-021-00380-9")</f>
        <v>http://dx.doi.org/10.1007/s13580-021-00380-9</v>
      </c>
      <c r="I99" s="2" t="s">
        <v>2697</v>
      </c>
    </row>
    <row r="100" spans="1:11" ht="384" hidden="1">
      <c r="A100">
        <v>101</v>
      </c>
      <c r="B100" t="s">
        <v>444</v>
      </c>
      <c r="C100" t="s">
        <v>445</v>
      </c>
      <c r="D100" s="3" t="s">
        <v>446</v>
      </c>
      <c r="E100" t="s">
        <v>30</v>
      </c>
      <c r="F100" s="3" t="s">
        <v>447</v>
      </c>
      <c r="G100">
        <v>2022</v>
      </c>
      <c r="H100" s="1" t="str">
        <f>HYPERLINK("http://dx.doi.org/10.1016/j.jclepro.2021.130051","http://dx.doi.org/10.1016/j.jclepro.2021.130051")</f>
        <v>http://dx.doi.org/10.1016/j.jclepro.2021.130051</v>
      </c>
      <c r="I100" s="2" t="s">
        <v>2696</v>
      </c>
    </row>
    <row r="101" spans="1:11" ht="409.6">
      <c r="A101">
        <v>102</v>
      </c>
      <c r="B101" t="s">
        <v>448</v>
      </c>
      <c r="C101" t="s">
        <v>449</v>
      </c>
      <c r="D101" s="3" t="s">
        <v>450</v>
      </c>
      <c r="E101" t="s">
        <v>50</v>
      </c>
      <c r="F101" s="3" t="s">
        <v>451</v>
      </c>
      <c r="G101">
        <v>2022</v>
      </c>
      <c r="H101" s="1" t="str">
        <f>HYPERLINK("http://dx.doi.org/10.1007/s13580-021-00376-5","http://dx.doi.org/10.1007/s13580-021-00376-5")</f>
        <v>http://dx.doi.org/10.1007/s13580-021-00376-5</v>
      </c>
      <c r="I101" s="2" t="s">
        <v>2697</v>
      </c>
    </row>
    <row r="102" spans="1:11" ht="384">
      <c r="A102">
        <v>103</v>
      </c>
      <c r="B102" t="s">
        <v>452</v>
      </c>
      <c r="C102" t="s">
        <v>453</v>
      </c>
      <c r="D102" s="3" t="s">
        <v>454</v>
      </c>
      <c r="E102" t="s">
        <v>50</v>
      </c>
      <c r="F102" s="3" t="s">
        <v>455</v>
      </c>
      <c r="G102">
        <v>2022</v>
      </c>
      <c r="H102" s="1" t="str">
        <f>HYPERLINK("http://dx.doi.org/10.1007/s13580-021-00377-4","http://dx.doi.org/10.1007/s13580-021-00377-4")</f>
        <v>http://dx.doi.org/10.1007/s13580-021-00377-4</v>
      </c>
      <c r="I102" s="2" t="s">
        <v>2697</v>
      </c>
    </row>
    <row r="103" spans="1:11" ht="293" hidden="1">
      <c r="A103">
        <v>104</v>
      </c>
      <c r="B103" t="s">
        <v>456</v>
      </c>
      <c r="C103" t="s">
        <v>457</v>
      </c>
      <c r="D103" s="3" t="s">
        <v>458</v>
      </c>
      <c r="E103" t="s">
        <v>459</v>
      </c>
      <c r="F103" s="3" t="s">
        <v>460</v>
      </c>
      <c r="G103">
        <v>2022</v>
      </c>
      <c r="H103" s="1" t="str">
        <f>HYPERLINK("http://dx.doi.org/10.1021/acsestengg.1c00269","http://dx.doi.org/10.1021/acsestengg.1c00269")</f>
        <v>http://dx.doi.org/10.1021/acsestengg.1c00269</v>
      </c>
      <c r="I103" s="2" t="s">
        <v>2696</v>
      </c>
      <c r="J103" s="2" t="s">
        <v>2699</v>
      </c>
    </row>
    <row r="104" spans="1:11" ht="319">
      <c r="A104">
        <v>105</v>
      </c>
      <c r="B104" t="s">
        <v>461</v>
      </c>
      <c r="C104" t="s">
        <v>462</v>
      </c>
      <c r="D104" s="3" t="s">
        <v>463</v>
      </c>
      <c r="E104" t="s">
        <v>50</v>
      </c>
      <c r="F104" s="3" t="s">
        <v>464</v>
      </c>
      <c r="G104">
        <v>2022</v>
      </c>
      <c r="H104" s="1" t="str">
        <f>HYPERLINK("http://dx.doi.org/10.1007/s13580-021-00394-3","http://dx.doi.org/10.1007/s13580-021-00394-3")</f>
        <v>http://dx.doi.org/10.1007/s13580-021-00394-3</v>
      </c>
      <c r="I104" s="2" t="s">
        <v>2697</v>
      </c>
    </row>
    <row r="105" spans="1:11" ht="371" hidden="1">
      <c r="A105">
        <v>106</v>
      </c>
      <c r="B105" t="s">
        <v>465</v>
      </c>
      <c r="C105" t="s">
        <v>466</v>
      </c>
      <c r="D105" s="3" t="s">
        <v>467</v>
      </c>
      <c r="E105" t="s">
        <v>468</v>
      </c>
      <c r="F105" s="3" t="s">
        <v>469</v>
      </c>
      <c r="G105">
        <v>2022</v>
      </c>
      <c r="H105" s="1" t="str">
        <f>HYPERLINK("http://dx.doi.org/10.1108/BFJ-08-2021-0904","http://dx.doi.org/10.1108/BFJ-08-2021-0904")</f>
        <v>http://dx.doi.org/10.1108/BFJ-08-2021-0904</v>
      </c>
      <c r="I105" s="2" t="s">
        <v>2699</v>
      </c>
    </row>
    <row r="106" spans="1:11" ht="98" hidden="1">
      <c r="A106">
        <v>107</v>
      </c>
      <c r="B106" t="s">
        <v>470</v>
      </c>
      <c r="C106" t="s">
        <v>471</v>
      </c>
      <c r="D106" s="3" t="s">
        <v>472</v>
      </c>
      <c r="E106" t="s">
        <v>473</v>
      </c>
      <c r="F106" s="3" t="s">
        <v>474</v>
      </c>
      <c r="G106">
        <v>2022</v>
      </c>
      <c r="H106" s="1" t="str">
        <f>HYPERLINK("http://dx.doi.org/10.13031/aea.14888","http://dx.doi.org/10.13031/aea.14888")</f>
        <v>http://dx.doi.org/10.13031/aea.14888</v>
      </c>
      <c r="I106" s="2" t="s">
        <v>2698</v>
      </c>
      <c r="J106" s="2" t="s">
        <v>2699</v>
      </c>
    </row>
    <row r="107" spans="1:11" ht="397" hidden="1">
      <c r="A107">
        <v>108</v>
      </c>
      <c r="B107" t="s">
        <v>475</v>
      </c>
      <c r="C107" t="s">
        <v>476</v>
      </c>
      <c r="D107" s="3" t="s">
        <v>477</v>
      </c>
      <c r="E107" t="s">
        <v>478</v>
      </c>
      <c r="F107" s="3" t="s">
        <v>479</v>
      </c>
      <c r="G107">
        <v>2022</v>
      </c>
      <c r="H107" s="1" t="str">
        <f>HYPERLINK("http://dx.doi.org/10.2480/agrmet.D-21-00038","http://dx.doi.org/10.2480/agrmet.D-21-00038")</f>
        <v>http://dx.doi.org/10.2480/agrmet.D-21-00038</v>
      </c>
      <c r="I107" s="2" t="s">
        <v>2696</v>
      </c>
    </row>
    <row r="108" spans="1:11" ht="306" hidden="1">
      <c r="A108">
        <v>109</v>
      </c>
      <c r="B108" t="s">
        <v>480</v>
      </c>
      <c r="C108" t="s">
        <v>481</v>
      </c>
      <c r="D108" s="3" t="s">
        <v>482</v>
      </c>
      <c r="E108" t="s">
        <v>483</v>
      </c>
      <c r="F108" s="3" t="s">
        <v>484</v>
      </c>
      <c r="G108">
        <v>2022</v>
      </c>
      <c r="H108" s="1" t="str">
        <f>HYPERLINK("http://dx.doi.org/10.3390/en15020660","http://dx.doi.org/10.3390/en15020660")</f>
        <v>http://dx.doi.org/10.3390/en15020660</v>
      </c>
      <c r="I108" s="2" t="s">
        <v>2696</v>
      </c>
      <c r="J108" s="2" t="s">
        <v>2698</v>
      </c>
    </row>
    <row r="109" spans="1:11" ht="293" hidden="1">
      <c r="A109">
        <v>110</v>
      </c>
      <c r="B109" t="s">
        <v>485</v>
      </c>
      <c r="C109" t="s">
        <v>486</v>
      </c>
      <c r="D109" s="3" t="s">
        <v>487</v>
      </c>
      <c r="E109" t="s">
        <v>488</v>
      </c>
      <c r="F109" s="3" t="s">
        <v>489</v>
      </c>
      <c r="G109">
        <v>2022</v>
      </c>
      <c r="H109" s="1" t="str">
        <f>HYPERLINK("http://dx.doi.org/10.1109/ACCESS.2022.3166634","http://dx.doi.org/10.1109/ACCESS.2022.3166634")</f>
        <v>http://dx.doi.org/10.1109/ACCESS.2022.3166634</v>
      </c>
      <c r="I109" s="2" t="s">
        <v>2696</v>
      </c>
    </row>
    <row r="110" spans="1:11" ht="306">
      <c r="A110">
        <v>111</v>
      </c>
      <c r="B110" t="s">
        <v>490</v>
      </c>
      <c r="C110" t="s">
        <v>491</v>
      </c>
      <c r="D110" s="3" t="s">
        <v>492</v>
      </c>
      <c r="E110" t="s">
        <v>493</v>
      </c>
      <c r="F110" s="3" t="s">
        <v>494</v>
      </c>
      <c r="G110">
        <v>2022</v>
      </c>
      <c r="H110" s="1" t="str">
        <f>HYPERLINK("http://dx.doi.org/10.4081/ija.2021.1915","http://dx.doi.org/10.4081/ija.2021.1915")</f>
        <v>http://dx.doi.org/10.4081/ija.2021.1915</v>
      </c>
      <c r="I110" s="2" t="s">
        <v>2697</v>
      </c>
    </row>
    <row r="111" spans="1:11" ht="252">
      <c r="A111">
        <v>112</v>
      </c>
      <c r="B111" t="s">
        <v>495</v>
      </c>
      <c r="C111" t="s">
        <v>496</v>
      </c>
      <c r="D111" s="3" t="s">
        <v>497</v>
      </c>
      <c r="E111" t="s">
        <v>498</v>
      </c>
      <c r="F111" s="3" t="s">
        <v>499</v>
      </c>
      <c r="G111">
        <v>2022</v>
      </c>
      <c r="H111" s="1" t="str">
        <f>HYPERLINK("http://dx.doi.org/10.47280/RevFacAgron(LUZ).v39.n1.20","http://dx.doi.org/10.47280/RevFacAgron(LUZ).v39.n1.20")</f>
        <v>http://dx.doi.org/10.47280/RevFacAgron(LUZ).v39.n1.20</v>
      </c>
      <c r="I111" s="2" t="s">
        <v>2697</v>
      </c>
    </row>
    <row r="112" spans="1:11" ht="358" hidden="1">
      <c r="A112">
        <v>113</v>
      </c>
      <c r="B112" t="s">
        <v>500</v>
      </c>
      <c r="C112" t="s">
        <v>501</v>
      </c>
      <c r="D112" s="3" t="s">
        <v>502</v>
      </c>
      <c r="E112" t="s">
        <v>503</v>
      </c>
      <c r="F112" s="3" t="s">
        <v>504</v>
      </c>
      <c r="G112">
        <v>2022</v>
      </c>
      <c r="H112" s="1" t="str">
        <f>HYPERLINK("http://dx.doi.org/10.1016/j.tifs.2021.11.013","http://dx.doi.org/10.1016/j.tifs.2021.11.013")</f>
        <v>http://dx.doi.org/10.1016/j.tifs.2021.11.013</v>
      </c>
      <c r="I112" s="2" t="s">
        <v>2696</v>
      </c>
      <c r="J112" s="2" t="s">
        <v>2699</v>
      </c>
      <c r="K112" s="2" t="s">
        <v>2698</v>
      </c>
    </row>
    <row r="113" spans="1:11" ht="306">
      <c r="A113">
        <v>114</v>
      </c>
      <c r="B113" t="s">
        <v>505</v>
      </c>
      <c r="C113" t="s">
        <v>506</v>
      </c>
      <c r="D113" s="3" t="s">
        <v>507</v>
      </c>
      <c r="E113" t="s">
        <v>69</v>
      </c>
      <c r="F113" s="3" t="s">
        <v>508</v>
      </c>
      <c r="G113">
        <v>2022</v>
      </c>
      <c r="H113" s="1" t="str">
        <f>HYPERLINK("http://dx.doi.org/10.3390/agronomy12010194","http://dx.doi.org/10.3390/agronomy12010194")</f>
        <v>http://dx.doi.org/10.3390/agronomy12010194</v>
      </c>
      <c r="I113" s="2" t="s">
        <v>2697</v>
      </c>
    </row>
    <row r="114" spans="1:11" ht="224" hidden="1">
      <c r="A114">
        <v>115</v>
      </c>
      <c r="B114" t="s">
        <v>509</v>
      </c>
      <c r="C114" t="s">
        <v>510</v>
      </c>
      <c r="D114" s="3" t="s">
        <v>511</v>
      </c>
      <c r="E114" t="s">
        <v>512</v>
      </c>
      <c r="F114" s="3" t="s">
        <v>513</v>
      </c>
      <c r="G114">
        <v>2022</v>
      </c>
      <c r="H114" s="1" t="str">
        <f>HYPERLINK("http://dx.doi.org/10.1109/MIC.2021.3129271","http://dx.doi.org/10.1109/MIC.2021.3129271")</f>
        <v>http://dx.doi.org/10.1109/MIC.2021.3129271</v>
      </c>
      <c r="I114" s="2" t="s">
        <v>2696</v>
      </c>
    </row>
    <row r="115" spans="1:11" ht="252">
      <c r="A115">
        <v>116</v>
      </c>
      <c r="B115" t="s">
        <v>514</v>
      </c>
      <c r="C115" t="s">
        <v>515</v>
      </c>
      <c r="D115" s="3" t="s">
        <v>516</v>
      </c>
      <c r="E115" t="s">
        <v>138</v>
      </c>
      <c r="F115" s="3" t="s">
        <v>517</v>
      </c>
      <c r="G115">
        <v>2022</v>
      </c>
      <c r="H115" s="1" t="str">
        <f>HYPERLINK("http://dx.doi.org/10.3390/plants11010121","http://dx.doi.org/10.3390/plants11010121")</f>
        <v>http://dx.doi.org/10.3390/plants11010121</v>
      </c>
      <c r="I115" s="2" t="s">
        <v>2697</v>
      </c>
    </row>
    <row r="116" spans="1:11" ht="371">
      <c r="A116">
        <v>117</v>
      </c>
      <c r="B116" t="s">
        <v>518</v>
      </c>
      <c r="C116" t="s">
        <v>519</v>
      </c>
      <c r="D116" s="3" t="s">
        <v>520</v>
      </c>
      <c r="E116" t="s">
        <v>521</v>
      </c>
      <c r="F116" s="3" t="s">
        <v>522</v>
      </c>
      <c r="G116">
        <v>2022</v>
      </c>
      <c r="H116" s="1" t="str">
        <f>HYPERLINK("http://dx.doi.org/10.3390/rs14020316","http://dx.doi.org/10.3390/rs14020316")</f>
        <v>http://dx.doi.org/10.3390/rs14020316</v>
      </c>
      <c r="I116" s="2" t="s">
        <v>2697</v>
      </c>
    </row>
    <row r="117" spans="1:11" ht="238" hidden="1">
      <c r="A117">
        <v>118</v>
      </c>
      <c r="B117" t="s">
        <v>523</v>
      </c>
      <c r="C117" t="s">
        <v>524</v>
      </c>
      <c r="D117" s="3" t="s">
        <v>525</v>
      </c>
      <c r="E117" t="s">
        <v>488</v>
      </c>
      <c r="F117" s="3" t="s">
        <v>526</v>
      </c>
      <c r="G117">
        <v>2022</v>
      </c>
      <c r="H117" s="1" t="str">
        <f>HYPERLINK("http://dx.doi.org/10.1109/ACCESS.2022.3165211","http://dx.doi.org/10.1109/ACCESS.2022.3165211")</f>
        <v>http://dx.doi.org/10.1109/ACCESS.2022.3165211</v>
      </c>
      <c r="I117" s="2" t="s">
        <v>2696</v>
      </c>
    </row>
    <row r="118" spans="1:11" ht="397">
      <c r="A118">
        <v>119</v>
      </c>
      <c r="B118" t="s">
        <v>527</v>
      </c>
      <c r="C118" t="s">
        <v>528</v>
      </c>
      <c r="D118" s="3" t="s">
        <v>529</v>
      </c>
      <c r="E118" t="s">
        <v>530</v>
      </c>
      <c r="F118" s="3" t="s">
        <v>531</v>
      </c>
      <c r="G118">
        <v>2022</v>
      </c>
      <c r="H118" s="1" t="str">
        <f>HYPERLINK("http://dx.doi.org/10.2503/hortj.UTD-272","http://dx.doi.org/10.2503/hortj.UTD-272")</f>
        <v>http://dx.doi.org/10.2503/hortj.UTD-272</v>
      </c>
      <c r="I118" s="2" t="s">
        <v>2697</v>
      </c>
    </row>
    <row r="119" spans="1:11" ht="319">
      <c r="A119">
        <v>120</v>
      </c>
      <c r="B119" t="s">
        <v>532</v>
      </c>
      <c r="C119" t="s">
        <v>533</v>
      </c>
      <c r="D119" s="3" t="s">
        <v>534</v>
      </c>
      <c r="E119" t="s">
        <v>535</v>
      </c>
      <c r="F119" s="3" t="s">
        <v>536</v>
      </c>
      <c r="G119">
        <v>2022</v>
      </c>
      <c r="H119" s="1" t="str">
        <f>HYPERLINK("http://dx.doi.org/10.3991/ijoe.v18i07.25467","http://dx.doi.org/10.3991/ijoe.v18i07.25467")</f>
        <v>http://dx.doi.org/10.3991/ijoe.v18i07.25467</v>
      </c>
      <c r="I119" s="2" t="s">
        <v>2697</v>
      </c>
    </row>
    <row r="120" spans="1:11" ht="266" hidden="1">
      <c r="A120">
        <v>121</v>
      </c>
      <c r="B120" t="s">
        <v>537</v>
      </c>
      <c r="C120" t="s">
        <v>538</v>
      </c>
      <c r="D120" s="3" t="s">
        <v>539</v>
      </c>
      <c r="E120" t="s">
        <v>74</v>
      </c>
      <c r="F120" s="3" t="s">
        <v>540</v>
      </c>
      <c r="G120">
        <v>2022</v>
      </c>
      <c r="H120" s="1" t="str">
        <f>HYPERLINK("http://dx.doi.org/10.3390/su14021042","http://dx.doi.org/10.3390/su14021042")</f>
        <v>http://dx.doi.org/10.3390/su14021042</v>
      </c>
      <c r="I120" s="2" t="s">
        <v>2698</v>
      </c>
    </row>
    <row r="121" spans="1:11" ht="210" hidden="1">
      <c r="A121">
        <v>122</v>
      </c>
      <c r="B121" t="s">
        <v>541</v>
      </c>
      <c r="C121" t="s">
        <v>542</v>
      </c>
      <c r="D121" s="3" t="s">
        <v>543</v>
      </c>
      <c r="E121" t="s">
        <v>544</v>
      </c>
      <c r="F121" s="3" t="s">
        <v>545</v>
      </c>
      <c r="G121">
        <v>2022</v>
      </c>
      <c r="H121" s="1" t="str">
        <f>HYPERLINK("http://dx.doi.org/10.3390/s22010147","http://dx.doi.org/10.3390/s22010147")</f>
        <v>http://dx.doi.org/10.3390/s22010147</v>
      </c>
      <c r="I121" s="2" t="s">
        <v>2696</v>
      </c>
    </row>
    <row r="122" spans="1:11" ht="384">
      <c r="A122">
        <v>123</v>
      </c>
      <c r="B122" t="s">
        <v>546</v>
      </c>
      <c r="C122" t="s">
        <v>547</v>
      </c>
      <c r="D122" s="3" t="s">
        <v>548</v>
      </c>
      <c r="E122" t="s">
        <v>40</v>
      </c>
      <c r="F122" s="3" t="s">
        <v>549</v>
      </c>
      <c r="G122">
        <v>2022</v>
      </c>
      <c r="H122" s="1" t="str">
        <f>HYPERLINK("http://dx.doi.org/10.1371/journal.pone.0265994","http://dx.doi.org/10.1371/journal.pone.0265994")</f>
        <v>http://dx.doi.org/10.1371/journal.pone.0265994</v>
      </c>
      <c r="I122" s="2" t="s">
        <v>2697</v>
      </c>
    </row>
    <row r="123" spans="1:11" ht="168" hidden="1">
      <c r="A123">
        <v>124</v>
      </c>
      <c r="B123" t="s">
        <v>550</v>
      </c>
      <c r="C123" t="s">
        <v>551</v>
      </c>
      <c r="D123" s="3" t="s">
        <v>552</v>
      </c>
      <c r="E123" t="s">
        <v>553</v>
      </c>
      <c r="F123" s="3" t="s">
        <v>554</v>
      </c>
      <c r="G123">
        <v>2022</v>
      </c>
      <c r="H123" s="1" t="str">
        <f>HYPERLINK("http://dx.doi.org/10.36253/techne-12139","http://dx.doi.org/10.36253/techne-12139")</f>
        <v>http://dx.doi.org/10.36253/techne-12139</v>
      </c>
      <c r="I123" s="2" t="s">
        <v>2699</v>
      </c>
      <c r="J123" s="2" t="s">
        <v>2698</v>
      </c>
    </row>
    <row r="124" spans="1:11" ht="238" hidden="1">
      <c r="A124">
        <v>125</v>
      </c>
      <c r="B124" t="s">
        <v>555</v>
      </c>
      <c r="C124" t="s">
        <v>556</v>
      </c>
      <c r="D124" s="3" t="s">
        <v>557</v>
      </c>
      <c r="E124" t="s">
        <v>558</v>
      </c>
      <c r="F124" s="3" t="s">
        <v>559</v>
      </c>
      <c r="G124">
        <v>2022</v>
      </c>
      <c r="H124" s="1" t="str">
        <f>HYPERLINK("http://dx.doi.org/10.3233/JIFS-219170","http://dx.doi.org/10.3233/JIFS-219170")</f>
        <v>http://dx.doi.org/10.3233/JIFS-219170</v>
      </c>
      <c r="I124" s="2" t="s">
        <v>2696</v>
      </c>
    </row>
    <row r="125" spans="1:11" ht="252" hidden="1">
      <c r="A125">
        <v>126</v>
      </c>
      <c r="B125" t="s">
        <v>560</v>
      </c>
      <c r="C125" t="s">
        <v>561</v>
      </c>
      <c r="D125" s="3" t="s">
        <v>562</v>
      </c>
      <c r="E125" t="s">
        <v>69</v>
      </c>
      <c r="F125" s="3" t="s">
        <v>563</v>
      </c>
      <c r="G125">
        <v>2022</v>
      </c>
      <c r="H125" s="1" t="str">
        <f>HYPERLINK("http://dx.doi.org/10.3390/agronomy12010002","http://dx.doi.org/10.3390/agronomy12010002")</f>
        <v>http://dx.doi.org/10.3390/agronomy12010002</v>
      </c>
      <c r="I125" s="2" t="s">
        <v>2696</v>
      </c>
      <c r="J125" s="2" t="s">
        <v>2699</v>
      </c>
      <c r="K125" s="2" t="s">
        <v>2698</v>
      </c>
    </row>
    <row r="126" spans="1:11" ht="319">
      <c r="A126">
        <v>127</v>
      </c>
      <c r="B126" t="s">
        <v>290</v>
      </c>
      <c r="C126" t="s">
        <v>291</v>
      </c>
      <c r="D126" s="3" t="s">
        <v>564</v>
      </c>
      <c r="E126" t="s">
        <v>69</v>
      </c>
      <c r="F126" s="3" t="s">
        <v>565</v>
      </c>
      <c r="G126">
        <v>2022</v>
      </c>
      <c r="H126" s="1" t="str">
        <f>HYPERLINK("http://dx.doi.org/10.3390/agronomy12010024","http://dx.doi.org/10.3390/agronomy12010024")</f>
        <v>http://dx.doi.org/10.3390/agronomy12010024</v>
      </c>
      <c r="I126" s="2" t="s">
        <v>2697</v>
      </c>
    </row>
    <row r="127" spans="1:11" ht="238" hidden="1">
      <c r="A127">
        <v>128</v>
      </c>
      <c r="B127" t="s">
        <v>566</v>
      </c>
      <c r="C127" t="s">
        <v>567</v>
      </c>
      <c r="D127" s="3" t="s">
        <v>568</v>
      </c>
      <c r="E127" t="s">
        <v>478</v>
      </c>
      <c r="F127" s="3" t="s">
        <v>569</v>
      </c>
      <c r="G127">
        <v>2022</v>
      </c>
      <c r="H127" s="1" t="str">
        <f>HYPERLINK("http://dx.doi.org/10.2480/agrmet.D-21-00040","http://dx.doi.org/10.2480/agrmet.D-21-00040")</f>
        <v>http://dx.doi.org/10.2480/agrmet.D-21-00040</v>
      </c>
      <c r="I127" s="2" t="s">
        <v>2696</v>
      </c>
    </row>
    <row r="128" spans="1:11" ht="196">
      <c r="A128">
        <v>129</v>
      </c>
      <c r="B128" t="s">
        <v>570</v>
      </c>
      <c r="C128" t="s">
        <v>571</v>
      </c>
      <c r="D128" s="3" t="s">
        <v>572</v>
      </c>
      <c r="E128" t="s">
        <v>573</v>
      </c>
      <c r="F128" s="3" t="s">
        <v>574</v>
      </c>
      <c r="G128">
        <v>2022</v>
      </c>
      <c r="H128" s="1" t="str">
        <f>HYPERLINK("http://dx.doi.org/10.6180/jase.202210_25(5).0009","http://dx.doi.org/10.6180/jase.202210_25(5).0009")</f>
        <v>http://dx.doi.org/10.6180/jase.202210_25(5).0009</v>
      </c>
      <c r="I128" s="2" t="s">
        <v>2697</v>
      </c>
    </row>
    <row r="129" spans="1:11" ht="409.6">
      <c r="A129">
        <v>130</v>
      </c>
      <c r="B129" t="s">
        <v>575</v>
      </c>
      <c r="C129" t="s">
        <v>576</v>
      </c>
      <c r="D129" s="3" t="s">
        <v>577</v>
      </c>
      <c r="E129" t="s">
        <v>129</v>
      </c>
      <c r="F129" s="3" t="s">
        <v>578</v>
      </c>
      <c r="G129">
        <v>2022</v>
      </c>
      <c r="H129" s="1" t="str">
        <f>HYPERLINK("http://dx.doi.org/10.3390/biology11010151","http://dx.doi.org/10.3390/biology11010151")</f>
        <v>http://dx.doi.org/10.3390/biology11010151</v>
      </c>
      <c r="I129" s="2" t="s">
        <v>2697</v>
      </c>
    </row>
    <row r="130" spans="1:11" ht="371">
      <c r="A130">
        <v>131</v>
      </c>
      <c r="B130" t="s">
        <v>579</v>
      </c>
      <c r="C130" t="s">
        <v>580</v>
      </c>
      <c r="D130" s="3" t="s">
        <v>581</v>
      </c>
      <c r="E130" t="s">
        <v>169</v>
      </c>
      <c r="F130" s="3" t="s">
        <v>582</v>
      </c>
      <c r="G130">
        <v>2021</v>
      </c>
      <c r="H130" s="1" t="str">
        <f>HYPERLINK("http://dx.doi.org/10.3389/fpls.2021.786555","http://dx.doi.org/10.3389/fpls.2021.786555")</f>
        <v>http://dx.doi.org/10.3389/fpls.2021.786555</v>
      </c>
      <c r="I130" s="2" t="s">
        <v>2697</v>
      </c>
    </row>
    <row r="131" spans="1:11" ht="358">
      <c r="A131">
        <v>132</v>
      </c>
      <c r="B131" t="s">
        <v>583</v>
      </c>
      <c r="C131" t="s">
        <v>584</v>
      </c>
      <c r="D131" s="3" t="s">
        <v>585</v>
      </c>
      <c r="E131" t="s">
        <v>169</v>
      </c>
      <c r="F131" s="3" t="s">
        <v>586</v>
      </c>
      <c r="G131">
        <v>2021</v>
      </c>
      <c r="H131" s="1" t="str">
        <f>HYPERLINK("http://dx.doi.org/10.3389/fpls.2021.799376","http://dx.doi.org/10.3389/fpls.2021.799376")</f>
        <v>http://dx.doi.org/10.3389/fpls.2021.799376</v>
      </c>
      <c r="I131" s="2" t="s">
        <v>2697</v>
      </c>
    </row>
    <row r="132" spans="1:11" ht="266" hidden="1">
      <c r="A132">
        <v>133</v>
      </c>
      <c r="B132" t="s">
        <v>587</v>
      </c>
      <c r="C132" t="s">
        <v>588</v>
      </c>
      <c r="D132" s="3" t="s">
        <v>589</v>
      </c>
      <c r="E132" t="s">
        <v>590</v>
      </c>
      <c r="F132" s="3" t="s">
        <v>591</v>
      </c>
      <c r="G132">
        <v>2022</v>
      </c>
      <c r="H132" s="1" t="str">
        <f>HYPERLINK("http://dx.doi.org/10.1111/joss.12728","http://dx.doi.org/10.1111/joss.12728")</f>
        <v>http://dx.doi.org/10.1111/joss.12728</v>
      </c>
      <c r="I132" s="2" t="s">
        <v>2699</v>
      </c>
    </row>
    <row r="133" spans="1:11" ht="266">
      <c r="A133">
        <v>134</v>
      </c>
      <c r="B133" t="s">
        <v>592</v>
      </c>
      <c r="C133" t="s">
        <v>593</v>
      </c>
      <c r="D133" s="3" t="s">
        <v>594</v>
      </c>
      <c r="E133" t="s">
        <v>183</v>
      </c>
      <c r="F133" s="3" t="s">
        <v>595</v>
      </c>
      <c r="G133">
        <v>2022</v>
      </c>
      <c r="H133" s="1" t="str">
        <f>HYPERLINK("http://dx.doi.org/10.1016/j.scienta.2021.110802","http://dx.doi.org/10.1016/j.scienta.2021.110802")</f>
        <v>http://dx.doi.org/10.1016/j.scienta.2021.110802</v>
      </c>
      <c r="I133" s="2" t="s">
        <v>2697</v>
      </c>
    </row>
    <row r="134" spans="1:11" ht="182" hidden="1">
      <c r="A134">
        <v>135</v>
      </c>
      <c r="B134" t="s">
        <v>596</v>
      </c>
      <c r="C134" t="s">
        <v>597</v>
      </c>
      <c r="D134" s="3" t="s">
        <v>598</v>
      </c>
      <c r="E134" t="s">
        <v>599</v>
      </c>
      <c r="F134" s="3" t="s">
        <v>600</v>
      </c>
      <c r="G134">
        <v>2021</v>
      </c>
      <c r="H134" s="1" t="str">
        <f>HYPERLINK("http://dx.doi.org/10.1080/19463138.2021.2013849","http://dx.doi.org/10.1080/19463138.2021.2013849")</f>
        <v>http://dx.doi.org/10.1080/19463138.2021.2013849</v>
      </c>
      <c r="I134" s="2" t="s">
        <v>2699</v>
      </c>
    </row>
    <row r="135" spans="1:11" ht="280">
      <c r="A135">
        <v>136</v>
      </c>
      <c r="B135" t="s">
        <v>601</v>
      </c>
      <c r="C135" t="s">
        <v>602</v>
      </c>
      <c r="D135" s="3" t="s">
        <v>603</v>
      </c>
      <c r="E135" t="s">
        <v>394</v>
      </c>
      <c r="F135" s="3" t="s">
        <v>604</v>
      </c>
      <c r="G135">
        <v>2021</v>
      </c>
      <c r="H135" s="1" t="str">
        <f>HYPERLINK("http://dx.doi.org/10.1038/s43016-021-00402-w","http://dx.doi.org/10.1038/s43016-021-00402-w")</f>
        <v>http://dx.doi.org/10.1038/s43016-021-00402-w</v>
      </c>
      <c r="I135" s="2" t="s">
        <v>2697</v>
      </c>
      <c r="J135" s="2" t="s">
        <v>2699</v>
      </c>
      <c r="K135" s="2" t="s">
        <v>2696</v>
      </c>
    </row>
    <row r="136" spans="1:11" ht="224" hidden="1">
      <c r="A136">
        <v>137</v>
      </c>
      <c r="B136" t="s">
        <v>605</v>
      </c>
      <c r="C136" t="s">
        <v>606</v>
      </c>
      <c r="D136" s="3" t="s">
        <v>607</v>
      </c>
      <c r="E136" t="s">
        <v>69</v>
      </c>
      <c r="F136" s="3" t="s">
        <v>608</v>
      </c>
      <c r="G136">
        <v>2021</v>
      </c>
      <c r="H136" s="1" t="str">
        <f>HYPERLINK("http://dx.doi.org/10.3390/agronomy11122570","http://dx.doi.org/10.3390/agronomy11122570")</f>
        <v>http://dx.doi.org/10.3390/agronomy11122570</v>
      </c>
      <c r="I136" s="2" t="s">
        <v>2696</v>
      </c>
    </row>
    <row r="137" spans="1:11" ht="182" hidden="1">
      <c r="A137">
        <v>138</v>
      </c>
      <c r="B137" t="s">
        <v>609</v>
      </c>
      <c r="C137" t="s">
        <v>610</v>
      </c>
      <c r="D137" s="3" t="s">
        <v>611</v>
      </c>
      <c r="E137" t="s">
        <v>612</v>
      </c>
      <c r="F137" s="3" t="s">
        <v>613</v>
      </c>
      <c r="G137">
        <v>2021</v>
      </c>
      <c r="H137" s="1" t="str">
        <f>HYPERLINK("http://dx.doi.org/10.3390/inventions6040068","http://dx.doi.org/10.3390/inventions6040068")</f>
        <v>http://dx.doi.org/10.3390/inventions6040068</v>
      </c>
      <c r="I137" s="2" t="s">
        <v>2696</v>
      </c>
    </row>
    <row r="138" spans="1:11" ht="409.6">
      <c r="A138">
        <v>139</v>
      </c>
      <c r="B138" t="s">
        <v>614</v>
      </c>
      <c r="C138" t="s">
        <v>615</v>
      </c>
      <c r="D138" s="3" t="s">
        <v>616</v>
      </c>
      <c r="E138" t="s">
        <v>413</v>
      </c>
      <c r="F138" s="3" t="s">
        <v>617</v>
      </c>
      <c r="G138">
        <v>2021</v>
      </c>
      <c r="H138" s="1" t="str">
        <f>HYPERLINK("http://dx.doi.org/10.21273/HORTSCI16189-21","http://dx.doi.org/10.21273/HORTSCI16189-21")</f>
        <v>http://dx.doi.org/10.21273/HORTSCI16189-21</v>
      </c>
      <c r="I138" s="2" t="s">
        <v>2697</v>
      </c>
    </row>
    <row r="139" spans="1:11" ht="306">
      <c r="A139">
        <v>140</v>
      </c>
      <c r="B139" t="s">
        <v>618</v>
      </c>
      <c r="C139" t="s">
        <v>619</v>
      </c>
      <c r="D139" s="3" t="s">
        <v>620</v>
      </c>
      <c r="E139" t="s">
        <v>231</v>
      </c>
      <c r="F139" s="3" t="s">
        <v>621</v>
      </c>
      <c r="G139">
        <v>2021</v>
      </c>
      <c r="H139" s="1" t="str">
        <f>HYPERLINK("http://dx.doi.org/10.17660/eJHS.2021/86.6.2","http://dx.doi.org/10.17660/eJHS.2021/86.6.2")</f>
        <v>http://dx.doi.org/10.17660/eJHS.2021/86.6.2</v>
      </c>
      <c r="I139" s="2" t="s">
        <v>2697</v>
      </c>
    </row>
    <row r="140" spans="1:11" ht="224">
      <c r="A140">
        <v>141</v>
      </c>
      <c r="B140" t="s">
        <v>622</v>
      </c>
      <c r="C140" t="s">
        <v>623</v>
      </c>
      <c r="D140" s="3" t="s">
        <v>624</v>
      </c>
      <c r="E140" t="s">
        <v>625</v>
      </c>
      <c r="F140" s="3" t="s">
        <v>626</v>
      </c>
      <c r="G140">
        <v>2021</v>
      </c>
      <c r="H140" s="1" t="str">
        <f>HYPERLINK("http://dx.doi.org/10.3390/molecules26237405","http://dx.doi.org/10.3390/molecules26237405")</f>
        <v>http://dx.doi.org/10.3390/molecules26237405</v>
      </c>
      <c r="I140" s="2" t="s">
        <v>2697</v>
      </c>
    </row>
    <row r="141" spans="1:11" ht="409.6">
      <c r="A141">
        <v>142</v>
      </c>
      <c r="B141" t="s">
        <v>627</v>
      </c>
      <c r="C141" t="s">
        <v>628</v>
      </c>
      <c r="D141" s="3" t="s">
        <v>629</v>
      </c>
      <c r="E141" t="s">
        <v>74</v>
      </c>
      <c r="F141" s="3" t="s">
        <v>630</v>
      </c>
      <c r="G141">
        <v>2021</v>
      </c>
      <c r="H141" s="1" t="str">
        <f>HYPERLINK("http://dx.doi.org/10.3390/su132313288","http://dx.doi.org/10.3390/su132313288")</f>
        <v>http://dx.doi.org/10.3390/su132313288</v>
      </c>
      <c r="I141" s="2" t="s">
        <v>2697</v>
      </c>
    </row>
    <row r="142" spans="1:11" ht="409.6" hidden="1">
      <c r="A142">
        <v>143</v>
      </c>
      <c r="B142" t="s">
        <v>631</v>
      </c>
      <c r="C142" t="s">
        <v>632</v>
      </c>
      <c r="D142" s="3" t="s">
        <v>633</v>
      </c>
      <c r="E142" t="s">
        <v>202</v>
      </c>
      <c r="F142" s="3" t="s">
        <v>634</v>
      </c>
      <c r="G142">
        <v>2021</v>
      </c>
      <c r="H142" s="1" t="str">
        <f>HYPERLINK("http://dx.doi.org/10.3389/fsufs.2021.787281","http://dx.doi.org/10.3389/fsufs.2021.787281")</f>
        <v>http://dx.doi.org/10.3389/fsufs.2021.787281</v>
      </c>
      <c r="I142" s="2" t="s">
        <v>2699</v>
      </c>
    </row>
    <row r="143" spans="1:11" ht="409.6">
      <c r="A143">
        <v>144</v>
      </c>
      <c r="B143" t="s">
        <v>635</v>
      </c>
      <c r="C143" t="s">
        <v>636</v>
      </c>
      <c r="D143" s="3" t="s">
        <v>637</v>
      </c>
      <c r="E143" t="s">
        <v>169</v>
      </c>
      <c r="F143" s="3" t="s">
        <v>638</v>
      </c>
      <c r="G143">
        <v>2021</v>
      </c>
      <c r="H143" s="1" t="str">
        <f>HYPERLINK("http://dx.doi.org/10.3389/fpls.2021.761068","http://dx.doi.org/10.3389/fpls.2021.761068")</f>
        <v>http://dx.doi.org/10.3389/fpls.2021.761068</v>
      </c>
      <c r="I143" s="2" t="s">
        <v>2697</v>
      </c>
    </row>
    <row r="144" spans="1:11" ht="293" hidden="1">
      <c r="A144">
        <v>145</v>
      </c>
      <c r="B144" t="s">
        <v>639</v>
      </c>
      <c r="C144" t="s">
        <v>640</v>
      </c>
      <c r="D144" s="3" t="s">
        <v>641</v>
      </c>
      <c r="E144" t="s">
        <v>642</v>
      </c>
      <c r="F144" s="3" t="s">
        <v>643</v>
      </c>
      <c r="G144">
        <v>2022</v>
      </c>
      <c r="H144" s="1" t="str">
        <f>HYPERLINK("http://dx.doi.org/10.1016/j.foodqual.2021.104422","http://dx.doi.org/10.1016/j.foodqual.2021.104422")</f>
        <v>http://dx.doi.org/10.1016/j.foodqual.2021.104422</v>
      </c>
      <c r="I144" s="2" t="s">
        <v>2699</v>
      </c>
    </row>
    <row r="145" spans="1:10" ht="238" hidden="1">
      <c r="A145">
        <v>146</v>
      </c>
      <c r="B145" t="s">
        <v>644</v>
      </c>
      <c r="C145" t="s">
        <v>645</v>
      </c>
      <c r="D145" s="3" t="s">
        <v>646</v>
      </c>
      <c r="E145" t="s">
        <v>169</v>
      </c>
      <c r="F145" s="3" t="s">
        <v>647</v>
      </c>
      <c r="G145">
        <v>2021</v>
      </c>
      <c r="H145" s="1" t="str">
        <f>HYPERLINK("http://dx.doi.org/10.3389/fpls.2021.768717","http://dx.doi.org/10.3389/fpls.2021.768717")</f>
        <v>http://dx.doi.org/10.3389/fpls.2021.768717</v>
      </c>
      <c r="I145" s="2" t="s">
        <v>2698</v>
      </c>
    </row>
    <row r="146" spans="1:10" ht="358">
      <c r="A146">
        <v>147</v>
      </c>
      <c r="B146" t="s">
        <v>648</v>
      </c>
      <c r="C146" t="s">
        <v>649</v>
      </c>
      <c r="D146" s="3" t="s">
        <v>650</v>
      </c>
      <c r="E146" t="s">
        <v>651</v>
      </c>
      <c r="F146" s="3" t="s">
        <v>652</v>
      </c>
      <c r="G146">
        <v>2021</v>
      </c>
      <c r="H146" s="1" t="str">
        <f>HYPERLINK("http://dx.doi.org/10.3389/fspas.2021.759641","http://dx.doi.org/10.3389/fspas.2021.759641")</f>
        <v>http://dx.doi.org/10.3389/fspas.2021.759641</v>
      </c>
      <c r="I146" s="2" t="s">
        <v>2697</v>
      </c>
    </row>
    <row r="147" spans="1:10" ht="384" hidden="1">
      <c r="A147">
        <v>148</v>
      </c>
      <c r="B147" t="s">
        <v>653</v>
      </c>
      <c r="C147" t="s">
        <v>654</v>
      </c>
      <c r="D147" s="3" t="s">
        <v>655</v>
      </c>
      <c r="E147" t="s">
        <v>656</v>
      </c>
      <c r="F147" s="3" t="s">
        <v>657</v>
      </c>
      <c r="G147">
        <v>2021</v>
      </c>
      <c r="H147" s="1" t="str">
        <f>HYPERLINK("http://dx.doi.org/10.1016/j.foodres.2021.110811","http://dx.doi.org/10.1016/j.foodres.2021.110811")</f>
        <v>http://dx.doi.org/10.1016/j.foodres.2021.110811</v>
      </c>
      <c r="I147" s="2" t="s">
        <v>2699</v>
      </c>
    </row>
    <row r="148" spans="1:10" ht="358">
      <c r="A148">
        <v>149</v>
      </c>
      <c r="B148" t="s">
        <v>328</v>
      </c>
      <c r="C148" t="s">
        <v>329</v>
      </c>
      <c r="D148" s="3" t="s">
        <v>658</v>
      </c>
      <c r="E148" t="s">
        <v>659</v>
      </c>
      <c r="F148" s="3" t="s">
        <v>660</v>
      </c>
      <c r="G148">
        <v>2022</v>
      </c>
      <c r="H148" s="1" t="str">
        <f>HYPERLINK("http://dx.doi.org/10.1016/j.indcrop.2021.114239","http://dx.doi.org/10.1016/j.indcrop.2021.114239")</f>
        <v>http://dx.doi.org/10.1016/j.indcrop.2021.114239</v>
      </c>
      <c r="I148" s="2" t="s">
        <v>2697</v>
      </c>
    </row>
    <row r="149" spans="1:10" ht="371" hidden="1">
      <c r="A149">
        <v>150</v>
      </c>
      <c r="B149" t="s">
        <v>661</v>
      </c>
      <c r="C149" t="s">
        <v>662</v>
      </c>
      <c r="D149" s="3" t="s">
        <v>663</v>
      </c>
      <c r="E149" t="s">
        <v>169</v>
      </c>
      <c r="F149" s="3" t="s">
        <v>664</v>
      </c>
      <c r="G149">
        <v>2021</v>
      </c>
      <c r="H149" s="1" t="str">
        <f>HYPERLINK("http://dx.doi.org/10.3389/fpls.2021.721512","http://dx.doi.org/10.3389/fpls.2021.721512")</f>
        <v>http://dx.doi.org/10.3389/fpls.2021.721512</v>
      </c>
      <c r="I149" s="2" t="s">
        <v>2696</v>
      </c>
    </row>
    <row r="150" spans="1:10" ht="371">
      <c r="A150">
        <v>151</v>
      </c>
      <c r="B150" t="s">
        <v>665</v>
      </c>
      <c r="C150" t="s">
        <v>666</v>
      </c>
      <c r="D150" s="3" t="s">
        <v>667</v>
      </c>
      <c r="E150" t="s">
        <v>668</v>
      </c>
      <c r="F150" s="3" t="s">
        <v>669</v>
      </c>
      <c r="G150">
        <v>2021</v>
      </c>
      <c r="H150" s="1" t="str">
        <f>HYPERLINK("http://dx.doi.org/10.1016/j.hpj.2020.05.007","http://dx.doi.org/10.1016/j.hpj.2020.05.007")</f>
        <v>http://dx.doi.org/10.1016/j.hpj.2020.05.007</v>
      </c>
      <c r="I150" s="2" t="s">
        <v>2697</v>
      </c>
    </row>
    <row r="151" spans="1:10" ht="280">
      <c r="A151">
        <v>152</v>
      </c>
      <c r="B151" t="s">
        <v>670</v>
      </c>
      <c r="C151" t="s">
        <v>671</v>
      </c>
      <c r="D151" s="3" t="s">
        <v>672</v>
      </c>
      <c r="E151" t="s">
        <v>673</v>
      </c>
      <c r="F151" s="3" t="s">
        <v>674</v>
      </c>
      <c r="G151">
        <v>2021</v>
      </c>
      <c r="H151" s="1" t="str">
        <f>HYPERLINK("http://dx.doi.org/10.1002/agj2.20838","http://dx.doi.org/10.1002/agj2.20838")</f>
        <v>http://dx.doi.org/10.1002/agj2.20838</v>
      </c>
      <c r="I151" s="2" t="s">
        <v>2697</v>
      </c>
    </row>
    <row r="152" spans="1:10" ht="280">
      <c r="A152">
        <v>153</v>
      </c>
      <c r="B152" t="s">
        <v>675</v>
      </c>
      <c r="C152" t="s">
        <v>676</v>
      </c>
      <c r="D152" s="3" t="s">
        <v>677</v>
      </c>
      <c r="E152" t="s">
        <v>678</v>
      </c>
      <c r="F152" s="3" t="s">
        <v>679</v>
      </c>
      <c r="G152">
        <v>2021</v>
      </c>
      <c r="H152" s="1" t="str">
        <f>HYPERLINK("http://dx.doi.org/10.1080/02827581.2021.1996627","http://dx.doi.org/10.1080/02827581.2021.1996627")</f>
        <v>http://dx.doi.org/10.1080/02827581.2021.1996627</v>
      </c>
      <c r="I152" s="2" t="s">
        <v>2697</v>
      </c>
    </row>
    <row r="153" spans="1:10" ht="293" hidden="1">
      <c r="A153">
        <v>154</v>
      </c>
      <c r="B153" t="s">
        <v>680</v>
      </c>
      <c r="C153" t="s">
        <v>681</v>
      </c>
      <c r="D153" s="3" t="s">
        <v>682</v>
      </c>
      <c r="E153" t="s">
        <v>74</v>
      </c>
      <c r="F153" s="3" t="s">
        <v>683</v>
      </c>
      <c r="G153">
        <v>2021</v>
      </c>
      <c r="H153" s="1" t="str">
        <f>HYPERLINK("http://dx.doi.org/10.3390/su132212553","http://dx.doi.org/10.3390/su132212553")</f>
        <v>http://dx.doi.org/10.3390/su132212553</v>
      </c>
      <c r="I153" s="2" t="s">
        <v>2699</v>
      </c>
    </row>
    <row r="154" spans="1:10" ht="252" hidden="1">
      <c r="A154">
        <v>155</v>
      </c>
      <c r="B154" t="s">
        <v>684</v>
      </c>
      <c r="C154" t="s">
        <v>685</v>
      </c>
      <c r="D154" s="3" t="s">
        <v>686</v>
      </c>
      <c r="E154" t="s">
        <v>240</v>
      </c>
      <c r="F154" s="3" t="s">
        <v>687</v>
      </c>
      <c r="G154">
        <v>2021</v>
      </c>
      <c r="H154" s="1" t="str">
        <f>HYPERLINK("http://dx.doi.org/10.3390/agriculture11111126","http://dx.doi.org/10.3390/agriculture11111126")</f>
        <v>http://dx.doi.org/10.3390/agriculture11111126</v>
      </c>
      <c r="I154" s="2" t="s">
        <v>2696</v>
      </c>
    </row>
    <row r="155" spans="1:10" ht="293">
      <c r="A155">
        <v>156</v>
      </c>
      <c r="B155" t="s">
        <v>688</v>
      </c>
      <c r="C155" t="s">
        <v>689</v>
      </c>
      <c r="D155" s="3" t="s">
        <v>690</v>
      </c>
      <c r="E155" t="s">
        <v>45</v>
      </c>
      <c r="F155" s="3" t="s">
        <v>691</v>
      </c>
      <c r="G155">
        <v>2021</v>
      </c>
      <c r="H155" s="1" t="str">
        <f>HYPERLINK("http://dx.doi.org/10.3390/horticulturae7110444","http://dx.doi.org/10.3390/horticulturae7110444")</f>
        <v>http://dx.doi.org/10.3390/horticulturae7110444</v>
      </c>
      <c r="I155" s="2" t="s">
        <v>2697</v>
      </c>
    </row>
    <row r="156" spans="1:10" ht="280">
      <c r="A156">
        <v>157</v>
      </c>
      <c r="B156" t="s">
        <v>692</v>
      </c>
      <c r="C156" t="s">
        <v>693</v>
      </c>
      <c r="D156" s="3" t="s">
        <v>694</v>
      </c>
      <c r="E156" t="s">
        <v>69</v>
      </c>
      <c r="F156" s="3" t="s">
        <v>695</v>
      </c>
      <c r="G156">
        <v>2021</v>
      </c>
      <c r="H156" s="1" t="str">
        <f>HYPERLINK("http://dx.doi.org/10.3390/agronomy11112111","http://dx.doi.org/10.3390/agronomy11112111")</f>
        <v>http://dx.doi.org/10.3390/agronomy11112111</v>
      </c>
      <c r="I156" s="2" t="s">
        <v>2697</v>
      </c>
    </row>
    <row r="157" spans="1:10" ht="252" hidden="1">
      <c r="A157">
        <v>158</v>
      </c>
      <c r="B157" t="s">
        <v>696</v>
      </c>
      <c r="C157" t="s">
        <v>697</v>
      </c>
      <c r="D157" s="3" t="s">
        <v>698</v>
      </c>
      <c r="E157" t="s">
        <v>69</v>
      </c>
      <c r="F157" s="3" t="s">
        <v>699</v>
      </c>
      <c r="G157">
        <v>2021</v>
      </c>
      <c r="H157" s="1" t="str">
        <f>HYPERLINK("http://dx.doi.org/10.3390/agronomy11112128","http://dx.doi.org/10.3390/agronomy11112128")</f>
        <v>http://dx.doi.org/10.3390/agronomy11112128</v>
      </c>
      <c r="I157" s="2" t="s">
        <v>2699</v>
      </c>
    </row>
    <row r="158" spans="1:10" ht="306">
      <c r="A158">
        <v>159</v>
      </c>
      <c r="B158" t="s">
        <v>700</v>
      </c>
      <c r="C158" t="s">
        <v>701</v>
      </c>
      <c r="D158" s="3" t="s">
        <v>702</v>
      </c>
      <c r="E158" t="s">
        <v>143</v>
      </c>
      <c r="F158" s="3" t="s">
        <v>703</v>
      </c>
      <c r="G158">
        <v>2021</v>
      </c>
      <c r="H158" s="1" t="str">
        <f>HYPERLINK("http://dx.doi.org/10.3390/ijms222112019","http://dx.doi.org/10.3390/ijms222112019")</f>
        <v>http://dx.doi.org/10.3390/ijms222112019</v>
      </c>
      <c r="I158" s="2" t="s">
        <v>2697</v>
      </c>
    </row>
    <row r="159" spans="1:10" ht="224" hidden="1">
      <c r="A159">
        <v>160</v>
      </c>
      <c r="B159" t="s">
        <v>704</v>
      </c>
      <c r="C159" t="s">
        <v>705</v>
      </c>
      <c r="D159" s="3" t="s">
        <v>706</v>
      </c>
      <c r="E159" t="s">
        <v>707</v>
      </c>
      <c r="F159" s="3" t="s">
        <v>708</v>
      </c>
      <c r="G159">
        <v>2021</v>
      </c>
      <c r="H159" s="1" t="str">
        <f>HYPERLINK("http://dx.doi.org/10.3390/resources10110109","http://dx.doi.org/10.3390/resources10110109")</f>
        <v>http://dx.doi.org/10.3390/resources10110109</v>
      </c>
      <c r="I159" s="2" t="s">
        <v>2699</v>
      </c>
      <c r="J159" s="2" t="s">
        <v>2698</v>
      </c>
    </row>
    <row r="160" spans="1:10" ht="397">
      <c r="A160">
        <v>161</v>
      </c>
      <c r="B160" t="s">
        <v>709</v>
      </c>
      <c r="C160" t="s">
        <v>710</v>
      </c>
      <c r="D160" s="3" t="s">
        <v>711</v>
      </c>
      <c r="E160" t="s">
        <v>712</v>
      </c>
      <c r="F160" s="3" t="s">
        <v>713</v>
      </c>
      <c r="G160">
        <v>2022</v>
      </c>
      <c r="H160" s="1" t="str">
        <f>HYPERLINK("http://dx.doi.org/10.1016/j.scitotenv.2021.150621","http://dx.doi.org/10.1016/j.scitotenv.2021.150621")</f>
        <v>http://dx.doi.org/10.1016/j.scitotenv.2021.150621</v>
      </c>
      <c r="I160" s="2" t="s">
        <v>2697</v>
      </c>
      <c r="J160" s="2" t="s">
        <v>2698</v>
      </c>
    </row>
    <row r="161" spans="1:10" ht="293">
      <c r="A161">
        <v>162</v>
      </c>
      <c r="B161" t="s">
        <v>714</v>
      </c>
      <c r="C161" t="s">
        <v>715</v>
      </c>
      <c r="D161" s="3" t="s">
        <v>716</v>
      </c>
      <c r="E161" t="s">
        <v>138</v>
      </c>
      <c r="F161" s="3" t="s">
        <v>717</v>
      </c>
      <c r="G161">
        <v>2021</v>
      </c>
      <c r="H161" s="1" t="str">
        <f>HYPERLINK("http://dx.doi.org/10.3390/plants10102182","http://dx.doi.org/10.3390/plants10102182")</f>
        <v>http://dx.doi.org/10.3390/plants10102182</v>
      </c>
      <c r="I161" s="2" t="s">
        <v>2697</v>
      </c>
    </row>
    <row r="162" spans="1:10" ht="238" hidden="1">
      <c r="A162">
        <v>163</v>
      </c>
      <c r="B162" t="s">
        <v>718</v>
      </c>
      <c r="C162" t="s">
        <v>719</v>
      </c>
      <c r="D162" s="3" t="s">
        <v>720</v>
      </c>
      <c r="E162" t="s">
        <v>152</v>
      </c>
      <c r="F162" s="3" t="s">
        <v>721</v>
      </c>
      <c r="G162">
        <v>2021</v>
      </c>
      <c r="H162" s="1" t="str">
        <f>HYPERLINK("http://dx.doi.org/10.3390/app11198875","http://dx.doi.org/10.3390/app11198875")</f>
        <v>http://dx.doi.org/10.3390/app11198875</v>
      </c>
      <c r="I162" s="2" t="s">
        <v>2696</v>
      </c>
    </row>
    <row r="163" spans="1:10" ht="280" hidden="1">
      <c r="A163">
        <v>164</v>
      </c>
      <c r="B163" t="s">
        <v>722</v>
      </c>
      <c r="C163" t="s">
        <v>723</v>
      </c>
      <c r="D163" s="3" t="s">
        <v>724</v>
      </c>
      <c r="E163" t="s">
        <v>240</v>
      </c>
      <c r="F163" s="3" t="s">
        <v>725</v>
      </c>
      <c r="G163">
        <v>2021</v>
      </c>
      <c r="H163" s="1" t="str">
        <f>HYPERLINK("http://dx.doi.org/10.3390/agriculture11100989","http://dx.doi.org/10.3390/agriculture11100989")</f>
        <v>http://dx.doi.org/10.3390/agriculture11100989</v>
      </c>
      <c r="I163" s="2" t="s">
        <v>2696</v>
      </c>
    </row>
    <row r="164" spans="1:10" ht="409.6">
      <c r="A164">
        <v>165</v>
      </c>
      <c r="B164" t="s">
        <v>726</v>
      </c>
      <c r="C164" t="s">
        <v>727</v>
      </c>
      <c r="D164" s="3" t="s">
        <v>728</v>
      </c>
      <c r="E164" t="s">
        <v>138</v>
      </c>
      <c r="F164" s="3" t="s">
        <v>729</v>
      </c>
      <c r="G164">
        <v>2021</v>
      </c>
      <c r="H164" s="1" t="str">
        <f>HYPERLINK("http://dx.doi.org/10.3390/plants10102110","http://dx.doi.org/10.3390/plants10102110")</f>
        <v>http://dx.doi.org/10.3390/plants10102110</v>
      </c>
      <c r="I164" s="2" t="s">
        <v>2697</v>
      </c>
    </row>
    <row r="165" spans="1:10" ht="293">
      <c r="A165">
        <v>166</v>
      </c>
      <c r="B165" t="s">
        <v>730</v>
      </c>
      <c r="C165" t="s">
        <v>731</v>
      </c>
      <c r="D165" s="3" t="s">
        <v>732</v>
      </c>
      <c r="E165" t="s">
        <v>45</v>
      </c>
      <c r="F165" s="3" t="s">
        <v>733</v>
      </c>
      <c r="G165">
        <v>2021</v>
      </c>
      <c r="H165" s="1" t="str">
        <f>HYPERLINK("http://dx.doi.org/10.3390/horticulturae7100334","http://dx.doi.org/10.3390/horticulturae7100334")</f>
        <v>http://dx.doi.org/10.3390/horticulturae7100334</v>
      </c>
      <c r="I165" s="2" t="s">
        <v>2697</v>
      </c>
      <c r="J165" s="2" t="s">
        <v>2698</v>
      </c>
    </row>
    <row r="166" spans="1:10" ht="238" hidden="1">
      <c r="A166">
        <v>167</v>
      </c>
      <c r="B166" t="s">
        <v>734</v>
      </c>
      <c r="C166" t="s">
        <v>735</v>
      </c>
      <c r="D166" s="3" t="s">
        <v>736</v>
      </c>
      <c r="E166" t="s">
        <v>11</v>
      </c>
      <c r="F166" s="3" t="s">
        <v>737</v>
      </c>
      <c r="G166">
        <v>2021</v>
      </c>
      <c r="H166" s="1" t="str">
        <f>HYPERLINK("http://dx.doi.org/10.1016/j.biosystemseng.2021.09.006","http://dx.doi.org/10.1016/j.biosystemseng.2021.09.006")</f>
        <v>http://dx.doi.org/10.1016/j.biosystemseng.2021.09.006</v>
      </c>
      <c r="I166" s="2" t="s">
        <v>2696</v>
      </c>
      <c r="J166" s="2" t="s">
        <v>2698</v>
      </c>
    </row>
    <row r="167" spans="1:10" ht="210">
      <c r="A167">
        <v>168</v>
      </c>
      <c r="B167" t="s">
        <v>738</v>
      </c>
      <c r="C167" t="s">
        <v>739</v>
      </c>
      <c r="D167" s="3" t="s">
        <v>740</v>
      </c>
      <c r="E167" t="s">
        <v>84</v>
      </c>
      <c r="F167" s="3" t="s">
        <v>741</v>
      </c>
      <c r="G167">
        <v>2021</v>
      </c>
      <c r="H167" s="1" t="str">
        <f>HYPERLINK("http://dx.doi.org/10.1016/j.compag.2021.106447","http://dx.doi.org/10.1016/j.compag.2021.106447")</f>
        <v>http://dx.doi.org/10.1016/j.compag.2021.106447</v>
      </c>
      <c r="I167" s="2" t="s">
        <v>2697</v>
      </c>
    </row>
    <row r="168" spans="1:10" ht="306" hidden="1">
      <c r="A168">
        <v>169</v>
      </c>
      <c r="B168" t="s">
        <v>742</v>
      </c>
      <c r="C168" t="s">
        <v>743</v>
      </c>
      <c r="D168" s="3" t="s">
        <v>744</v>
      </c>
      <c r="E168" t="s">
        <v>16</v>
      </c>
      <c r="F168" s="3" t="s">
        <v>745</v>
      </c>
      <c r="G168">
        <v>2022</v>
      </c>
      <c r="H168" s="1" t="str">
        <f>HYPERLINK("http://dx.doi.org/10.1016/j.apenergy.2021.117850","http://dx.doi.org/10.1016/j.apenergy.2021.117850")</f>
        <v>http://dx.doi.org/10.1016/j.apenergy.2021.117850</v>
      </c>
      <c r="I168" s="2" t="s">
        <v>2699</v>
      </c>
      <c r="J168" s="2" t="s">
        <v>2696</v>
      </c>
    </row>
    <row r="169" spans="1:10" ht="384">
      <c r="A169">
        <v>170</v>
      </c>
      <c r="B169" t="s">
        <v>746</v>
      </c>
      <c r="C169" t="s">
        <v>747</v>
      </c>
      <c r="D169" s="3" t="s">
        <v>748</v>
      </c>
      <c r="E169" t="s">
        <v>749</v>
      </c>
      <c r="F169" s="3" t="s">
        <v>750</v>
      </c>
      <c r="G169">
        <v>2022</v>
      </c>
      <c r="H169" s="1" t="str">
        <f>HYPERLINK("http://dx.doi.org/10.1002/jsfa.11513","http://dx.doi.org/10.1002/jsfa.11513")</f>
        <v>http://dx.doi.org/10.1002/jsfa.11513</v>
      </c>
      <c r="I169" s="2" t="s">
        <v>2697</v>
      </c>
    </row>
    <row r="170" spans="1:10" ht="319" hidden="1">
      <c r="A170">
        <v>171</v>
      </c>
      <c r="B170" t="s">
        <v>751</v>
      </c>
      <c r="C170" t="s">
        <v>752</v>
      </c>
      <c r="D170" s="3" t="s">
        <v>753</v>
      </c>
      <c r="E170" t="s">
        <v>754</v>
      </c>
      <c r="F170" s="3" t="s">
        <v>755</v>
      </c>
      <c r="G170">
        <v>2022</v>
      </c>
      <c r="H170" s="1" t="str">
        <f>HYPERLINK("http://dx.doi.org/10.1007/s11694-021-01150-y","http://dx.doi.org/10.1007/s11694-021-01150-y")</f>
        <v>http://dx.doi.org/10.1007/s11694-021-01150-y</v>
      </c>
      <c r="I170" s="2" t="s">
        <v>2696</v>
      </c>
      <c r="J170" s="2" t="s">
        <v>2697</v>
      </c>
    </row>
    <row r="171" spans="1:10" ht="332" hidden="1">
      <c r="A171">
        <v>172</v>
      </c>
      <c r="B171" t="s">
        <v>756</v>
      </c>
      <c r="C171" t="s">
        <v>757</v>
      </c>
      <c r="D171" s="3" t="s">
        <v>758</v>
      </c>
      <c r="E171" t="s">
        <v>759</v>
      </c>
      <c r="F171" s="3" t="s">
        <v>760</v>
      </c>
      <c r="G171">
        <v>2021</v>
      </c>
      <c r="H171" s="1" t="str">
        <f>HYPERLINK("http://dx.doi.org/10.1007/s11157-021-09591-z","http://dx.doi.org/10.1007/s11157-021-09591-z")</f>
        <v>http://dx.doi.org/10.1007/s11157-021-09591-z</v>
      </c>
      <c r="I171" s="2" t="s">
        <v>2696</v>
      </c>
    </row>
    <row r="172" spans="1:10" ht="238" hidden="1">
      <c r="A172">
        <v>173</v>
      </c>
      <c r="B172" t="s">
        <v>761</v>
      </c>
      <c r="C172" t="s">
        <v>762</v>
      </c>
      <c r="D172" s="3" t="s">
        <v>763</v>
      </c>
      <c r="E172" t="s">
        <v>84</v>
      </c>
      <c r="F172" s="3" t="s">
        <v>764</v>
      </c>
      <c r="G172">
        <v>2021</v>
      </c>
      <c r="H172" s="1" t="str">
        <f>HYPERLINK("http://dx.doi.org/10.1016/j.compag.2021.106443","http://dx.doi.org/10.1016/j.compag.2021.106443")</f>
        <v>http://dx.doi.org/10.1016/j.compag.2021.106443</v>
      </c>
      <c r="I172" s="2" t="s">
        <v>2696</v>
      </c>
    </row>
    <row r="173" spans="1:10" ht="293" hidden="1">
      <c r="A173">
        <v>174</v>
      </c>
      <c r="B173" t="s">
        <v>765</v>
      </c>
      <c r="C173" t="s">
        <v>766</v>
      </c>
      <c r="D173" s="3" t="s">
        <v>767</v>
      </c>
      <c r="E173" t="s">
        <v>138</v>
      </c>
      <c r="F173" s="3" t="s">
        <v>768</v>
      </c>
      <c r="G173">
        <v>2021</v>
      </c>
      <c r="H173" s="1" t="str">
        <f>HYPERLINK("http://dx.doi.org/10.3390/plants10091828","http://dx.doi.org/10.3390/plants10091828")</f>
        <v>http://dx.doi.org/10.3390/plants10091828</v>
      </c>
      <c r="I173" s="2" t="s">
        <v>2696</v>
      </c>
      <c r="J173" s="2" t="s">
        <v>2697</v>
      </c>
    </row>
    <row r="174" spans="1:10" ht="252" hidden="1">
      <c r="A174">
        <v>176</v>
      </c>
      <c r="B174" t="s">
        <v>769</v>
      </c>
      <c r="C174" t="s">
        <v>770</v>
      </c>
      <c r="D174" s="3" t="s">
        <v>771</v>
      </c>
      <c r="E174" t="s">
        <v>69</v>
      </c>
      <c r="F174" s="3" t="s">
        <v>772</v>
      </c>
      <c r="G174">
        <v>2021</v>
      </c>
      <c r="H174" s="1" t="str">
        <f>HYPERLINK("http://dx.doi.org/10.3390/agronomy11091863","http://dx.doi.org/10.3390/agronomy11091863")</f>
        <v>http://dx.doi.org/10.3390/agronomy11091863</v>
      </c>
      <c r="I174" s="2" t="s">
        <v>2699</v>
      </c>
    </row>
    <row r="175" spans="1:10" ht="332" hidden="1">
      <c r="A175">
        <v>177</v>
      </c>
      <c r="B175" t="s">
        <v>773</v>
      </c>
      <c r="C175" t="s">
        <v>774</v>
      </c>
      <c r="D175" s="3" t="s">
        <v>775</v>
      </c>
      <c r="E175" t="s">
        <v>69</v>
      </c>
      <c r="F175" s="3" t="s">
        <v>776</v>
      </c>
      <c r="G175">
        <v>2021</v>
      </c>
      <c r="H175" s="1" t="str">
        <f>HYPERLINK("http://dx.doi.org/10.3390/agronomy11091684","http://dx.doi.org/10.3390/agronomy11091684")</f>
        <v>http://dx.doi.org/10.3390/agronomy11091684</v>
      </c>
      <c r="I175" s="2" t="s">
        <v>2696</v>
      </c>
    </row>
    <row r="176" spans="1:10" ht="332">
      <c r="A176">
        <v>178</v>
      </c>
      <c r="B176" t="s">
        <v>777</v>
      </c>
      <c r="C176" t="s">
        <v>778</v>
      </c>
      <c r="D176" s="3" t="s">
        <v>779</v>
      </c>
      <c r="E176" t="s">
        <v>45</v>
      </c>
      <c r="F176" s="3" t="s">
        <v>780</v>
      </c>
      <c r="G176">
        <v>2021</v>
      </c>
      <c r="H176" s="1" t="str">
        <f>HYPERLINK("http://dx.doi.org/10.3390/horticulturae7090294","http://dx.doi.org/10.3390/horticulturae7090294")</f>
        <v>http://dx.doi.org/10.3390/horticulturae7090294</v>
      </c>
      <c r="I176" s="2" t="s">
        <v>2697</v>
      </c>
    </row>
    <row r="177" spans="1:10" ht="358">
      <c r="A177">
        <v>179</v>
      </c>
      <c r="B177" t="s">
        <v>781</v>
      </c>
      <c r="C177" t="s">
        <v>782</v>
      </c>
      <c r="D177" s="3" t="s">
        <v>783</v>
      </c>
      <c r="E177" t="s">
        <v>45</v>
      </c>
      <c r="F177" s="3" t="s">
        <v>784</v>
      </c>
      <c r="G177">
        <v>2021</v>
      </c>
      <c r="H177" s="1" t="str">
        <f>HYPERLINK("http://dx.doi.org/10.3390/horticulturae7090283","http://dx.doi.org/10.3390/horticulturae7090283")</f>
        <v>http://dx.doi.org/10.3390/horticulturae7090283</v>
      </c>
      <c r="I177" s="2" t="s">
        <v>2697</v>
      </c>
    </row>
    <row r="178" spans="1:10" ht="210">
      <c r="A178">
        <v>180</v>
      </c>
      <c r="B178" t="s">
        <v>785</v>
      </c>
      <c r="C178" t="s">
        <v>786</v>
      </c>
      <c r="D178" s="3" t="s">
        <v>787</v>
      </c>
      <c r="E178" t="s">
        <v>788</v>
      </c>
      <c r="F178" s="3" t="s">
        <v>789</v>
      </c>
      <c r="G178">
        <v>2022</v>
      </c>
      <c r="H178" s="1" t="str">
        <f>HYPERLINK("http://dx.doi.org/10.1016/j.foodchem.2021.130913","http://dx.doi.org/10.1016/j.foodchem.2021.130913")</f>
        <v>http://dx.doi.org/10.1016/j.foodchem.2021.130913</v>
      </c>
      <c r="I178" s="2" t="s">
        <v>2697</v>
      </c>
    </row>
    <row r="179" spans="1:10" ht="371">
      <c r="A179">
        <v>181</v>
      </c>
      <c r="B179" t="s">
        <v>790</v>
      </c>
      <c r="C179" t="s">
        <v>791</v>
      </c>
      <c r="D179" s="3" t="s">
        <v>792</v>
      </c>
      <c r="E179" t="s">
        <v>240</v>
      </c>
      <c r="F179" s="3" t="s">
        <v>793</v>
      </c>
      <c r="G179">
        <v>2021</v>
      </c>
      <c r="H179" s="1" t="str">
        <f>HYPERLINK("http://dx.doi.org/10.3390/agriculture11090816","http://dx.doi.org/10.3390/agriculture11090816")</f>
        <v>http://dx.doi.org/10.3390/agriculture11090816</v>
      </c>
      <c r="I179" s="2" t="s">
        <v>2697</v>
      </c>
    </row>
    <row r="180" spans="1:10" ht="332" hidden="1">
      <c r="A180">
        <v>182</v>
      </c>
      <c r="B180" t="s">
        <v>794</v>
      </c>
      <c r="C180" t="s">
        <v>795</v>
      </c>
      <c r="D180" s="3" t="s">
        <v>796</v>
      </c>
      <c r="E180" t="s">
        <v>797</v>
      </c>
      <c r="F180" s="3" t="s">
        <v>798</v>
      </c>
      <c r="G180">
        <v>2022</v>
      </c>
      <c r="H180" s="1" t="str">
        <f>HYPERLINK("http://dx.doi.org/10.1007/s10460-021-10261-7","http://dx.doi.org/10.1007/s10460-021-10261-7")</f>
        <v>http://dx.doi.org/10.1007/s10460-021-10261-7</v>
      </c>
      <c r="I180" s="2" t="s">
        <v>2699</v>
      </c>
      <c r="J180" s="2"/>
    </row>
    <row r="181" spans="1:10" ht="319" hidden="1">
      <c r="A181">
        <v>183</v>
      </c>
      <c r="B181" t="s">
        <v>799</v>
      </c>
      <c r="C181" t="s">
        <v>800</v>
      </c>
      <c r="D181" s="3" t="s">
        <v>801</v>
      </c>
      <c r="E181" t="s">
        <v>642</v>
      </c>
      <c r="F181" s="3" t="s">
        <v>802</v>
      </c>
      <c r="G181">
        <v>2022</v>
      </c>
      <c r="H181" s="1" t="str">
        <f>HYPERLINK("http://dx.doi.org/10.1016/j.foodqual.2021.104356","http://dx.doi.org/10.1016/j.foodqual.2021.104356")</f>
        <v>http://dx.doi.org/10.1016/j.foodqual.2021.104356</v>
      </c>
      <c r="I181" s="2" t="s">
        <v>2699</v>
      </c>
    </row>
    <row r="182" spans="1:10" ht="280">
      <c r="A182">
        <v>184</v>
      </c>
      <c r="B182" t="s">
        <v>803</v>
      </c>
      <c r="C182" t="s">
        <v>804</v>
      </c>
      <c r="D182" s="3" t="s">
        <v>805</v>
      </c>
      <c r="E182" t="s">
        <v>183</v>
      </c>
      <c r="F182" s="3" t="s">
        <v>806</v>
      </c>
      <c r="G182">
        <v>2021</v>
      </c>
      <c r="H182" s="1" t="str">
        <f>HYPERLINK("http://dx.doi.org/10.1016/j.scienta.2021.110486","http://dx.doi.org/10.1016/j.scienta.2021.110486")</f>
        <v>http://dx.doi.org/10.1016/j.scienta.2021.110486</v>
      </c>
      <c r="I182" s="2" t="s">
        <v>2697</v>
      </c>
    </row>
    <row r="183" spans="1:10" ht="196" hidden="1">
      <c r="A183">
        <v>185</v>
      </c>
      <c r="B183" t="s">
        <v>807</v>
      </c>
      <c r="C183" t="s">
        <v>808</v>
      </c>
      <c r="D183" s="3" t="s">
        <v>809</v>
      </c>
      <c r="E183" t="s">
        <v>810</v>
      </c>
      <c r="F183" s="3" t="s">
        <v>811</v>
      </c>
      <c r="G183">
        <v>2021</v>
      </c>
      <c r="H183" s="1" t="str">
        <f>HYPERLINK("http://dx.doi.org/10.1109/JSEN.2021.3050084","http://dx.doi.org/10.1109/JSEN.2021.3050084")</f>
        <v>http://dx.doi.org/10.1109/JSEN.2021.3050084</v>
      </c>
      <c r="I183" s="2" t="s">
        <v>2696</v>
      </c>
    </row>
    <row r="184" spans="1:10" ht="266">
      <c r="A184">
        <v>186</v>
      </c>
      <c r="B184" t="s">
        <v>812</v>
      </c>
      <c r="C184" t="s">
        <v>813</v>
      </c>
      <c r="D184" s="3" t="s">
        <v>814</v>
      </c>
      <c r="E184" t="s">
        <v>169</v>
      </c>
      <c r="F184" s="3" t="s">
        <v>815</v>
      </c>
      <c r="G184">
        <v>2021</v>
      </c>
      <c r="H184" s="1" t="str">
        <f>HYPERLINK("http://dx.doi.org/10.3389/fpls.2021.691651","http://dx.doi.org/10.3389/fpls.2021.691651")</f>
        <v>http://dx.doi.org/10.3389/fpls.2021.691651</v>
      </c>
      <c r="I184" s="2" t="s">
        <v>2697</v>
      </c>
    </row>
    <row r="185" spans="1:10" ht="224" hidden="1">
      <c r="A185">
        <v>187</v>
      </c>
      <c r="B185" t="s">
        <v>816</v>
      </c>
      <c r="C185" t="s">
        <v>817</v>
      </c>
      <c r="D185" s="3" t="s">
        <v>818</v>
      </c>
      <c r="E185" t="s">
        <v>819</v>
      </c>
      <c r="F185" s="3" t="s">
        <v>820</v>
      </c>
      <c r="G185">
        <v>2021</v>
      </c>
      <c r="H185" s="1" t="str">
        <f>HYPERLINK("http://dx.doi.org/10.1016/S2095-3119(20)63382-2","http://dx.doi.org/10.1016/S2095-3119(20)63382-2")</f>
        <v>http://dx.doi.org/10.1016/S2095-3119(20)63382-2</v>
      </c>
      <c r="I185" s="2" t="s">
        <v>2696</v>
      </c>
      <c r="J185" s="2" t="s">
        <v>2697</v>
      </c>
    </row>
    <row r="186" spans="1:10" ht="280">
      <c r="A186">
        <v>188</v>
      </c>
      <c r="B186" t="s">
        <v>821</v>
      </c>
      <c r="C186" t="s">
        <v>822</v>
      </c>
      <c r="D186" s="3" t="s">
        <v>823</v>
      </c>
      <c r="E186" t="s">
        <v>625</v>
      </c>
      <c r="F186" s="3" t="s">
        <v>824</v>
      </c>
      <c r="G186">
        <v>2021</v>
      </c>
      <c r="H186" s="1" t="str">
        <f>HYPERLINK("http://dx.doi.org/10.3390/molecules26154646","http://dx.doi.org/10.3390/molecules26154646")</f>
        <v>http://dx.doi.org/10.3390/molecules26154646</v>
      </c>
      <c r="I186" s="2" t="s">
        <v>2697</v>
      </c>
    </row>
    <row r="187" spans="1:10" ht="319">
      <c r="A187">
        <v>189</v>
      </c>
      <c r="B187" t="s">
        <v>825</v>
      </c>
      <c r="C187" t="s">
        <v>826</v>
      </c>
      <c r="D187" s="3" t="s">
        <v>827</v>
      </c>
      <c r="E187" t="s">
        <v>240</v>
      </c>
      <c r="F187" s="3" t="s">
        <v>828</v>
      </c>
      <c r="G187">
        <v>2021</v>
      </c>
      <c r="H187" s="1" t="str">
        <f>HYPERLINK("http://dx.doi.org/10.3390/agriculture11080728","http://dx.doi.org/10.3390/agriculture11080728")</f>
        <v>http://dx.doi.org/10.3390/agriculture11080728</v>
      </c>
      <c r="I187" s="2" t="s">
        <v>2697</v>
      </c>
      <c r="J187" s="2" t="s">
        <v>2696</v>
      </c>
    </row>
    <row r="188" spans="1:10" ht="306">
      <c r="A188">
        <v>190</v>
      </c>
      <c r="B188" t="s">
        <v>829</v>
      </c>
      <c r="C188" t="s">
        <v>830</v>
      </c>
      <c r="D188" s="3" t="s">
        <v>831</v>
      </c>
      <c r="E188" t="s">
        <v>240</v>
      </c>
      <c r="F188" s="3" t="s">
        <v>832</v>
      </c>
      <c r="G188">
        <v>2021</v>
      </c>
      <c r="H188" s="1" t="str">
        <f>HYPERLINK("http://dx.doi.org/10.3390/agriculture11080723","http://dx.doi.org/10.3390/agriculture11080723")</f>
        <v>http://dx.doi.org/10.3390/agriculture11080723</v>
      </c>
      <c r="I188" s="2" t="s">
        <v>2697</v>
      </c>
    </row>
    <row r="189" spans="1:10" ht="224" hidden="1">
      <c r="A189">
        <v>191</v>
      </c>
      <c r="B189" t="s">
        <v>833</v>
      </c>
      <c r="C189" t="s">
        <v>834</v>
      </c>
      <c r="D189" s="3" t="s">
        <v>835</v>
      </c>
      <c r="E189" t="s">
        <v>836</v>
      </c>
      <c r="F189" s="3" t="s">
        <v>837</v>
      </c>
      <c r="G189">
        <v>2021</v>
      </c>
      <c r="H189" s="1" t="str">
        <f>HYPERLINK("http://dx.doi.org/10.1109/JPHOT.2021.3094361","http://dx.doi.org/10.1109/JPHOT.2021.3094361")</f>
        <v>http://dx.doi.org/10.1109/JPHOT.2021.3094361</v>
      </c>
      <c r="I189" s="2" t="s">
        <v>2696</v>
      </c>
    </row>
    <row r="190" spans="1:10" ht="306" hidden="1">
      <c r="A190">
        <v>192</v>
      </c>
      <c r="B190" t="s">
        <v>838</v>
      </c>
      <c r="C190" t="s">
        <v>839</v>
      </c>
      <c r="D190" s="3" t="s">
        <v>840</v>
      </c>
      <c r="E190" t="s">
        <v>841</v>
      </c>
      <c r="F190" s="3" t="s">
        <v>842</v>
      </c>
      <c r="G190">
        <v>2021</v>
      </c>
      <c r="H190" s="1" t="str">
        <f>HYPERLINK("http://dx.doi.org/10.1016/j.enbuild.2021.111192","http://dx.doi.org/10.1016/j.enbuild.2021.111192")</f>
        <v>http://dx.doi.org/10.1016/j.enbuild.2021.111192</v>
      </c>
      <c r="I190" s="2" t="s">
        <v>2696</v>
      </c>
      <c r="J190" s="2" t="s">
        <v>2698</v>
      </c>
    </row>
    <row r="191" spans="1:10" ht="409.6">
      <c r="A191">
        <v>193</v>
      </c>
      <c r="B191" t="s">
        <v>843</v>
      </c>
      <c r="C191" t="s">
        <v>844</v>
      </c>
      <c r="D191" s="3" t="s">
        <v>845</v>
      </c>
      <c r="E191" t="s">
        <v>169</v>
      </c>
      <c r="F191" s="3" t="s">
        <v>846</v>
      </c>
      <c r="G191">
        <v>2021</v>
      </c>
      <c r="H191" s="1" t="str">
        <f>HYPERLINK("http://dx.doi.org/10.3389/fpls.2021.667407","http://dx.doi.org/10.3389/fpls.2021.667407")</f>
        <v>http://dx.doi.org/10.3389/fpls.2021.667407</v>
      </c>
      <c r="I191" s="2" t="s">
        <v>2697</v>
      </c>
    </row>
    <row r="192" spans="1:10" ht="345">
      <c r="A192">
        <v>194</v>
      </c>
      <c r="B192" t="s">
        <v>847</v>
      </c>
      <c r="C192" t="s">
        <v>848</v>
      </c>
      <c r="D192" s="3" t="s">
        <v>849</v>
      </c>
      <c r="E192" t="s">
        <v>169</v>
      </c>
      <c r="F192" s="3" t="s">
        <v>850</v>
      </c>
      <c r="G192">
        <v>2021</v>
      </c>
      <c r="H192" s="1" t="str">
        <f>HYPERLINK("http://dx.doi.org/10.3389/fpls.2021.667456","http://dx.doi.org/10.3389/fpls.2021.667456")</f>
        <v>http://dx.doi.org/10.3389/fpls.2021.667456</v>
      </c>
      <c r="I192" s="2" t="s">
        <v>2697</v>
      </c>
    </row>
    <row r="193" spans="1:10" ht="345" hidden="1">
      <c r="A193">
        <v>195</v>
      </c>
      <c r="B193" t="s">
        <v>851</v>
      </c>
      <c r="C193" t="s">
        <v>852</v>
      </c>
      <c r="D193" s="3" t="s">
        <v>853</v>
      </c>
      <c r="E193" t="s">
        <v>854</v>
      </c>
      <c r="F193" s="3" t="s">
        <v>855</v>
      </c>
      <c r="G193">
        <v>2021</v>
      </c>
      <c r="H193" s="1" t="str">
        <f>HYPERLINK("http://dx.doi.org/10.1016/j.jenvp.2021.101645","http://dx.doi.org/10.1016/j.jenvp.2021.101645")</f>
        <v>http://dx.doi.org/10.1016/j.jenvp.2021.101645</v>
      </c>
      <c r="I193" s="2" t="s">
        <v>2699</v>
      </c>
    </row>
    <row r="194" spans="1:10" ht="224">
      <c r="A194">
        <v>196</v>
      </c>
      <c r="B194" t="s">
        <v>856</v>
      </c>
      <c r="C194" t="s">
        <v>857</v>
      </c>
      <c r="D194" s="3" t="s">
        <v>858</v>
      </c>
      <c r="E194" t="s">
        <v>859</v>
      </c>
      <c r="F194" s="3" t="s">
        <v>860</v>
      </c>
      <c r="G194">
        <v>2021</v>
      </c>
      <c r="H194" s="1" t="str">
        <f>HYPERLINK("http://dx.doi.org/10.1016/j.jafr.2021.100181","http://dx.doi.org/10.1016/j.jafr.2021.100181")</f>
        <v>http://dx.doi.org/10.1016/j.jafr.2021.100181</v>
      </c>
      <c r="I194" s="2" t="s">
        <v>2697</v>
      </c>
    </row>
    <row r="195" spans="1:10" ht="371" hidden="1">
      <c r="A195">
        <v>197</v>
      </c>
      <c r="B195" t="s">
        <v>861</v>
      </c>
      <c r="C195" t="s">
        <v>862</v>
      </c>
      <c r="D195" s="3" t="s">
        <v>863</v>
      </c>
      <c r="E195" t="s">
        <v>864</v>
      </c>
      <c r="F195" s="3" t="s">
        <v>865</v>
      </c>
      <c r="G195">
        <v>2021</v>
      </c>
      <c r="H195" s="1" t="str">
        <f>HYPERLINK("http://dx.doi.org/10.1039/d1ra02705k","http://dx.doi.org/10.1039/d1ra02705k")</f>
        <v>http://dx.doi.org/10.1039/d1ra02705k</v>
      </c>
      <c r="I195" s="2" t="s">
        <v>2696</v>
      </c>
    </row>
    <row r="196" spans="1:10" ht="358">
      <c r="A196">
        <v>198</v>
      </c>
      <c r="B196" t="s">
        <v>866</v>
      </c>
      <c r="C196" t="s">
        <v>867</v>
      </c>
      <c r="D196" s="3" t="s">
        <v>868</v>
      </c>
      <c r="E196" t="s">
        <v>403</v>
      </c>
      <c r="F196" s="3" t="s">
        <v>869</v>
      </c>
      <c r="G196">
        <v>2021</v>
      </c>
      <c r="H196" s="1" t="str">
        <f>HYPERLINK("http://dx.doi.org/10.3390/foods10071524","http://dx.doi.org/10.3390/foods10071524")</f>
        <v>http://dx.doi.org/10.3390/foods10071524</v>
      </c>
      <c r="I196" s="2" t="s">
        <v>2697</v>
      </c>
    </row>
    <row r="197" spans="1:10" ht="238" hidden="1">
      <c r="A197">
        <v>199</v>
      </c>
      <c r="B197" t="s">
        <v>870</v>
      </c>
      <c r="C197" t="s">
        <v>871</v>
      </c>
      <c r="D197" s="3" t="s">
        <v>872</v>
      </c>
      <c r="E197" t="s">
        <v>30</v>
      </c>
      <c r="F197" s="3" t="s">
        <v>873</v>
      </c>
      <c r="G197">
        <v>2021</v>
      </c>
      <c r="H197" s="1" t="str">
        <f>HYPERLINK("http://dx.doi.org/10.1016/j.jclepro.2021.127901","http://dx.doi.org/10.1016/j.jclepro.2021.127901")</f>
        <v>http://dx.doi.org/10.1016/j.jclepro.2021.127901</v>
      </c>
      <c r="I197" s="2" t="s">
        <v>2696</v>
      </c>
    </row>
    <row r="198" spans="1:10" ht="293" hidden="1">
      <c r="A198">
        <v>200</v>
      </c>
      <c r="B198" t="s">
        <v>874</v>
      </c>
      <c r="C198" t="s">
        <v>875</v>
      </c>
      <c r="D198" s="3" t="s">
        <v>876</v>
      </c>
      <c r="E198" t="s">
        <v>11</v>
      </c>
      <c r="F198" s="3" t="s">
        <v>877</v>
      </c>
      <c r="G198">
        <v>2021</v>
      </c>
      <c r="H198" s="1" t="str">
        <f>HYPERLINK("http://dx.doi.org/10.1016/j.biosystemseng.2021.05.014","http://dx.doi.org/10.1016/j.biosystemseng.2021.05.014")</f>
        <v>http://dx.doi.org/10.1016/j.biosystemseng.2021.05.014</v>
      </c>
      <c r="I198" s="2" t="s">
        <v>2696</v>
      </c>
      <c r="J198" s="2" t="s">
        <v>2699</v>
      </c>
    </row>
    <row r="199" spans="1:10" ht="196" hidden="1">
      <c r="A199">
        <v>201</v>
      </c>
      <c r="B199" t="s">
        <v>878</v>
      </c>
      <c r="C199" t="s">
        <v>879</v>
      </c>
      <c r="D199" s="3" t="s">
        <v>880</v>
      </c>
      <c r="E199" t="s">
        <v>881</v>
      </c>
      <c r="F199" s="3" t="s">
        <v>882</v>
      </c>
      <c r="G199">
        <v>2021</v>
      </c>
      <c r="H199" s="1" t="str">
        <f>HYPERLINK("http://dx.doi.org/10.1016/j.jobe.2021.102745","http://dx.doi.org/10.1016/j.jobe.2021.102745")</f>
        <v>http://dx.doi.org/10.1016/j.jobe.2021.102745</v>
      </c>
      <c r="I199" s="2" t="s">
        <v>2696</v>
      </c>
    </row>
    <row r="200" spans="1:10" ht="182" hidden="1">
      <c r="A200">
        <v>203</v>
      </c>
      <c r="B200" t="s">
        <v>883</v>
      </c>
      <c r="C200" t="s">
        <v>884</v>
      </c>
      <c r="D200" s="3" t="s">
        <v>885</v>
      </c>
      <c r="E200" t="s">
        <v>886</v>
      </c>
      <c r="F200" s="3" t="s">
        <v>887</v>
      </c>
      <c r="G200">
        <v>2021</v>
      </c>
      <c r="H200" s="1" t="str">
        <f>HYPERLINK("http://dx.doi.org/10.1016/j.seta.2021.101431","http://dx.doi.org/10.1016/j.seta.2021.101431")</f>
        <v>http://dx.doi.org/10.1016/j.seta.2021.101431</v>
      </c>
      <c r="I200" s="2" t="s">
        <v>2699</v>
      </c>
      <c r="J200" s="2" t="s">
        <v>2698</v>
      </c>
    </row>
    <row r="201" spans="1:10" ht="371">
      <c r="A201">
        <v>204</v>
      </c>
      <c r="B201" t="s">
        <v>888</v>
      </c>
      <c r="C201" t="s">
        <v>889</v>
      </c>
      <c r="D201" s="3" t="s">
        <v>890</v>
      </c>
      <c r="E201" t="s">
        <v>93</v>
      </c>
      <c r="F201" s="3" t="s">
        <v>891</v>
      </c>
      <c r="G201">
        <v>2021</v>
      </c>
      <c r="H201" s="1" t="str">
        <f>HYPERLINK("http://dx.doi.org/10.1016/j.envexpbot.2021.104567","http://dx.doi.org/10.1016/j.envexpbot.2021.104567")</f>
        <v>http://dx.doi.org/10.1016/j.envexpbot.2021.104567</v>
      </c>
      <c r="I201" s="2" t="s">
        <v>2697</v>
      </c>
    </row>
    <row r="202" spans="1:10" ht="409.6">
      <c r="A202">
        <v>205</v>
      </c>
      <c r="B202" t="s">
        <v>892</v>
      </c>
      <c r="C202" t="s">
        <v>893</v>
      </c>
      <c r="D202" s="3" t="s">
        <v>894</v>
      </c>
      <c r="E202" t="s">
        <v>169</v>
      </c>
      <c r="F202" s="3" t="s">
        <v>895</v>
      </c>
      <c r="G202">
        <v>2021</v>
      </c>
      <c r="H202" s="1" t="str">
        <f>HYPERLINK("http://dx.doi.org/10.3389/fpls.2021.678197","http://dx.doi.org/10.3389/fpls.2021.678197")</f>
        <v>http://dx.doi.org/10.3389/fpls.2021.678197</v>
      </c>
      <c r="I202" s="2" t="s">
        <v>2697</v>
      </c>
    </row>
    <row r="203" spans="1:10" ht="409.6">
      <c r="A203">
        <v>206</v>
      </c>
      <c r="B203" t="s">
        <v>896</v>
      </c>
      <c r="C203" t="s">
        <v>897</v>
      </c>
      <c r="D203" s="3" t="s">
        <v>898</v>
      </c>
      <c r="E203" t="s">
        <v>93</v>
      </c>
      <c r="F203" s="3" t="s">
        <v>899</v>
      </c>
      <c r="G203">
        <v>2021</v>
      </c>
      <c r="H203" s="1" t="str">
        <f>HYPERLINK("http://dx.doi.org/10.1016/j.envexpbot.2021.104531","http://dx.doi.org/10.1016/j.envexpbot.2021.104531")</f>
        <v>http://dx.doi.org/10.1016/j.envexpbot.2021.104531</v>
      </c>
      <c r="I203" s="2" t="s">
        <v>2697</v>
      </c>
    </row>
    <row r="204" spans="1:10" ht="306" hidden="1">
      <c r="A204">
        <v>207</v>
      </c>
      <c r="B204" t="s">
        <v>900</v>
      </c>
      <c r="C204" t="s">
        <v>901</v>
      </c>
      <c r="D204" s="3" t="s">
        <v>902</v>
      </c>
      <c r="E204" t="s">
        <v>903</v>
      </c>
      <c r="F204" s="3" t="s">
        <v>904</v>
      </c>
      <c r="G204">
        <v>2021</v>
      </c>
      <c r="H204" s="1" t="str">
        <f>HYPERLINK("http://dx.doi.org/10.1016/j.cie.2021.107384","http://dx.doi.org/10.1016/j.cie.2021.107384")</f>
        <v>http://dx.doi.org/10.1016/j.cie.2021.107384</v>
      </c>
      <c r="I204" s="2" t="s">
        <v>2696</v>
      </c>
    </row>
    <row r="205" spans="1:10" ht="293" hidden="1">
      <c r="A205">
        <v>208</v>
      </c>
      <c r="B205" t="s">
        <v>905</v>
      </c>
      <c r="C205" t="s">
        <v>906</v>
      </c>
      <c r="D205" s="3" t="s">
        <v>907</v>
      </c>
      <c r="E205" t="s">
        <v>169</v>
      </c>
      <c r="F205" s="3" t="s">
        <v>908</v>
      </c>
      <c r="G205">
        <v>2021</v>
      </c>
      <c r="H205" s="1" t="str">
        <f>HYPERLINK("http://dx.doi.org/10.3389/fpls.2021.623682","http://dx.doi.org/10.3389/fpls.2021.623682")</f>
        <v>http://dx.doi.org/10.3389/fpls.2021.623682</v>
      </c>
      <c r="I205" s="2" t="s">
        <v>2696</v>
      </c>
      <c r="J205" s="2" t="s">
        <v>2697</v>
      </c>
    </row>
    <row r="206" spans="1:10" ht="371" hidden="1">
      <c r="A206">
        <v>209</v>
      </c>
      <c r="B206" t="s">
        <v>909</v>
      </c>
      <c r="C206" t="s">
        <v>910</v>
      </c>
      <c r="D206" s="3" t="s">
        <v>911</v>
      </c>
      <c r="E206" t="s">
        <v>912</v>
      </c>
      <c r="F206" s="3" t="s">
        <v>913</v>
      </c>
      <c r="G206">
        <v>2021</v>
      </c>
      <c r="H206" s="1" t="str">
        <f>HYPERLINK("http://dx.doi.org/10.1016/j.foodcont.2021.108290","http://dx.doi.org/10.1016/j.foodcont.2021.108290")</f>
        <v>http://dx.doi.org/10.1016/j.foodcont.2021.108290</v>
      </c>
      <c r="I206" s="2" t="s">
        <v>2698</v>
      </c>
      <c r="J206" s="2" t="s">
        <v>2696</v>
      </c>
    </row>
    <row r="207" spans="1:10" ht="409.6" hidden="1">
      <c r="A207">
        <v>210</v>
      </c>
      <c r="B207" t="s">
        <v>914</v>
      </c>
      <c r="C207" t="s">
        <v>915</v>
      </c>
      <c r="D207" s="3" t="s">
        <v>916</v>
      </c>
      <c r="E207" t="s">
        <v>21</v>
      </c>
      <c r="F207" s="3" t="s">
        <v>917</v>
      </c>
      <c r="G207">
        <v>2021</v>
      </c>
      <c r="H207" s="1" t="str">
        <f>HYPERLINK("http://dx.doi.org/10.1016/j.enconman.2021.114336","http://dx.doi.org/10.1016/j.enconman.2021.114336")</f>
        <v>http://dx.doi.org/10.1016/j.enconman.2021.114336</v>
      </c>
      <c r="I207" s="2" t="s">
        <v>2698</v>
      </c>
    </row>
    <row r="208" spans="1:10" ht="280" hidden="1">
      <c r="A208">
        <v>211</v>
      </c>
      <c r="B208" t="s">
        <v>918</v>
      </c>
      <c r="C208" t="s">
        <v>919</v>
      </c>
      <c r="D208" s="3" t="s">
        <v>920</v>
      </c>
      <c r="E208" t="s">
        <v>69</v>
      </c>
      <c r="F208" s="3" t="s">
        <v>921</v>
      </c>
      <c r="G208">
        <v>2021</v>
      </c>
      <c r="H208" s="1" t="str">
        <f>HYPERLINK("http://dx.doi.org/10.3390/agronomy11061106","http://dx.doi.org/10.3390/agronomy11061106")</f>
        <v>http://dx.doi.org/10.3390/agronomy11061106</v>
      </c>
      <c r="I208" s="2" t="s">
        <v>2696</v>
      </c>
      <c r="J208" s="2" t="s">
        <v>2697</v>
      </c>
    </row>
    <row r="209" spans="1:11" ht="266">
      <c r="A209">
        <v>212</v>
      </c>
      <c r="B209" t="s">
        <v>922</v>
      </c>
      <c r="C209" t="s">
        <v>923</v>
      </c>
      <c r="D209" s="3" t="s">
        <v>924</v>
      </c>
      <c r="E209" t="s">
        <v>45</v>
      </c>
      <c r="F209" s="3" t="s">
        <v>925</v>
      </c>
      <c r="G209">
        <v>2021</v>
      </c>
      <c r="H209" s="1" t="str">
        <f>HYPERLINK("http://dx.doi.org/10.3390/horticulturae7060139","http://dx.doi.org/10.3390/horticulturae7060139")</f>
        <v>http://dx.doi.org/10.3390/horticulturae7060139</v>
      </c>
      <c r="I209" s="2" t="s">
        <v>2697</v>
      </c>
    </row>
    <row r="210" spans="1:11" ht="345" hidden="1">
      <c r="A210">
        <v>213</v>
      </c>
      <c r="B210" t="s">
        <v>926</v>
      </c>
      <c r="C210" t="s">
        <v>927</v>
      </c>
      <c r="D210" s="3" t="s">
        <v>928</v>
      </c>
      <c r="E210" t="s">
        <v>929</v>
      </c>
      <c r="F210" s="3" t="s">
        <v>930</v>
      </c>
      <c r="G210">
        <v>2021</v>
      </c>
      <c r="H210" s="1" t="str">
        <f>HYPERLINK("http://dx.doi.org/10.3390/electronics10121422","http://dx.doi.org/10.3390/electronics10121422")</f>
        <v>http://dx.doi.org/10.3390/electronics10121422</v>
      </c>
      <c r="I210" s="2" t="s">
        <v>2696</v>
      </c>
    </row>
    <row r="211" spans="1:11" ht="266">
      <c r="A211">
        <v>214</v>
      </c>
      <c r="B211" t="s">
        <v>931</v>
      </c>
      <c r="C211" t="s">
        <v>932</v>
      </c>
      <c r="D211" s="3" t="s">
        <v>933</v>
      </c>
      <c r="E211" t="s">
        <v>240</v>
      </c>
      <c r="F211" s="3" t="s">
        <v>934</v>
      </c>
      <c r="G211">
        <v>2021</v>
      </c>
      <c r="H211" s="1" t="str">
        <f>HYPERLINK("http://dx.doi.org/10.3390/agriculture11060503","http://dx.doi.org/10.3390/agriculture11060503")</f>
        <v>http://dx.doi.org/10.3390/agriculture11060503</v>
      </c>
      <c r="I211" s="2" t="s">
        <v>2697</v>
      </c>
    </row>
    <row r="212" spans="1:11" ht="306" hidden="1">
      <c r="A212">
        <v>215</v>
      </c>
      <c r="B212" t="s">
        <v>935</v>
      </c>
      <c r="C212" t="s">
        <v>936</v>
      </c>
      <c r="D212" s="3" t="s">
        <v>937</v>
      </c>
      <c r="E212" t="s">
        <v>138</v>
      </c>
      <c r="F212" s="3" t="s">
        <v>938</v>
      </c>
      <c r="G212">
        <v>2021</v>
      </c>
      <c r="H212" s="1" t="str">
        <f>HYPERLINK("http://dx.doi.org/10.3390/plants10061075","http://dx.doi.org/10.3390/plants10061075")</f>
        <v>http://dx.doi.org/10.3390/plants10061075</v>
      </c>
      <c r="I212" s="2" t="s">
        <v>2696</v>
      </c>
      <c r="J212" s="2" t="s">
        <v>2697</v>
      </c>
    </row>
    <row r="213" spans="1:11" ht="306">
      <c r="A213">
        <v>216</v>
      </c>
      <c r="B213" t="s">
        <v>939</v>
      </c>
      <c r="C213" t="s">
        <v>940</v>
      </c>
      <c r="D213" s="3" t="s">
        <v>941</v>
      </c>
      <c r="E213" t="s">
        <v>138</v>
      </c>
      <c r="F213" s="3" t="s">
        <v>942</v>
      </c>
      <c r="G213">
        <v>2021</v>
      </c>
      <c r="H213" s="1" t="str">
        <f>HYPERLINK("http://dx.doi.org/10.3390/plants10061203","http://dx.doi.org/10.3390/plants10061203")</f>
        <v>http://dx.doi.org/10.3390/plants10061203</v>
      </c>
      <c r="I213" s="2" t="s">
        <v>2697</v>
      </c>
    </row>
    <row r="214" spans="1:11" ht="182">
      <c r="A214">
        <v>217</v>
      </c>
      <c r="B214" t="s">
        <v>943</v>
      </c>
      <c r="C214" t="s">
        <v>944</v>
      </c>
      <c r="D214" s="3" t="s">
        <v>945</v>
      </c>
      <c r="E214" t="s">
        <v>788</v>
      </c>
      <c r="F214" s="3" t="s">
        <v>946</v>
      </c>
      <c r="G214">
        <v>2021</v>
      </c>
      <c r="H214" s="1" t="str">
        <f>HYPERLINK("http://dx.doi.org/10.1016/j.foodchem.2020.128727","http://dx.doi.org/10.1016/j.foodchem.2020.128727")</f>
        <v>http://dx.doi.org/10.1016/j.foodchem.2020.128727</v>
      </c>
      <c r="I214" s="2" t="s">
        <v>2697</v>
      </c>
    </row>
    <row r="215" spans="1:11" ht="196" hidden="1">
      <c r="A215">
        <v>218</v>
      </c>
      <c r="B215" t="s">
        <v>947</v>
      </c>
      <c r="C215" t="s">
        <v>948</v>
      </c>
      <c r="D215" s="3" t="s">
        <v>949</v>
      </c>
      <c r="E215" t="s">
        <v>950</v>
      </c>
      <c r="F215" s="3" t="s">
        <v>951</v>
      </c>
      <c r="G215">
        <v>2021</v>
      </c>
      <c r="H215" s="1" t="str">
        <f>HYPERLINK("http://dx.doi.org/10.1016/j.ejor.2021.01.034","http://dx.doi.org/10.1016/j.ejor.2021.01.034")</f>
        <v>http://dx.doi.org/10.1016/j.ejor.2021.01.034</v>
      </c>
      <c r="I215" s="2" t="s">
        <v>2699</v>
      </c>
      <c r="J215" s="2" t="s">
        <v>2697</v>
      </c>
    </row>
    <row r="216" spans="1:11" ht="224">
      <c r="A216">
        <v>219</v>
      </c>
      <c r="B216" t="s">
        <v>952</v>
      </c>
      <c r="C216" t="s">
        <v>953</v>
      </c>
      <c r="D216" s="3" t="s">
        <v>954</v>
      </c>
      <c r="E216" t="s">
        <v>93</v>
      </c>
      <c r="F216" s="3" t="s">
        <v>955</v>
      </c>
      <c r="G216">
        <v>2021</v>
      </c>
      <c r="H216" s="1" t="str">
        <f>HYPERLINK("http://dx.doi.org/10.1016/j.envexpbot.2021.104507","http://dx.doi.org/10.1016/j.envexpbot.2021.104507")</f>
        <v>http://dx.doi.org/10.1016/j.envexpbot.2021.104507</v>
      </c>
      <c r="I216" s="2" t="s">
        <v>2697</v>
      </c>
    </row>
    <row r="217" spans="1:11" ht="306">
      <c r="A217">
        <v>220</v>
      </c>
      <c r="B217" t="s">
        <v>956</v>
      </c>
      <c r="C217" t="s">
        <v>957</v>
      </c>
      <c r="D217" s="3" t="s">
        <v>958</v>
      </c>
      <c r="E217" t="s">
        <v>959</v>
      </c>
      <c r="F217" s="3" t="s">
        <v>960</v>
      </c>
      <c r="G217">
        <v>2021</v>
      </c>
      <c r="H217" s="1" t="str">
        <f>HYPERLINK("http://dx.doi.org/10.1111/pbi.13593","http://dx.doi.org/10.1111/pbi.13593")</f>
        <v>http://dx.doi.org/10.1111/pbi.13593</v>
      </c>
      <c r="I217" s="2" t="s">
        <v>2697</v>
      </c>
    </row>
    <row r="218" spans="1:11" ht="409.6">
      <c r="A218">
        <v>221</v>
      </c>
      <c r="B218" t="s">
        <v>961</v>
      </c>
      <c r="C218" t="s">
        <v>962</v>
      </c>
      <c r="D218" s="3" t="s">
        <v>963</v>
      </c>
      <c r="E218" t="s">
        <v>45</v>
      </c>
      <c r="F218" s="3" t="s">
        <v>964</v>
      </c>
      <c r="G218">
        <v>2021</v>
      </c>
      <c r="H218" s="1" t="str">
        <f>HYPERLINK("http://dx.doi.org/10.3390/horticulturae7050102","http://dx.doi.org/10.3390/horticulturae7050102")</f>
        <v>http://dx.doi.org/10.3390/horticulturae7050102</v>
      </c>
      <c r="I218" s="2" t="s">
        <v>2697</v>
      </c>
    </row>
    <row r="219" spans="1:11" ht="168" hidden="1">
      <c r="A219">
        <v>222</v>
      </c>
      <c r="B219" t="s">
        <v>965</v>
      </c>
      <c r="C219" t="s">
        <v>966</v>
      </c>
      <c r="D219" s="3" t="s">
        <v>967</v>
      </c>
      <c r="E219" t="s">
        <v>483</v>
      </c>
      <c r="F219" s="3" t="s">
        <v>968</v>
      </c>
      <c r="G219">
        <v>2021</v>
      </c>
      <c r="H219" s="1" t="str">
        <f>HYPERLINK("http://dx.doi.org/10.3390/en14092624","http://dx.doi.org/10.3390/en14092624")</f>
        <v>http://dx.doi.org/10.3390/en14092624</v>
      </c>
      <c r="I219" s="2" t="s">
        <v>2696</v>
      </c>
    </row>
    <row r="220" spans="1:11" ht="238">
      <c r="A220">
        <v>223</v>
      </c>
      <c r="B220" t="s">
        <v>969</v>
      </c>
      <c r="C220" t="s">
        <v>970</v>
      </c>
      <c r="D220" s="3" t="s">
        <v>971</v>
      </c>
      <c r="E220" t="s">
        <v>69</v>
      </c>
      <c r="F220" s="3" t="s">
        <v>972</v>
      </c>
      <c r="G220">
        <v>2021</v>
      </c>
      <c r="H220" s="1" t="str">
        <f>HYPERLINK("http://dx.doi.org/10.3390/agronomy11050932","http://dx.doi.org/10.3390/agronomy11050932")</f>
        <v>http://dx.doi.org/10.3390/agronomy11050932</v>
      </c>
      <c r="I220" s="2" t="s">
        <v>2697</v>
      </c>
    </row>
    <row r="221" spans="1:11" ht="238" hidden="1">
      <c r="A221">
        <v>224</v>
      </c>
      <c r="B221" t="s">
        <v>973</v>
      </c>
      <c r="C221" t="s">
        <v>974</v>
      </c>
      <c r="D221" s="3" t="s">
        <v>975</v>
      </c>
      <c r="E221" t="s">
        <v>976</v>
      </c>
      <c r="F221" s="3" t="s">
        <v>977</v>
      </c>
      <c r="G221">
        <v>2021</v>
      </c>
      <c r="H221" s="1" t="str">
        <f>HYPERLINK("http://dx.doi.org/10.1002/9781119312994.apr0728","http://dx.doi.org/10.1002/9781119312994.apr0728")</f>
        <v>http://dx.doi.org/10.1002/9781119312994.apr0728</v>
      </c>
      <c r="I221" s="2" t="s">
        <v>2696</v>
      </c>
      <c r="J221" s="2" t="s">
        <v>2698</v>
      </c>
      <c r="K221" t="s">
        <v>2699</v>
      </c>
    </row>
    <row r="222" spans="1:11" ht="293">
      <c r="A222">
        <v>225</v>
      </c>
      <c r="B222" t="s">
        <v>978</v>
      </c>
      <c r="C222" t="s">
        <v>979</v>
      </c>
      <c r="D222" s="3" t="s">
        <v>980</v>
      </c>
      <c r="E222" t="s">
        <v>138</v>
      </c>
      <c r="F222" s="3" t="s">
        <v>981</v>
      </c>
      <c r="G222">
        <v>2021</v>
      </c>
      <c r="H222" s="1" t="str">
        <f>HYPERLINK("http://dx.doi.org/10.3390/plants10050940","http://dx.doi.org/10.3390/plants10050940")</f>
        <v>http://dx.doi.org/10.3390/plants10050940</v>
      </c>
      <c r="I222" s="2" t="s">
        <v>2697</v>
      </c>
    </row>
    <row r="223" spans="1:11" ht="306" hidden="1">
      <c r="A223">
        <v>226</v>
      </c>
      <c r="B223" t="s">
        <v>982</v>
      </c>
      <c r="C223" t="s">
        <v>983</v>
      </c>
      <c r="D223" s="3" t="s">
        <v>984</v>
      </c>
      <c r="E223" t="s">
        <v>275</v>
      </c>
      <c r="F223" s="3" t="s">
        <v>985</v>
      </c>
      <c r="G223">
        <v>2021</v>
      </c>
      <c r="H223" s="1" t="str">
        <f>HYPERLINK("http://dx.doi.org/10.25165/j.ijabe.20211403.6114","http://dx.doi.org/10.25165/j.ijabe.20211403.6114")</f>
        <v>http://dx.doi.org/10.25165/j.ijabe.20211403.6114</v>
      </c>
      <c r="I223" s="2" t="s">
        <v>2696</v>
      </c>
    </row>
    <row r="224" spans="1:11" ht="409.6">
      <c r="A224">
        <v>227</v>
      </c>
      <c r="B224" t="s">
        <v>986</v>
      </c>
      <c r="C224" t="s">
        <v>987</v>
      </c>
      <c r="D224" s="3" t="s">
        <v>988</v>
      </c>
      <c r="E224" t="s">
        <v>250</v>
      </c>
      <c r="F224" s="3" t="s">
        <v>989</v>
      </c>
      <c r="G224">
        <v>2021</v>
      </c>
      <c r="H224" s="1" t="str">
        <f>HYPERLINK("http://dx.doi.org/10.1038/s41598-021-87911-7","http://dx.doi.org/10.1038/s41598-021-87911-7")</f>
        <v>http://dx.doi.org/10.1038/s41598-021-87911-7</v>
      </c>
      <c r="I224" s="2" t="s">
        <v>2697</v>
      </c>
    </row>
    <row r="225" spans="1:11" ht="409.6" hidden="1">
      <c r="A225">
        <v>228</v>
      </c>
      <c r="B225" t="s">
        <v>990</v>
      </c>
      <c r="C225" t="s">
        <v>991</v>
      </c>
      <c r="D225" s="3" t="s">
        <v>992</v>
      </c>
      <c r="E225" t="s">
        <v>993</v>
      </c>
      <c r="F225" s="3" t="s">
        <v>994</v>
      </c>
      <c r="G225">
        <v>2021</v>
      </c>
      <c r="H225" s="1" t="str">
        <f>HYPERLINK("http://dx.doi.org/10.1016/j.ufug.2021.127094","http://dx.doi.org/10.1016/j.ufug.2021.127094")</f>
        <v>http://dx.doi.org/10.1016/j.ufug.2021.127094</v>
      </c>
      <c r="I225" s="2" t="s">
        <v>2696</v>
      </c>
    </row>
    <row r="226" spans="1:11" ht="319">
      <c r="A226">
        <v>229</v>
      </c>
      <c r="B226" t="s">
        <v>995</v>
      </c>
      <c r="C226" t="s">
        <v>996</v>
      </c>
      <c r="D226" s="3" t="s">
        <v>997</v>
      </c>
      <c r="E226" t="s">
        <v>169</v>
      </c>
      <c r="F226" s="3" t="s">
        <v>998</v>
      </c>
      <c r="G226">
        <v>2021</v>
      </c>
      <c r="H226" s="1" t="str">
        <f>HYPERLINK("http://dx.doi.org/10.3389/fpls.2021.646144","http://dx.doi.org/10.3389/fpls.2021.646144")</f>
        <v>http://dx.doi.org/10.3389/fpls.2021.646144</v>
      </c>
      <c r="I226" s="2" t="s">
        <v>2697</v>
      </c>
    </row>
    <row r="227" spans="1:11" ht="384">
      <c r="A227">
        <v>230</v>
      </c>
      <c r="B227" t="s">
        <v>999</v>
      </c>
      <c r="C227" t="s">
        <v>1000</v>
      </c>
      <c r="D227" s="3" t="s">
        <v>1001</v>
      </c>
      <c r="E227" t="s">
        <v>138</v>
      </c>
      <c r="F227" s="3" t="s">
        <v>1002</v>
      </c>
      <c r="G227">
        <v>2021</v>
      </c>
      <c r="H227" s="1" t="str">
        <f>HYPERLINK("http://dx.doi.org/10.3390/plants10040704","http://dx.doi.org/10.3390/plants10040704")</f>
        <v>http://dx.doi.org/10.3390/plants10040704</v>
      </c>
      <c r="I227" s="2" t="s">
        <v>2697</v>
      </c>
    </row>
    <row r="228" spans="1:11" ht="306">
      <c r="A228">
        <v>231</v>
      </c>
      <c r="B228" t="s">
        <v>1003</v>
      </c>
      <c r="C228" t="s">
        <v>1004</v>
      </c>
      <c r="D228" s="3" t="s">
        <v>1005</v>
      </c>
      <c r="E228" t="s">
        <v>138</v>
      </c>
      <c r="F228" s="3" t="s">
        <v>1006</v>
      </c>
      <c r="G228">
        <v>2021</v>
      </c>
      <c r="H228" s="1" t="str">
        <f>HYPERLINK("http://dx.doi.org/10.3390/plants10040762","http://dx.doi.org/10.3390/plants10040762")</f>
        <v>http://dx.doi.org/10.3390/plants10040762</v>
      </c>
      <c r="I228" s="2" t="s">
        <v>2697</v>
      </c>
    </row>
    <row r="229" spans="1:11" ht="409.6" hidden="1">
      <c r="A229">
        <v>232</v>
      </c>
      <c r="B229" t="s">
        <v>1007</v>
      </c>
      <c r="C229" t="s">
        <v>1008</v>
      </c>
      <c r="D229" s="3" t="s">
        <v>1009</v>
      </c>
      <c r="E229" t="s">
        <v>1010</v>
      </c>
      <c r="F229" s="3" t="s">
        <v>1011</v>
      </c>
      <c r="G229">
        <v>2021</v>
      </c>
      <c r="H229" s="1" t="str">
        <f>HYPERLINK("http://dx.doi.org/10.1016/j.ref.2021.02.005","http://dx.doi.org/10.1016/j.ref.2021.02.005")</f>
        <v>http://dx.doi.org/10.1016/j.ref.2021.02.005</v>
      </c>
      <c r="I229" s="2" t="s">
        <v>2696</v>
      </c>
      <c r="J229" s="2" t="s">
        <v>2699</v>
      </c>
      <c r="K229" s="2" t="s">
        <v>2698</v>
      </c>
    </row>
    <row r="230" spans="1:11" ht="306">
      <c r="A230">
        <v>233</v>
      </c>
      <c r="B230" t="s">
        <v>1012</v>
      </c>
      <c r="C230" t="s">
        <v>1013</v>
      </c>
      <c r="D230" s="3" t="s">
        <v>1014</v>
      </c>
      <c r="E230" t="s">
        <v>50</v>
      </c>
      <c r="F230" s="3" t="s">
        <v>1015</v>
      </c>
      <c r="G230">
        <v>2021</v>
      </c>
      <c r="H230" s="1" t="str">
        <f>HYPERLINK("http://dx.doi.org/10.1007/s13580-021-00343-0","http://dx.doi.org/10.1007/s13580-021-00343-0")</f>
        <v>http://dx.doi.org/10.1007/s13580-021-00343-0</v>
      </c>
      <c r="I230" s="2" t="s">
        <v>2697</v>
      </c>
    </row>
    <row r="231" spans="1:11" ht="319">
      <c r="A231">
        <v>234</v>
      </c>
      <c r="B231" t="s">
        <v>1016</v>
      </c>
      <c r="C231" t="s">
        <v>1017</v>
      </c>
      <c r="D231" s="3" t="s">
        <v>1018</v>
      </c>
      <c r="E231" t="s">
        <v>50</v>
      </c>
      <c r="F231" s="3" t="s">
        <v>1019</v>
      </c>
      <c r="G231">
        <v>2021</v>
      </c>
      <c r="H231" s="1" t="str">
        <f>HYPERLINK("http://dx.doi.org/10.1007/s13580-021-00340-3","http://dx.doi.org/10.1007/s13580-021-00340-3")</f>
        <v>http://dx.doi.org/10.1007/s13580-021-00340-3</v>
      </c>
      <c r="I231" s="2" t="s">
        <v>2697</v>
      </c>
    </row>
    <row r="232" spans="1:11" ht="224">
      <c r="A232">
        <v>235</v>
      </c>
      <c r="B232" t="s">
        <v>1020</v>
      </c>
      <c r="C232" t="s">
        <v>1021</v>
      </c>
      <c r="D232" s="3" t="s">
        <v>1022</v>
      </c>
      <c r="E232" t="s">
        <v>788</v>
      </c>
      <c r="F232" s="3" t="s">
        <v>1023</v>
      </c>
      <c r="G232">
        <v>2021</v>
      </c>
      <c r="H232" s="1" t="str">
        <f>HYPERLINK("http://dx.doi.org/10.1016/j.foodchem.2020.128167","http://dx.doi.org/10.1016/j.foodchem.2020.128167")</f>
        <v>http://dx.doi.org/10.1016/j.foodchem.2020.128167</v>
      </c>
      <c r="I232" s="2" t="s">
        <v>2697</v>
      </c>
    </row>
    <row r="233" spans="1:11" ht="332" hidden="1">
      <c r="A233">
        <v>236</v>
      </c>
      <c r="B233" t="s">
        <v>1024</v>
      </c>
      <c r="C233" t="s">
        <v>1025</v>
      </c>
      <c r="D233" s="3" t="s">
        <v>1026</v>
      </c>
      <c r="E233" t="s">
        <v>1027</v>
      </c>
      <c r="F233" s="3" t="s">
        <v>1028</v>
      </c>
      <c r="G233">
        <v>2022</v>
      </c>
      <c r="H233" s="1" t="str">
        <f>HYPERLINK("http://dx.doi.org/10.1080/09640568.2021.1903404","http://dx.doi.org/10.1080/09640568.2021.1903404")</f>
        <v>http://dx.doi.org/10.1080/09640568.2021.1903404</v>
      </c>
      <c r="I233" s="2" t="s">
        <v>2699</v>
      </c>
    </row>
    <row r="234" spans="1:11" ht="280" hidden="1">
      <c r="A234">
        <v>237</v>
      </c>
      <c r="B234" t="s">
        <v>1029</v>
      </c>
      <c r="C234" t="s">
        <v>1030</v>
      </c>
      <c r="D234" s="3" t="s">
        <v>1031</v>
      </c>
      <c r="E234" t="s">
        <v>1032</v>
      </c>
      <c r="F234" s="3" t="s">
        <v>1033</v>
      </c>
      <c r="G234">
        <v>2021</v>
      </c>
      <c r="H234" s="1" t="str">
        <f>HYPERLINK("http://dx.doi.org/10.1016/j.buildenv.2021.107766","http://dx.doi.org/10.1016/j.buildenv.2021.107766")</f>
        <v>http://dx.doi.org/10.1016/j.buildenv.2021.107766</v>
      </c>
      <c r="I234" s="2" t="s">
        <v>2696</v>
      </c>
    </row>
    <row r="235" spans="1:11" ht="409.6">
      <c r="A235">
        <v>238</v>
      </c>
      <c r="B235" t="s">
        <v>1034</v>
      </c>
      <c r="C235" t="s">
        <v>1035</v>
      </c>
      <c r="D235" s="3" t="s">
        <v>1036</v>
      </c>
      <c r="E235" t="s">
        <v>169</v>
      </c>
      <c r="F235" s="3" t="s">
        <v>1037</v>
      </c>
      <c r="G235">
        <v>2021</v>
      </c>
      <c r="H235" s="1" t="str">
        <f>HYPERLINK("http://dx.doi.org/10.3389/fpls.2021.615853","http://dx.doi.org/10.3389/fpls.2021.615853")</f>
        <v>http://dx.doi.org/10.3389/fpls.2021.615853</v>
      </c>
      <c r="I235" s="2" t="s">
        <v>2697</v>
      </c>
    </row>
    <row r="236" spans="1:11" ht="293">
      <c r="A236">
        <v>239</v>
      </c>
      <c r="B236" t="s">
        <v>1038</v>
      </c>
      <c r="C236" t="s">
        <v>1039</v>
      </c>
      <c r="D236" s="3" t="s">
        <v>1040</v>
      </c>
      <c r="E236" t="s">
        <v>45</v>
      </c>
      <c r="F236" s="3" t="s">
        <v>1041</v>
      </c>
      <c r="G236">
        <v>2021</v>
      </c>
      <c r="H236" s="1" t="str">
        <f>HYPERLINK("http://dx.doi.org/10.3390/horticulturae7030056","http://dx.doi.org/10.3390/horticulturae7030056")</f>
        <v>http://dx.doi.org/10.3390/horticulturae7030056</v>
      </c>
      <c r="I236" s="2" t="s">
        <v>2697</v>
      </c>
    </row>
    <row r="237" spans="1:11" ht="293" hidden="1">
      <c r="A237">
        <v>240</v>
      </c>
      <c r="B237" t="s">
        <v>1042</v>
      </c>
      <c r="C237" t="s">
        <v>1043</v>
      </c>
      <c r="D237" s="3" t="s">
        <v>1044</v>
      </c>
      <c r="E237" t="s">
        <v>74</v>
      </c>
      <c r="F237" s="3" t="s">
        <v>1045</v>
      </c>
      <c r="G237">
        <v>2021</v>
      </c>
      <c r="H237" s="1" t="str">
        <f>HYPERLINK("http://dx.doi.org/10.3390/su13052471","http://dx.doi.org/10.3390/su13052471")</f>
        <v>http://dx.doi.org/10.3390/su13052471</v>
      </c>
      <c r="I237" s="2" t="s">
        <v>2696</v>
      </c>
      <c r="J237" s="2" t="s">
        <v>2698</v>
      </c>
    </row>
    <row r="238" spans="1:11" ht="224">
      <c r="A238">
        <v>241</v>
      </c>
      <c r="B238" t="s">
        <v>1046</v>
      </c>
      <c r="C238" t="s">
        <v>1047</v>
      </c>
      <c r="D238" s="3" t="s">
        <v>1048</v>
      </c>
      <c r="E238" t="s">
        <v>69</v>
      </c>
      <c r="F238" s="3" t="s">
        <v>1049</v>
      </c>
      <c r="G238">
        <v>2021</v>
      </c>
      <c r="H238" s="1" t="str">
        <f>HYPERLINK("http://dx.doi.org/10.3390/agronomy11030537","http://dx.doi.org/10.3390/agronomy11030537")</f>
        <v>http://dx.doi.org/10.3390/agronomy11030537</v>
      </c>
      <c r="I238" s="2" t="s">
        <v>2697</v>
      </c>
      <c r="J238" s="2"/>
    </row>
    <row r="239" spans="1:11" ht="293" hidden="1">
      <c r="A239">
        <v>242</v>
      </c>
      <c r="B239" t="s">
        <v>1050</v>
      </c>
      <c r="C239" t="s">
        <v>1051</v>
      </c>
      <c r="D239" s="3" t="s">
        <v>1052</v>
      </c>
      <c r="E239" t="s">
        <v>483</v>
      </c>
      <c r="F239" s="3" t="s">
        <v>1053</v>
      </c>
      <c r="G239">
        <v>2021</v>
      </c>
      <c r="H239" s="1" t="str">
        <f>HYPERLINK("http://dx.doi.org/10.3390/en14061603","http://dx.doi.org/10.3390/en14061603")</f>
        <v>http://dx.doi.org/10.3390/en14061603</v>
      </c>
      <c r="I239" s="2" t="s">
        <v>2696</v>
      </c>
    </row>
    <row r="240" spans="1:11" ht="293" hidden="1">
      <c r="A240">
        <v>243</v>
      </c>
      <c r="B240" t="s">
        <v>1054</v>
      </c>
      <c r="C240" t="s">
        <v>1055</v>
      </c>
      <c r="D240" s="3" t="s">
        <v>1056</v>
      </c>
      <c r="E240" t="s">
        <v>1057</v>
      </c>
      <c r="F240" s="3" t="s">
        <v>1058</v>
      </c>
      <c r="G240">
        <v>2021</v>
      </c>
      <c r="H240" s="1" t="str">
        <f>HYPERLINK("http://dx.doi.org/10.1109/JPHOTOV.2020.3048225","http://dx.doi.org/10.1109/JPHOTOV.2020.3048225")</f>
        <v>http://dx.doi.org/10.1109/JPHOTOV.2020.3048225</v>
      </c>
      <c r="I240" s="2" t="s">
        <v>2696</v>
      </c>
    </row>
    <row r="241" spans="1:10" ht="210">
      <c r="A241">
        <v>244</v>
      </c>
      <c r="B241" t="s">
        <v>1059</v>
      </c>
      <c r="C241" t="s">
        <v>1060</v>
      </c>
      <c r="D241" s="3" t="s">
        <v>1061</v>
      </c>
      <c r="E241" t="s">
        <v>788</v>
      </c>
      <c r="F241" s="3" t="s">
        <v>1062</v>
      </c>
      <c r="G241">
        <v>2021</v>
      </c>
      <c r="H241" s="1" t="str">
        <f>HYPERLINK("http://dx.doi.org/10.1016/j.foodchem.2020.128092","http://dx.doi.org/10.1016/j.foodchem.2020.128092")</f>
        <v>http://dx.doi.org/10.1016/j.foodchem.2020.128092</v>
      </c>
      <c r="I241" s="2" t="s">
        <v>2697</v>
      </c>
    </row>
    <row r="242" spans="1:10" ht="196" hidden="1">
      <c r="A242">
        <v>245</v>
      </c>
      <c r="B242" t="s">
        <v>1063</v>
      </c>
      <c r="C242" t="s">
        <v>1064</v>
      </c>
      <c r="D242" s="3" t="s">
        <v>1065</v>
      </c>
      <c r="E242" t="s">
        <v>1066</v>
      </c>
      <c r="F242" s="3" t="s">
        <v>1067</v>
      </c>
      <c r="G242">
        <v>2021</v>
      </c>
      <c r="H242" s="1" t="str">
        <f>HYPERLINK("http://dx.doi.org/10.1177/1178622121995819","http://dx.doi.org/10.1177/1178622121995819")</f>
        <v>http://dx.doi.org/10.1177/1178622121995819</v>
      </c>
      <c r="I242" s="2" t="s">
        <v>2696</v>
      </c>
    </row>
    <row r="243" spans="1:10" ht="266" hidden="1">
      <c r="A243">
        <v>246</v>
      </c>
      <c r="B243" t="s">
        <v>1068</v>
      </c>
      <c r="C243" t="s">
        <v>1069</v>
      </c>
      <c r="D243" s="3" t="s">
        <v>1070</v>
      </c>
      <c r="E243" t="s">
        <v>403</v>
      </c>
      <c r="F243" s="3" t="s">
        <v>1071</v>
      </c>
      <c r="G243">
        <v>2021</v>
      </c>
      <c r="H243" s="1" t="str">
        <f>HYPERLINK("http://dx.doi.org/10.3390/foods10030638","http://dx.doi.org/10.3390/foods10030638")</f>
        <v>http://dx.doi.org/10.3390/foods10030638</v>
      </c>
      <c r="I243" s="2" t="s">
        <v>2699</v>
      </c>
    </row>
    <row r="244" spans="1:10" ht="210" hidden="1">
      <c r="A244">
        <v>247</v>
      </c>
      <c r="B244" t="s">
        <v>1072</v>
      </c>
      <c r="C244" t="s">
        <v>1073</v>
      </c>
      <c r="D244" s="3" t="s">
        <v>1074</v>
      </c>
      <c r="E244" t="s">
        <v>1057</v>
      </c>
      <c r="F244" s="3" t="s">
        <v>1075</v>
      </c>
      <c r="G244">
        <v>2021</v>
      </c>
      <c r="H244" s="1" t="str">
        <f>HYPERLINK("http://dx.doi.org/10.1109/JPHOTOV.2020.3047199","http://dx.doi.org/10.1109/JPHOTOV.2020.3047199")</f>
        <v>http://dx.doi.org/10.1109/JPHOTOV.2020.3047199</v>
      </c>
      <c r="I244" s="2" t="s">
        <v>2696</v>
      </c>
    </row>
    <row r="245" spans="1:10" ht="345" hidden="1">
      <c r="A245">
        <v>248</v>
      </c>
      <c r="B245" t="s">
        <v>1076</v>
      </c>
      <c r="C245" t="s">
        <v>1077</v>
      </c>
      <c r="D245" s="3" t="s">
        <v>1078</v>
      </c>
      <c r="E245" t="s">
        <v>16</v>
      </c>
      <c r="F245" s="3" t="s">
        <v>1079</v>
      </c>
      <c r="G245">
        <v>2021</v>
      </c>
      <c r="H245" s="1" t="str">
        <f>HYPERLINK("http://dx.doi.org/10.1016/j.apenergy.2021.116583","http://dx.doi.org/10.1016/j.apenergy.2021.116583")</f>
        <v>http://dx.doi.org/10.1016/j.apenergy.2021.116583</v>
      </c>
      <c r="I245" s="2" t="s">
        <v>2696</v>
      </c>
      <c r="J245" s="2" t="s">
        <v>2698</v>
      </c>
    </row>
    <row r="246" spans="1:10" ht="210" hidden="1">
      <c r="A246">
        <v>249</v>
      </c>
      <c r="B246" t="s">
        <v>1080</v>
      </c>
      <c r="C246" t="s">
        <v>1081</v>
      </c>
      <c r="D246" s="3" t="s">
        <v>1082</v>
      </c>
      <c r="E246" t="s">
        <v>1083</v>
      </c>
      <c r="F246" s="3" t="s">
        <v>1084</v>
      </c>
      <c r="G246">
        <v>2021</v>
      </c>
      <c r="H246" s="1" t="str">
        <f>HYPERLINK("http://dx.doi.org/10.1177/0963662521990977","http://dx.doi.org/10.1177/0963662521990977")</f>
        <v>http://dx.doi.org/10.1177/0963662521990977</v>
      </c>
      <c r="I246" s="2" t="s">
        <v>2699</v>
      </c>
    </row>
    <row r="247" spans="1:10" ht="224" hidden="1">
      <c r="A247">
        <v>250</v>
      </c>
      <c r="B247" t="s">
        <v>1085</v>
      </c>
      <c r="C247" t="s">
        <v>1086</v>
      </c>
      <c r="D247" s="3" t="s">
        <v>1087</v>
      </c>
      <c r="E247" t="s">
        <v>1088</v>
      </c>
      <c r="F247" s="3" t="s">
        <v>1089</v>
      </c>
      <c r="G247">
        <v>2021</v>
      </c>
      <c r="H247" s="1" t="str">
        <f>HYPERLINK("http://dx.doi.org/10.1016/j.rser.2021.110786","http://dx.doi.org/10.1016/j.rser.2021.110786")</f>
        <v>http://dx.doi.org/10.1016/j.rser.2021.110786</v>
      </c>
      <c r="I247" s="2" t="s">
        <v>2696</v>
      </c>
    </row>
    <row r="248" spans="1:10" ht="319">
      <c r="A248">
        <v>252</v>
      </c>
      <c r="B248" t="s">
        <v>1090</v>
      </c>
      <c r="C248" t="s">
        <v>1091</v>
      </c>
      <c r="D248" s="3" t="s">
        <v>1092</v>
      </c>
      <c r="E248" t="s">
        <v>45</v>
      </c>
      <c r="F248" s="3" t="s">
        <v>1093</v>
      </c>
      <c r="G248">
        <v>2021</v>
      </c>
      <c r="H248" s="1" t="str">
        <f>HYPERLINK("http://dx.doi.org/10.3390/horticulturae7020032","http://dx.doi.org/10.3390/horticulturae7020032")</f>
        <v>http://dx.doi.org/10.3390/horticulturae7020032</v>
      </c>
      <c r="I248" s="2" t="s">
        <v>2697</v>
      </c>
    </row>
    <row r="249" spans="1:10" ht="332">
      <c r="A249">
        <v>253</v>
      </c>
      <c r="B249" t="s">
        <v>1094</v>
      </c>
      <c r="C249" t="s">
        <v>1095</v>
      </c>
      <c r="D249" s="3" t="s">
        <v>1096</v>
      </c>
      <c r="E249" t="s">
        <v>138</v>
      </c>
      <c r="F249" s="3" t="s">
        <v>1097</v>
      </c>
      <c r="G249">
        <v>2021</v>
      </c>
      <c r="H249" s="1" t="str">
        <f>HYPERLINK("http://dx.doi.org/10.3390/plants10020297","http://dx.doi.org/10.3390/plants10020297")</f>
        <v>http://dx.doi.org/10.3390/plants10020297</v>
      </c>
      <c r="I249" s="2" t="s">
        <v>2697</v>
      </c>
    </row>
    <row r="250" spans="1:10" ht="293">
      <c r="A250">
        <v>254</v>
      </c>
      <c r="B250" t="s">
        <v>939</v>
      </c>
      <c r="C250" t="s">
        <v>940</v>
      </c>
      <c r="D250" s="3" t="s">
        <v>1098</v>
      </c>
      <c r="E250" t="s">
        <v>69</v>
      </c>
      <c r="F250" s="3" t="s">
        <v>1099</v>
      </c>
      <c r="G250">
        <v>2021</v>
      </c>
      <c r="H250" s="1" t="str">
        <f>HYPERLINK("http://dx.doi.org/10.3390/agronomy11020363","http://dx.doi.org/10.3390/agronomy11020363")</f>
        <v>http://dx.doi.org/10.3390/agronomy11020363</v>
      </c>
      <c r="I250" s="2" t="s">
        <v>2697</v>
      </c>
    </row>
    <row r="251" spans="1:10" ht="409.6">
      <c r="A251">
        <v>255</v>
      </c>
      <c r="B251" t="s">
        <v>1100</v>
      </c>
      <c r="C251" t="s">
        <v>1101</v>
      </c>
      <c r="D251" s="3" t="s">
        <v>1102</v>
      </c>
      <c r="E251" t="s">
        <v>169</v>
      </c>
      <c r="F251" s="3" t="s">
        <v>1103</v>
      </c>
      <c r="G251">
        <v>2021</v>
      </c>
      <c r="H251" s="1" t="str">
        <f>HYPERLINK("http://dx.doi.org/10.3389/fpls.2021.619973","http://dx.doi.org/10.3389/fpls.2021.619973")</f>
        <v>http://dx.doi.org/10.3389/fpls.2021.619973</v>
      </c>
      <c r="I251" s="2" t="s">
        <v>2697</v>
      </c>
    </row>
    <row r="252" spans="1:10" ht="409.6">
      <c r="A252">
        <v>256</v>
      </c>
      <c r="B252" t="s">
        <v>1104</v>
      </c>
      <c r="C252" t="s">
        <v>1105</v>
      </c>
      <c r="D252" s="3" t="s">
        <v>1106</v>
      </c>
      <c r="E252" t="s">
        <v>169</v>
      </c>
      <c r="F252" s="3" t="s">
        <v>1107</v>
      </c>
      <c r="G252">
        <v>2021</v>
      </c>
      <c r="H252" s="1" t="str">
        <f>HYPERLINK("http://dx.doi.org/10.3389/fpls.2020.592171","http://dx.doi.org/10.3389/fpls.2020.592171")</f>
        <v>http://dx.doi.org/10.3389/fpls.2020.592171</v>
      </c>
      <c r="I252" s="2" t="s">
        <v>2697</v>
      </c>
      <c r="J252" s="2"/>
    </row>
    <row r="253" spans="1:10" ht="345">
      <c r="A253">
        <v>257</v>
      </c>
      <c r="B253" t="s">
        <v>1108</v>
      </c>
      <c r="C253" t="s">
        <v>1109</v>
      </c>
      <c r="D253" s="3" t="s">
        <v>1110</v>
      </c>
      <c r="E253" t="s">
        <v>169</v>
      </c>
      <c r="F253" s="3" t="s">
        <v>1111</v>
      </c>
      <c r="G253">
        <v>2021</v>
      </c>
      <c r="H253" s="1" t="str">
        <f>HYPERLINK("http://dx.doi.org/10.3389/fpls.2021.615355","http://dx.doi.org/10.3389/fpls.2021.615355")</f>
        <v>http://dx.doi.org/10.3389/fpls.2021.615355</v>
      </c>
      <c r="I253" s="2" t="s">
        <v>2697</v>
      </c>
    </row>
    <row r="254" spans="1:10" ht="397" hidden="1">
      <c r="A254">
        <v>258</v>
      </c>
      <c r="B254" t="s">
        <v>1112</v>
      </c>
      <c r="C254" t="s">
        <v>1113</v>
      </c>
      <c r="D254" s="3" t="s">
        <v>1114</v>
      </c>
      <c r="E254" t="s">
        <v>202</v>
      </c>
      <c r="F254" s="3" t="s">
        <v>1115</v>
      </c>
      <c r="G254">
        <v>2021</v>
      </c>
      <c r="H254" s="1" t="str">
        <f>HYPERLINK("http://dx.doi.org/10.3389/fsufs.2020.622720","http://dx.doi.org/10.3389/fsufs.2020.622720")</f>
        <v>http://dx.doi.org/10.3389/fsufs.2020.622720</v>
      </c>
      <c r="I254" s="2" t="s">
        <v>2696</v>
      </c>
    </row>
    <row r="255" spans="1:10" ht="409.6">
      <c r="A255">
        <v>259</v>
      </c>
      <c r="B255" t="s">
        <v>1116</v>
      </c>
      <c r="C255" t="s">
        <v>1117</v>
      </c>
      <c r="D255" s="3" t="s">
        <v>1118</v>
      </c>
      <c r="E255" t="s">
        <v>169</v>
      </c>
      <c r="F255" s="3" t="s">
        <v>1119</v>
      </c>
      <c r="G255">
        <v>2021</v>
      </c>
      <c r="H255" s="1" t="str">
        <f>HYPERLINK("http://dx.doi.org/10.3389/fpls.2020.610041","http://dx.doi.org/10.3389/fpls.2020.610041")</f>
        <v>http://dx.doi.org/10.3389/fpls.2020.610041</v>
      </c>
      <c r="I255" s="2" t="s">
        <v>2697</v>
      </c>
    </row>
    <row r="256" spans="1:10" ht="358">
      <c r="A256">
        <v>260</v>
      </c>
      <c r="B256" t="s">
        <v>1120</v>
      </c>
      <c r="C256" t="s">
        <v>1121</v>
      </c>
      <c r="D256" s="3" t="s">
        <v>1122</v>
      </c>
      <c r="E256" t="s">
        <v>169</v>
      </c>
      <c r="F256" s="3" t="s">
        <v>1123</v>
      </c>
      <c r="G256">
        <v>2021</v>
      </c>
      <c r="H256" s="1" t="str">
        <f>HYPERLINK("http://dx.doi.org/10.3389/fpls.2020.609977","http://dx.doi.org/10.3389/fpls.2020.609977")</f>
        <v>http://dx.doi.org/10.3389/fpls.2020.609977</v>
      </c>
      <c r="I256" s="2" t="s">
        <v>2697</v>
      </c>
    </row>
    <row r="257" spans="1:10" ht="409.6">
      <c r="A257">
        <v>261</v>
      </c>
      <c r="B257" t="s">
        <v>1124</v>
      </c>
      <c r="C257" t="s">
        <v>1125</v>
      </c>
      <c r="D257" s="3" t="s">
        <v>1126</v>
      </c>
      <c r="E257" t="s">
        <v>169</v>
      </c>
      <c r="F257" s="3" t="s">
        <v>1127</v>
      </c>
      <c r="G257">
        <v>2021</v>
      </c>
      <c r="H257" s="1" t="str">
        <f>HYPERLINK("http://dx.doi.org/10.3389/fpls.2020.598519","http://dx.doi.org/10.3389/fpls.2020.598519")</f>
        <v>http://dx.doi.org/10.3389/fpls.2020.598519</v>
      </c>
      <c r="I257" s="2" t="s">
        <v>2697</v>
      </c>
    </row>
    <row r="258" spans="1:10" ht="293">
      <c r="A258">
        <v>262</v>
      </c>
      <c r="B258" t="s">
        <v>1128</v>
      </c>
      <c r="C258" t="s">
        <v>1129</v>
      </c>
      <c r="D258" s="3" t="s">
        <v>1130</v>
      </c>
      <c r="E258" t="s">
        <v>106</v>
      </c>
      <c r="F258" s="3" t="s">
        <v>1131</v>
      </c>
      <c r="G258">
        <v>2022</v>
      </c>
      <c r="H258" s="1" t="str">
        <f>HYPERLINK("http://dx.doi.org/10.1007/s00344-020-10277-z","http://dx.doi.org/10.1007/s00344-020-10277-z")</f>
        <v>http://dx.doi.org/10.1007/s00344-020-10277-z</v>
      </c>
      <c r="I258" s="2" t="s">
        <v>2697</v>
      </c>
    </row>
    <row r="259" spans="1:10" ht="332">
      <c r="A259">
        <v>263</v>
      </c>
      <c r="B259" t="s">
        <v>1132</v>
      </c>
      <c r="C259" t="s">
        <v>1133</v>
      </c>
      <c r="D259" s="3" t="s">
        <v>1134</v>
      </c>
      <c r="E259" t="s">
        <v>1135</v>
      </c>
      <c r="F259" s="3" t="s">
        <v>1136</v>
      </c>
      <c r="G259">
        <v>2021</v>
      </c>
      <c r="H259" s="1" t="str">
        <f>HYPERLINK("http://dx.doi.org/10.7235/HORT.20210044","http://dx.doi.org/10.7235/HORT.20210044")</f>
        <v>http://dx.doi.org/10.7235/HORT.20210044</v>
      </c>
      <c r="I259" s="2" t="s">
        <v>2697</v>
      </c>
    </row>
    <row r="260" spans="1:10" ht="293">
      <c r="A260">
        <v>264</v>
      </c>
      <c r="B260" t="s">
        <v>1137</v>
      </c>
      <c r="C260" t="s">
        <v>1138</v>
      </c>
      <c r="D260" s="3" t="s">
        <v>1139</v>
      </c>
      <c r="E260" t="s">
        <v>1140</v>
      </c>
      <c r="F260" s="3" t="s">
        <v>1141</v>
      </c>
      <c r="G260">
        <v>2021</v>
      </c>
      <c r="H260" s="1" t="str">
        <f>HYPERLINK("http://dx.doi.org/10.3233/MGC-210028","http://dx.doi.org/10.3233/MGC-210028")</f>
        <v>http://dx.doi.org/10.3233/MGC-210028</v>
      </c>
      <c r="I260" s="2" t="s">
        <v>2697</v>
      </c>
    </row>
    <row r="261" spans="1:10" ht="332">
      <c r="A261">
        <v>265</v>
      </c>
      <c r="B261" t="s">
        <v>1142</v>
      </c>
      <c r="C261" t="s">
        <v>1143</v>
      </c>
      <c r="D261" s="3" t="s">
        <v>1144</v>
      </c>
      <c r="E261" t="s">
        <v>1135</v>
      </c>
      <c r="F261" s="3" t="s">
        <v>1145</v>
      </c>
      <c r="G261">
        <v>2021</v>
      </c>
      <c r="H261" s="1" t="str">
        <f>HYPERLINK("http://dx.doi.org/10.7235/HORT.20210049","http://dx.doi.org/10.7235/HORT.20210049")</f>
        <v>http://dx.doi.org/10.7235/HORT.20210049</v>
      </c>
      <c r="I261" s="2" t="s">
        <v>2697</v>
      </c>
    </row>
    <row r="262" spans="1:10" ht="280" hidden="1">
      <c r="A262">
        <v>266</v>
      </c>
      <c r="B262" t="s">
        <v>1146</v>
      </c>
      <c r="C262" t="s">
        <v>1147</v>
      </c>
      <c r="D262" s="3" t="s">
        <v>1148</v>
      </c>
      <c r="E262" t="s">
        <v>1149</v>
      </c>
      <c r="F262" s="3" t="s">
        <v>1150</v>
      </c>
      <c r="G262">
        <v>2021</v>
      </c>
      <c r="H262" s="1" t="str">
        <f>HYPERLINK("http://dx.doi.org/10.3934/bioeng.2021016","http://dx.doi.org/10.3934/bioeng.2021016")</f>
        <v>http://dx.doi.org/10.3934/bioeng.2021016</v>
      </c>
      <c r="I262" s="2" t="s">
        <v>2696</v>
      </c>
      <c r="J262" s="2" t="s">
        <v>2697</v>
      </c>
    </row>
    <row r="263" spans="1:10" ht="196" hidden="1">
      <c r="A263">
        <v>267</v>
      </c>
      <c r="B263" t="s">
        <v>1151</v>
      </c>
      <c r="C263" t="s">
        <v>1152</v>
      </c>
      <c r="D263" s="3" t="s">
        <v>1153</v>
      </c>
      <c r="E263" t="s">
        <v>1154</v>
      </c>
      <c r="F263" s="3" t="s">
        <v>1155</v>
      </c>
      <c r="G263">
        <v>2021</v>
      </c>
      <c r="H263" s="1" t="str">
        <f>HYPERLINK("http://dx.doi.org/10.4018/IJDSST.2021010103","http://dx.doi.org/10.4018/IJDSST.2021010103")</f>
        <v>http://dx.doi.org/10.4018/IJDSST.2021010103</v>
      </c>
      <c r="I263" s="2" t="s">
        <v>2699</v>
      </c>
    </row>
    <row r="264" spans="1:10" ht="358" hidden="1">
      <c r="A264">
        <v>268</v>
      </c>
      <c r="B264" t="s">
        <v>1156</v>
      </c>
      <c r="C264" t="s">
        <v>1157</v>
      </c>
      <c r="D264" s="3" t="s">
        <v>1158</v>
      </c>
      <c r="E264" t="s">
        <v>1159</v>
      </c>
      <c r="F264" s="3" t="s">
        <v>1160</v>
      </c>
      <c r="G264">
        <v>2021</v>
      </c>
      <c r="H264" s="1" t="str">
        <f>HYPERLINK("http://dx.doi.org/10.3390/ijerph18020414","http://dx.doi.org/10.3390/ijerph18020414")</f>
        <v>http://dx.doi.org/10.3390/ijerph18020414</v>
      </c>
      <c r="I264" s="2" t="s">
        <v>2699</v>
      </c>
    </row>
    <row r="265" spans="1:10" ht="196" hidden="1">
      <c r="A265">
        <v>269</v>
      </c>
      <c r="B265" t="s">
        <v>1161</v>
      </c>
      <c r="C265" t="s">
        <v>1162</v>
      </c>
      <c r="D265" s="3" t="s">
        <v>1163</v>
      </c>
      <c r="E265" t="s">
        <v>1164</v>
      </c>
      <c r="F265" s="3" t="s">
        <v>1165</v>
      </c>
      <c r="G265">
        <v>2021</v>
      </c>
      <c r="H265" s="1" t="str">
        <f>HYPERLINK("http://dx.doi.org/10.14502/Tekstilec2021.64.276-285","http://dx.doi.org/10.14502/Tekstilec2021.64.276-285")</f>
        <v>http://dx.doi.org/10.14502/Tekstilec2021.64.276-285</v>
      </c>
      <c r="I265" s="2" t="s">
        <v>2696</v>
      </c>
      <c r="J265" s="2" t="s">
        <v>2697</v>
      </c>
    </row>
    <row r="266" spans="1:10" ht="409.6" hidden="1">
      <c r="A266">
        <v>270</v>
      </c>
      <c r="B266" t="s">
        <v>1166</v>
      </c>
      <c r="C266" t="s">
        <v>1167</v>
      </c>
      <c r="D266" s="3" t="s">
        <v>1168</v>
      </c>
      <c r="E266" t="s">
        <v>1169</v>
      </c>
      <c r="F266" s="3" t="s">
        <v>1170</v>
      </c>
      <c r="G266">
        <v>2021</v>
      </c>
      <c r="H266" s="1" t="str">
        <f>HYPERLINK("http://dx.doi.org/10.32604/iasc.2021.014905","http://dx.doi.org/10.32604/iasc.2021.014905")</f>
        <v>http://dx.doi.org/10.32604/iasc.2021.014905</v>
      </c>
      <c r="I266" s="2" t="s">
        <v>2696</v>
      </c>
    </row>
    <row r="267" spans="1:10" ht="371">
      <c r="A267">
        <v>271</v>
      </c>
      <c r="B267" t="s">
        <v>1171</v>
      </c>
      <c r="C267" t="s">
        <v>1172</v>
      </c>
      <c r="D267" s="3" t="s">
        <v>1173</v>
      </c>
      <c r="E267" t="s">
        <v>1174</v>
      </c>
      <c r="F267" s="3" t="s">
        <v>1175</v>
      </c>
      <c r="G267">
        <v>2021</v>
      </c>
      <c r="H267" s="1" t="str">
        <f>HYPERLINK("http://dx.doi.org/10.1016/j.biotechadv.2020.107681","http://dx.doi.org/10.1016/j.biotechadv.2020.107681")</f>
        <v>http://dx.doi.org/10.1016/j.biotechadv.2020.107681</v>
      </c>
      <c r="I267" s="2" t="s">
        <v>2697</v>
      </c>
    </row>
    <row r="268" spans="1:10" ht="293">
      <c r="A268">
        <v>272</v>
      </c>
      <c r="B268" t="s">
        <v>1176</v>
      </c>
      <c r="C268" t="s">
        <v>1177</v>
      </c>
      <c r="D268" s="3" t="s">
        <v>1178</v>
      </c>
      <c r="E268" t="s">
        <v>1179</v>
      </c>
      <c r="F268" s="3" t="s">
        <v>1180</v>
      </c>
      <c r="G268">
        <v>2021</v>
      </c>
      <c r="H268" s="1" t="str">
        <f>HYPERLINK("http://dx.doi.org/10.3389/frsc.2021.582431","http://dx.doi.org/10.3389/frsc.2021.582431")</f>
        <v>http://dx.doi.org/10.3389/frsc.2021.582431</v>
      </c>
      <c r="I268" s="2" t="s">
        <v>2697</v>
      </c>
      <c r="J268" s="2" t="s">
        <v>2699</v>
      </c>
    </row>
    <row r="269" spans="1:10" ht="126">
      <c r="A269">
        <v>273</v>
      </c>
      <c r="B269" t="s">
        <v>1181</v>
      </c>
      <c r="C269" t="s">
        <v>1182</v>
      </c>
      <c r="D269" s="3" t="s">
        <v>1183</v>
      </c>
      <c r="E269" t="s">
        <v>1184</v>
      </c>
      <c r="F269" s="3" t="s">
        <v>1185</v>
      </c>
      <c r="G269">
        <v>2021</v>
      </c>
      <c r="H269" s="1" t="s">
        <v>8</v>
      </c>
      <c r="I269" s="2" t="s">
        <v>2697</v>
      </c>
    </row>
    <row r="270" spans="1:10" ht="358">
      <c r="A270">
        <v>274</v>
      </c>
      <c r="B270" t="s">
        <v>1186</v>
      </c>
      <c r="C270" t="s">
        <v>1187</v>
      </c>
      <c r="D270" s="3" t="s">
        <v>1188</v>
      </c>
      <c r="E270" t="s">
        <v>530</v>
      </c>
      <c r="F270" s="3" t="s">
        <v>1189</v>
      </c>
      <c r="G270">
        <v>2021</v>
      </c>
      <c r="H270" s="1" t="str">
        <f>HYPERLINK("http://dx.doi.org/10.2503/hortj.UTD-R015","http://dx.doi.org/10.2503/hortj.UTD-R015")</f>
        <v>http://dx.doi.org/10.2503/hortj.UTD-R015</v>
      </c>
      <c r="I270" s="2" t="s">
        <v>2697</v>
      </c>
      <c r="J270" s="2" t="s">
        <v>2696</v>
      </c>
    </row>
    <row r="271" spans="1:10" ht="306" hidden="1">
      <c r="A271">
        <v>275</v>
      </c>
      <c r="B271" t="s">
        <v>1190</v>
      </c>
      <c r="C271" t="s">
        <v>1191</v>
      </c>
      <c r="D271" s="3" t="s">
        <v>1192</v>
      </c>
      <c r="E271" t="s">
        <v>152</v>
      </c>
      <c r="F271" s="3" t="s">
        <v>1193</v>
      </c>
      <c r="G271">
        <v>2021</v>
      </c>
      <c r="H271" s="1" t="str">
        <f>HYPERLINK("http://dx.doi.org/10.3390/app11010310","http://dx.doi.org/10.3390/app11010310")</f>
        <v>http://dx.doi.org/10.3390/app11010310</v>
      </c>
      <c r="I271" s="2" t="s">
        <v>2696</v>
      </c>
      <c r="J271" s="2" t="s">
        <v>2698</v>
      </c>
    </row>
    <row r="272" spans="1:10" ht="293">
      <c r="A272">
        <v>276</v>
      </c>
      <c r="B272" t="s">
        <v>1194</v>
      </c>
      <c r="C272" t="s">
        <v>1195</v>
      </c>
      <c r="D272" s="3" t="s">
        <v>1196</v>
      </c>
      <c r="E272" t="s">
        <v>1135</v>
      </c>
      <c r="F272" s="3" t="s">
        <v>1197</v>
      </c>
      <c r="G272">
        <v>2021</v>
      </c>
      <c r="H272" s="1" t="str">
        <f>HYPERLINK("http://dx.doi.org/10.7235/HORT.20210020","http://dx.doi.org/10.7235/HORT.20210020")</f>
        <v>http://dx.doi.org/10.7235/HORT.20210020</v>
      </c>
      <c r="I272" s="2" t="s">
        <v>2697</v>
      </c>
    </row>
    <row r="273" spans="1:11" ht="266" hidden="1">
      <c r="A273">
        <v>277</v>
      </c>
      <c r="B273" t="s">
        <v>1198</v>
      </c>
      <c r="C273" t="s">
        <v>1199</v>
      </c>
      <c r="D273" s="3" t="s">
        <v>1200</v>
      </c>
      <c r="E273" t="s">
        <v>1201</v>
      </c>
      <c r="F273" s="3" t="s">
        <v>1202</v>
      </c>
      <c r="G273">
        <v>2021</v>
      </c>
      <c r="H273" s="1" t="s">
        <v>8</v>
      </c>
      <c r="I273" s="2" t="s">
        <v>2696</v>
      </c>
    </row>
    <row r="274" spans="1:11" ht="397" hidden="1">
      <c r="A274">
        <v>278</v>
      </c>
      <c r="B274" t="s">
        <v>1203</v>
      </c>
      <c r="C274" t="s">
        <v>1204</v>
      </c>
      <c r="D274" s="3" t="s">
        <v>1205</v>
      </c>
      <c r="E274" t="s">
        <v>488</v>
      </c>
      <c r="F274" s="3" t="s">
        <v>1206</v>
      </c>
      <c r="G274">
        <v>2021</v>
      </c>
      <c r="H274" s="1" t="str">
        <f>HYPERLINK("http://dx.doi.org/10.1109/ACCESS.2021.3054929","http://dx.doi.org/10.1109/ACCESS.2021.3054929")</f>
        <v>http://dx.doi.org/10.1109/ACCESS.2021.3054929</v>
      </c>
      <c r="I274" s="2" t="s">
        <v>2696</v>
      </c>
    </row>
    <row r="275" spans="1:11" ht="409.6" hidden="1">
      <c r="A275">
        <v>279</v>
      </c>
      <c r="B275" t="s">
        <v>1207</v>
      </c>
      <c r="C275" t="s">
        <v>1208</v>
      </c>
      <c r="D275" s="3" t="s">
        <v>1209</v>
      </c>
      <c r="E275" t="s">
        <v>1210</v>
      </c>
      <c r="F275" s="3" t="s">
        <v>1211</v>
      </c>
      <c r="G275">
        <v>2021</v>
      </c>
      <c r="H275" s="1" t="str">
        <f>HYPERLINK("http://dx.doi.org/10.1146/annurev-food-092220-030824","http://dx.doi.org/10.1146/annurev-food-092220-030824")</f>
        <v>http://dx.doi.org/10.1146/annurev-food-092220-030824</v>
      </c>
      <c r="I275" s="2" t="s">
        <v>2699</v>
      </c>
      <c r="J275" s="2" t="s">
        <v>2696</v>
      </c>
      <c r="K275" s="2" t="s">
        <v>2698</v>
      </c>
    </row>
    <row r="276" spans="1:11" ht="266">
      <c r="A276">
        <v>281</v>
      </c>
      <c r="B276" t="s">
        <v>1212</v>
      </c>
      <c r="C276" t="s">
        <v>1213</v>
      </c>
      <c r="D276" s="3" t="s">
        <v>1214</v>
      </c>
      <c r="E276" t="s">
        <v>1215</v>
      </c>
      <c r="F276" s="3" t="s">
        <v>1216</v>
      </c>
      <c r="G276">
        <v>2021</v>
      </c>
      <c r="H276" s="1" t="str">
        <f>HYPERLINK("http://dx.doi.org/10.11450/seitaikogaku.33.101","http://dx.doi.org/10.11450/seitaikogaku.33.101")</f>
        <v>http://dx.doi.org/10.11450/seitaikogaku.33.101</v>
      </c>
      <c r="I276" s="2" t="s">
        <v>2697</v>
      </c>
    </row>
    <row r="277" spans="1:11" ht="280" hidden="1">
      <c r="A277">
        <v>282</v>
      </c>
      <c r="B277" t="s">
        <v>1217</v>
      </c>
      <c r="C277" t="s">
        <v>1218</v>
      </c>
      <c r="D277" s="3" t="s">
        <v>1219</v>
      </c>
      <c r="E277" t="s">
        <v>1220</v>
      </c>
      <c r="F277" s="3" t="s">
        <v>1221</v>
      </c>
      <c r="G277">
        <v>2021</v>
      </c>
      <c r="H277" s="1" t="s">
        <v>8</v>
      </c>
      <c r="I277" s="2" t="s">
        <v>2699</v>
      </c>
      <c r="J277" s="2" t="s">
        <v>2697</v>
      </c>
    </row>
    <row r="278" spans="1:11" ht="319">
      <c r="A278">
        <v>283</v>
      </c>
      <c r="B278" t="s">
        <v>1222</v>
      </c>
      <c r="C278" t="s">
        <v>1223</v>
      </c>
      <c r="D278" s="3" t="s">
        <v>1224</v>
      </c>
      <c r="E278" t="s">
        <v>1135</v>
      </c>
      <c r="F278" s="3" t="s">
        <v>1225</v>
      </c>
      <c r="G278">
        <v>2021</v>
      </c>
      <c r="H278" s="1" t="str">
        <f>HYPERLINK("http://dx.doi.org/10.7235/HORT.20210006","http://dx.doi.org/10.7235/HORT.20210006")</f>
        <v>http://dx.doi.org/10.7235/HORT.20210006</v>
      </c>
      <c r="I278" s="2" t="s">
        <v>2697</v>
      </c>
    </row>
    <row r="279" spans="1:11" ht="293">
      <c r="A279">
        <v>284</v>
      </c>
      <c r="B279" t="s">
        <v>1226</v>
      </c>
      <c r="C279" t="s">
        <v>1227</v>
      </c>
      <c r="D279" s="3" t="s">
        <v>1228</v>
      </c>
      <c r="E279" t="s">
        <v>1229</v>
      </c>
      <c r="F279" s="3" t="s">
        <v>1230</v>
      </c>
      <c r="G279">
        <v>2021</v>
      </c>
      <c r="H279" s="1" t="str">
        <f>HYPERLINK("http://dx.doi.org/10.1007/s11738-020-03187-w","http://dx.doi.org/10.1007/s11738-020-03187-w")</f>
        <v>http://dx.doi.org/10.1007/s11738-020-03187-w</v>
      </c>
      <c r="I279" s="2" t="s">
        <v>2697</v>
      </c>
    </row>
    <row r="280" spans="1:11" ht="319">
      <c r="A280">
        <v>285</v>
      </c>
      <c r="B280" t="s">
        <v>1231</v>
      </c>
      <c r="C280" t="s">
        <v>1232</v>
      </c>
      <c r="D280" s="3" t="s">
        <v>1233</v>
      </c>
      <c r="E280" t="s">
        <v>1215</v>
      </c>
      <c r="F280" s="3" t="s">
        <v>1234</v>
      </c>
      <c r="G280">
        <v>2021</v>
      </c>
      <c r="H280" s="1" t="s">
        <v>8</v>
      </c>
      <c r="I280" s="2" t="s">
        <v>2697</v>
      </c>
    </row>
    <row r="281" spans="1:11" ht="397">
      <c r="A281">
        <v>286</v>
      </c>
      <c r="B281" t="s">
        <v>1235</v>
      </c>
      <c r="C281" t="s">
        <v>1236</v>
      </c>
      <c r="D281" s="3" t="s">
        <v>1237</v>
      </c>
      <c r="E281" t="s">
        <v>1238</v>
      </c>
      <c r="F281" s="3" t="s">
        <v>1239</v>
      </c>
      <c r="G281">
        <v>2021</v>
      </c>
      <c r="H281" s="1" t="s">
        <v>8</v>
      </c>
      <c r="I281" s="2" t="s">
        <v>2697</v>
      </c>
    </row>
    <row r="282" spans="1:11" ht="252">
      <c r="A282">
        <v>287</v>
      </c>
      <c r="B282" t="s">
        <v>1240</v>
      </c>
      <c r="C282" t="s">
        <v>1241</v>
      </c>
      <c r="D282" s="3" t="s">
        <v>1242</v>
      </c>
      <c r="E282" t="s">
        <v>1215</v>
      </c>
      <c r="F282" s="3" t="s">
        <v>1243</v>
      </c>
      <c r="G282">
        <v>2021</v>
      </c>
      <c r="H282" s="1" t="str">
        <f>HYPERLINK("http://dx.doi.org/10.11450/seitaikogaku.33.93","http://dx.doi.org/10.11450/seitaikogaku.33.93")</f>
        <v>http://dx.doi.org/10.11450/seitaikogaku.33.93</v>
      </c>
      <c r="I282" s="2" t="s">
        <v>2697</v>
      </c>
    </row>
    <row r="283" spans="1:11" ht="266" hidden="1">
      <c r="A283">
        <v>288</v>
      </c>
      <c r="B283" t="s">
        <v>1244</v>
      </c>
      <c r="C283" t="s">
        <v>1245</v>
      </c>
      <c r="D283" s="3" t="s">
        <v>1246</v>
      </c>
      <c r="E283" t="s">
        <v>1247</v>
      </c>
      <c r="F283" s="3" t="s">
        <v>1248</v>
      </c>
      <c r="G283">
        <v>2021</v>
      </c>
      <c r="H283" s="1" t="str">
        <f>HYPERLINK("http://dx.doi.org/10.5304/jafscd.2021.104.001","http://dx.doi.org/10.5304/jafscd.2021.104.001")</f>
        <v>http://dx.doi.org/10.5304/jafscd.2021.104.001</v>
      </c>
      <c r="I283" s="2" t="s">
        <v>2699</v>
      </c>
      <c r="J283" s="2" t="s">
        <v>2696</v>
      </c>
    </row>
    <row r="284" spans="1:11" ht="280">
      <c r="A284">
        <v>289</v>
      </c>
      <c r="B284" t="s">
        <v>1249</v>
      </c>
      <c r="C284" t="s">
        <v>1250</v>
      </c>
      <c r="D284" s="3" t="s">
        <v>1251</v>
      </c>
      <c r="E284" t="s">
        <v>1252</v>
      </c>
      <c r="F284" s="3" t="s">
        <v>1253</v>
      </c>
      <c r="G284">
        <v>2021</v>
      </c>
      <c r="H284" s="1" t="s">
        <v>8</v>
      </c>
      <c r="I284" s="2" t="s">
        <v>2697</v>
      </c>
    </row>
    <row r="285" spans="1:11" ht="280">
      <c r="A285">
        <v>290</v>
      </c>
      <c r="B285" t="s">
        <v>1254</v>
      </c>
      <c r="C285" t="s">
        <v>1255</v>
      </c>
      <c r="D285" s="3" t="s">
        <v>1256</v>
      </c>
      <c r="E285" t="s">
        <v>1201</v>
      </c>
      <c r="F285" s="3" t="s">
        <v>1257</v>
      </c>
      <c r="G285">
        <v>2021</v>
      </c>
      <c r="H285" s="1" t="s">
        <v>8</v>
      </c>
      <c r="I285" s="2" t="s">
        <v>2697</v>
      </c>
    </row>
    <row r="286" spans="1:11" ht="140" hidden="1">
      <c r="A286">
        <v>291</v>
      </c>
      <c r="B286" t="s">
        <v>1258</v>
      </c>
      <c r="C286" t="s">
        <v>1259</v>
      </c>
      <c r="D286" s="3" t="s">
        <v>1260</v>
      </c>
      <c r="E286" t="s">
        <v>1261</v>
      </c>
      <c r="F286" s="3" t="s">
        <v>1262</v>
      </c>
      <c r="G286">
        <v>2021</v>
      </c>
      <c r="H286" s="1" t="str">
        <f>HYPERLINK("http://dx.doi.org/10.34302/crpjfst/2021.13.1.1","http://dx.doi.org/10.34302/crpjfst/2021.13.1.1")</f>
        <v>http://dx.doi.org/10.34302/crpjfst/2021.13.1.1</v>
      </c>
      <c r="I286" s="2" t="s">
        <v>2696</v>
      </c>
    </row>
    <row r="287" spans="1:11" ht="252">
      <c r="A287">
        <v>292</v>
      </c>
      <c r="B287" t="s">
        <v>1263</v>
      </c>
      <c r="C287" t="s">
        <v>1264</v>
      </c>
      <c r="D287" s="3" t="s">
        <v>1265</v>
      </c>
      <c r="E287" t="s">
        <v>1266</v>
      </c>
      <c r="F287" s="3" t="s">
        <v>1267</v>
      </c>
      <c r="G287">
        <v>2021</v>
      </c>
      <c r="H287" s="1" t="str">
        <f>HYPERLINK("http://dx.doi.org/10.15835/nbha49412524","http://dx.doi.org/10.15835/nbha49412524")</f>
        <v>http://dx.doi.org/10.15835/nbha49412524</v>
      </c>
      <c r="I287" s="2" t="s">
        <v>2697</v>
      </c>
    </row>
    <row r="288" spans="1:11" ht="345">
      <c r="A288">
        <v>293</v>
      </c>
      <c r="B288" t="s">
        <v>1268</v>
      </c>
      <c r="C288" t="s">
        <v>1269</v>
      </c>
      <c r="D288" s="3" t="s">
        <v>1270</v>
      </c>
      <c r="E288" t="s">
        <v>169</v>
      </c>
      <c r="F288" s="3" t="s">
        <v>1271</v>
      </c>
      <c r="G288">
        <v>2020</v>
      </c>
      <c r="H288" s="1" t="str">
        <f>HYPERLINK("http://dx.doi.org/10.3389/fpls.2020.599982","http://dx.doi.org/10.3389/fpls.2020.599982")</f>
        <v>http://dx.doi.org/10.3389/fpls.2020.599982</v>
      </c>
      <c r="I288" s="2" t="s">
        <v>2697</v>
      </c>
    </row>
    <row r="289" spans="1:10" ht="384">
      <c r="A289">
        <v>294</v>
      </c>
      <c r="B289" t="s">
        <v>1272</v>
      </c>
      <c r="C289" t="s">
        <v>1273</v>
      </c>
      <c r="D289" s="3" t="s">
        <v>1274</v>
      </c>
      <c r="E289" t="s">
        <v>169</v>
      </c>
      <c r="F289" s="3" t="s">
        <v>1275</v>
      </c>
      <c r="G289">
        <v>2020</v>
      </c>
      <c r="H289" s="1" t="str">
        <f>HYPERLINK("http://dx.doi.org/10.3389/fpls.2020.598082","http://dx.doi.org/10.3389/fpls.2020.598082")</f>
        <v>http://dx.doi.org/10.3389/fpls.2020.598082</v>
      </c>
      <c r="I289" s="2" t="s">
        <v>2697</v>
      </c>
    </row>
    <row r="290" spans="1:10" ht="409.6">
      <c r="A290">
        <v>295</v>
      </c>
      <c r="B290" t="s">
        <v>1276</v>
      </c>
      <c r="C290" t="s">
        <v>1277</v>
      </c>
      <c r="D290" s="3" t="s">
        <v>1278</v>
      </c>
      <c r="E290" t="s">
        <v>169</v>
      </c>
      <c r="F290" s="3" t="s">
        <v>1279</v>
      </c>
      <c r="G290">
        <v>2020</v>
      </c>
      <c r="H290" s="1" t="str">
        <f>HYPERLINK("http://dx.doi.org/10.3389/fpls.2020.597906","http://dx.doi.org/10.3389/fpls.2020.597906")</f>
        <v>http://dx.doi.org/10.3389/fpls.2020.597906</v>
      </c>
      <c r="I290" s="2" t="s">
        <v>2697</v>
      </c>
    </row>
    <row r="291" spans="1:10" ht="358">
      <c r="A291">
        <v>296</v>
      </c>
      <c r="B291" t="s">
        <v>1280</v>
      </c>
      <c r="C291" t="s">
        <v>1281</v>
      </c>
      <c r="D291" s="3" t="s">
        <v>1282</v>
      </c>
      <c r="E291" t="s">
        <v>69</v>
      </c>
      <c r="F291" s="3" t="s">
        <v>1283</v>
      </c>
      <c r="G291">
        <v>2020</v>
      </c>
      <c r="H291" s="1" t="str">
        <f>HYPERLINK("http://dx.doi.org/10.3390/agronomy10121943","http://dx.doi.org/10.3390/agronomy10121943")</f>
        <v>http://dx.doi.org/10.3390/agronomy10121943</v>
      </c>
      <c r="I291" s="2" t="s">
        <v>2697</v>
      </c>
    </row>
    <row r="292" spans="1:10" ht="196" hidden="1">
      <c r="A292">
        <v>297</v>
      </c>
      <c r="B292" t="s">
        <v>1284</v>
      </c>
      <c r="C292" t="s">
        <v>1285</v>
      </c>
      <c r="D292" s="3" t="s">
        <v>1286</v>
      </c>
      <c r="E292" t="s">
        <v>84</v>
      </c>
      <c r="F292" s="3" t="s">
        <v>1287</v>
      </c>
      <c r="G292">
        <v>2020</v>
      </c>
      <c r="H292" s="1" t="str">
        <f>HYPERLINK("http://dx.doi.org/10.1016/j.compag.2020.105808","http://dx.doi.org/10.1016/j.compag.2020.105808")</f>
        <v>http://dx.doi.org/10.1016/j.compag.2020.105808</v>
      </c>
      <c r="I292" s="2" t="s">
        <v>2696</v>
      </c>
      <c r="J292" s="2" t="s">
        <v>2697</v>
      </c>
    </row>
    <row r="293" spans="1:10" ht="319">
      <c r="A293">
        <v>298</v>
      </c>
      <c r="B293" t="s">
        <v>1288</v>
      </c>
      <c r="C293" t="s">
        <v>1289</v>
      </c>
      <c r="D293" s="3" t="s">
        <v>1290</v>
      </c>
      <c r="E293" t="s">
        <v>912</v>
      </c>
      <c r="F293" s="3" t="s">
        <v>1291</v>
      </c>
      <c r="G293">
        <v>2020</v>
      </c>
      <c r="H293" s="1" t="str">
        <f>HYPERLINK("http://dx.doi.org/10.1016/j.foodcont.2020.107389","http://dx.doi.org/10.1016/j.foodcont.2020.107389")</f>
        <v>http://dx.doi.org/10.1016/j.foodcont.2020.107389</v>
      </c>
      <c r="I293" s="2" t="s">
        <v>2697</v>
      </c>
      <c r="J293" s="2" t="s">
        <v>2696</v>
      </c>
    </row>
    <row r="294" spans="1:10" ht="196" hidden="1">
      <c r="A294">
        <v>299</v>
      </c>
      <c r="B294" t="s">
        <v>1292</v>
      </c>
      <c r="C294" t="s">
        <v>1293</v>
      </c>
      <c r="D294" s="3" t="s">
        <v>1294</v>
      </c>
      <c r="E294" t="s">
        <v>1295</v>
      </c>
      <c r="F294" s="3" t="s">
        <v>1296</v>
      </c>
      <c r="G294">
        <v>2020</v>
      </c>
      <c r="H294" s="1" t="str">
        <f>HYPERLINK("http://dx.doi.org/10.1142/S1363919620400010","http://dx.doi.org/10.1142/S1363919620400010")</f>
        <v>http://dx.doi.org/10.1142/S1363919620400010</v>
      </c>
      <c r="I294" s="2" t="s">
        <v>2698</v>
      </c>
      <c r="J294" s="2" t="s">
        <v>2699</v>
      </c>
    </row>
    <row r="295" spans="1:10" ht="280" hidden="1">
      <c r="A295">
        <v>301</v>
      </c>
      <c r="B295" t="s">
        <v>1297</v>
      </c>
      <c r="C295" t="s">
        <v>1298</v>
      </c>
      <c r="D295" s="3" t="s">
        <v>1299</v>
      </c>
      <c r="E295" t="s">
        <v>11</v>
      </c>
      <c r="F295" s="3" t="s">
        <v>1300</v>
      </c>
      <c r="G295">
        <v>2020</v>
      </c>
      <c r="H295" s="1" t="str">
        <f>HYPERLINK("http://dx.doi.org/10.1016/j.biosystemseng.2020.08.017","http://dx.doi.org/10.1016/j.biosystemseng.2020.08.017")</f>
        <v>http://dx.doi.org/10.1016/j.biosystemseng.2020.08.017</v>
      </c>
      <c r="I295" s="2" t="s">
        <v>2696</v>
      </c>
    </row>
    <row r="296" spans="1:10" ht="293" hidden="1">
      <c r="A296">
        <v>302</v>
      </c>
      <c r="B296" t="s">
        <v>1301</v>
      </c>
      <c r="C296" t="s">
        <v>1302</v>
      </c>
      <c r="D296" s="3" t="s">
        <v>1303</v>
      </c>
      <c r="E296" t="s">
        <v>84</v>
      </c>
      <c r="F296" s="3" t="s">
        <v>1304</v>
      </c>
      <c r="G296">
        <v>2020</v>
      </c>
      <c r="H296" s="1" t="str">
        <f>HYPERLINK("http://dx.doi.org/10.1016/j.compag.2020.105847","http://dx.doi.org/10.1016/j.compag.2020.105847")</f>
        <v>http://dx.doi.org/10.1016/j.compag.2020.105847</v>
      </c>
      <c r="I296" s="2" t="s">
        <v>2696</v>
      </c>
    </row>
    <row r="297" spans="1:10" ht="252" hidden="1">
      <c r="A297">
        <v>303</v>
      </c>
      <c r="B297" t="s">
        <v>1305</v>
      </c>
      <c r="C297" t="s">
        <v>1306</v>
      </c>
      <c r="D297" s="3" t="s">
        <v>1307</v>
      </c>
      <c r="E297" t="s">
        <v>11</v>
      </c>
      <c r="F297" s="3" t="s">
        <v>1308</v>
      </c>
      <c r="G297">
        <v>2020</v>
      </c>
      <c r="H297" s="1" t="str">
        <f>HYPERLINK("http://dx.doi.org/10.1016/j.biosystemseng.2020.10.012","http://dx.doi.org/10.1016/j.biosystemseng.2020.10.012")</f>
        <v>http://dx.doi.org/10.1016/j.biosystemseng.2020.10.012</v>
      </c>
      <c r="I297" s="2" t="s">
        <v>2696</v>
      </c>
      <c r="J297" s="2" t="s">
        <v>2697</v>
      </c>
    </row>
    <row r="298" spans="1:10" ht="252">
      <c r="A298">
        <v>304</v>
      </c>
      <c r="B298" t="s">
        <v>1309</v>
      </c>
      <c r="C298" t="s">
        <v>1310</v>
      </c>
      <c r="D298" s="3" t="s">
        <v>1311</v>
      </c>
      <c r="E298" t="s">
        <v>45</v>
      </c>
      <c r="F298" s="3" t="s">
        <v>1312</v>
      </c>
      <c r="G298">
        <v>2020</v>
      </c>
      <c r="H298" s="1" t="str">
        <f>HYPERLINK("http://dx.doi.org/10.3390/horticulturae6040109","http://dx.doi.org/10.3390/horticulturae6040109")</f>
        <v>http://dx.doi.org/10.3390/horticulturae6040109</v>
      </c>
      <c r="I298" s="2" t="s">
        <v>2697</v>
      </c>
    </row>
    <row r="299" spans="1:10" ht="266">
      <c r="A299">
        <v>305</v>
      </c>
      <c r="B299" t="s">
        <v>1313</v>
      </c>
      <c r="C299" t="s">
        <v>1314</v>
      </c>
      <c r="D299" s="3" t="s">
        <v>1315</v>
      </c>
      <c r="E299" t="s">
        <v>69</v>
      </c>
      <c r="F299" s="3" t="s">
        <v>1316</v>
      </c>
      <c r="G299">
        <v>2020</v>
      </c>
      <c r="H299" s="1" t="str">
        <f>HYPERLINK("http://dx.doi.org/10.3390/agronomy10121979","http://dx.doi.org/10.3390/agronomy10121979")</f>
        <v>http://dx.doi.org/10.3390/agronomy10121979</v>
      </c>
      <c r="I299" s="2" t="s">
        <v>2697</v>
      </c>
    </row>
    <row r="300" spans="1:10" ht="280" hidden="1">
      <c r="A300">
        <v>306</v>
      </c>
      <c r="B300" t="s">
        <v>1317</v>
      </c>
      <c r="C300" t="s">
        <v>1318</v>
      </c>
      <c r="D300" s="3" t="s">
        <v>1319</v>
      </c>
      <c r="E300" t="s">
        <v>152</v>
      </c>
      <c r="F300" s="3" t="s">
        <v>1320</v>
      </c>
      <c r="G300">
        <v>2020</v>
      </c>
      <c r="H300" s="1" t="str">
        <f>HYPERLINK("http://dx.doi.org/10.3390/app10248907","http://dx.doi.org/10.3390/app10248907")</f>
        <v>http://dx.doi.org/10.3390/app10248907</v>
      </c>
      <c r="I300" s="2" t="s">
        <v>2698</v>
      </c>
      <c r="J300" s="2" t="s">
        <v>2696</v>
      </c>
    </row>
    <row r="301" spans="1:10" ht="238" hidden="1">
      <c r="A301">
        <v>307</v>
      </c>
      <c r="B301" t="s">
        <v>1321</v>
      </c>
      <c r="C301" t="s">
        <v>1322</v>
      </c>
      <c r="D301" s="3" t="s">
        <v>1323</v>
      </c>
      <c r="E301" t="s">
        <v>45</v>
      </c>
      <c r="F301" s="3" t="s">
        <v>1324</v>
      </c>
      <c r="G301">
        <v>2020</v>
      </c>
      <c r="H301" s="1" t="str">
        <f>HYPERLINK("http://dx.doi.org/10.3390/horticulturae6040063","http://dx.doi.org/10.3390/horticulturae6040063")</f>
        <v>http://dx.doi.org/10.3390/horticulturae6040063</v>
      </c>
      <c r="I301" s="2" t="s">
        <v>2696</v>
      </c>
    </row>
    <row r="302" spans="1:10" ht="384">
      <c r="A302">
        <v>308</v>
      </c>
      <c r="B302" t="s">
        <v>1325</v>
      </c>
      <c r="C302" t="s">
        <v>1326</v>
      </c>
      <c r="D302" s="3" t="s">
        <v>1327</v>
      </c>
      <c r="E302" t="s">
        <v>138</v>
      </c>
      <c r="F302" s="3" t="s">
        <v>1328</v>
      </c>
      <c r="G302">
        <v>2020</v>
      </c>
      <c r="H302" s="1" t="str">
        <f>HYPERLINK("http://dx.doi.org/10.3390/plants9121694","http://dx.doi.org/10.3390/plants9121694")</f>
        <v>http://dx.doi.org/10.3390/plants9121694</v>
      </c>
      <c r="I302" s="2" t="s">
        <v>2697</v>
      </c>
    </row>
    <row r="303" spans="1:10" ht="409.6" hidden="1">
      <c r="A303">
        <v>309</v>
      </c>
      <c r="B303" t="s">
        <v>1329</v>
      </c>
      <c r="C303" t="s">
        <v>1330</v>
      </c>
      <c r="D303" s="3" t="s">
        <v>1331</v>
      </c>
      <c r="E303" t="s">
        <v>1332</v>
      </c>
      <c r="F303" s="3" t="s">
        <v>1333</v>
      </c>
      <c r="G303">
        <v>2020</v>
      </c>
      <c r="H303" s="1" t="str">
        <f>HYPERLINK("http://dx.doi.org/10.1016/j.actaastro.2020.05.015","http://dx.doi.org/10.1016/j.actaastro.2020.05.015")</f>
        <v>http://dx.doi.org/10.1016/j.actaastro.2020.05.015</v>
      </c>
      <c r="I303" s="2" t="s">
        <v>2696</v>
      </c>
      <c r="J303" s="2" t="s">
        <v>2697</v>
      </c>
    </row>
    <row r="304" spans="1:10" ht="345">
      <c r="A304">
        <v>310</v>
      </c>
      <c r="B304" t="s">
        <v>1334</v>
      </c>
      <c r="C304" t="s">
        <v>1335</v>
      </c>
      <c r="D304" s="3" t="s">
        <v>1336</v>
      </c>
      <c r="E304" t="s">
        <v>503</v>
      </c>
      <c r="F304" s="3" t="s">
        <v>1337</v>
      </c>
      <c r="G304">
        <v>2020</v>
      </c>
      <c r="H304" s="1" t="str">
        <f>HYPERLINK("http://dx.doi.org/10.1016/j.tifs.2020.09.031","http://dx.doi.org/10.1016/j.tifs.2020.09.031")</f>
        <v>http://dx.doi.org/10.1016/j.tifs.2020.09.031</v>
      </c>
      <c r="I304" s="2" t="s">
        <v>2697</v>
      </c>
    </row>
    <row r="305" spans="1:10" ht="224" hidden="1">
      <c r="A305">
        <v>311</v>
      </c>
      <c r="B305" t="s">
        <v>1338</v>
      </c>
      <c r="C305" t="s">
        <v>1339</v>
      </c>
      <c r="D305" s="3" t="s">
        <v>1340</v>
      </c>
      <c r="E305" t="s">
        <v>183</v>
      </c>
      <c r="F305" s="3" t="s">
        <v>1341</v>
      </c>
      <c r="G305">
        <v>2020</v>
      </c>
      <c r="H305" s="1" t="str">
        <f>HYPERLINK("http://dx.doi.org/10.1016/j.scienta.2020.109631","http://dx.doi.org/10.1016/j.scienta.2020.109631")</f>
        <v>http://dx.doi.org/10.1016/j.scienta.2020.109631</v>
      </c>
      <c r="I305" s="2" t="s">
        <v>2696</v>
      </c>
      <c r="J305" s="2" t="s">
        <v>2697</v>
      </c>
    </row>
    <row r="306" spans="1:10" ht="238" hidden="1">
      <c r="A306">
        <v>312</v>
      </c>
      <c r="B306" t="s">
        <v>1342</v>
      </c>
      <c r="C306" t="s">
        <v>1343</v>
      </c>
      <c r="D306" s="3" t="s">
        <v>1344</v>
      </c>
      <c r="E306" t="s">
        <v>202</v>
      </c>
      <c r="F306" s="3" t="s">
        <v>1345</v>
      </c>
      <c r="G306">
        <v>2020</v>
      </c>
      <c r="H306" s="1" t="str">
        <f>HYPERLINK("http://dx.doi.org/10.3389/fsufs.2020.562513","http://dx.doi.org/10.3389/fsufs.2020.562513")</f>
        <v>http://dx.doi.org/10.3389/fsufs.2020.562513</v>
      </c>
      <c r="I306" s="2" t="s">
        <v>2699</v>
      </c>
    </row>
    <row r="307" spans="1:10" ht="266">
      <c r="A307">
        <v>313</v>
      </c>
      <c r="B307" t="s">
        <v>1346</v>
      </c>
      <c r="C307" t="s">
        <v>1347</v>
      </c>
      <c r="D307" s="3" t="s">
        <v>1348</v>
      </c>
      <c r="E307" t="s">
        <v>1349</v>
      </c>
      <c r="F307" s="3" t="s">
        <v>1350</v>
      </c>
      <c r="G307">
        <v>2020</v>
      </c>
      <c r="H307" s="1" t="str">
        <f>HYPERLINK("http://dx.doi.org/10.1021/acs.jafc.0c05020","http://dx.doi.org/10.1021/acs.jafc.0c05020")</f>
        <v>http://dx.doi.org/10.1021/acs.jafc.0c05020</v>
      </c>
      <c r="I307" s="2" t="s">
        <v>2697</v>
      </c>
    </row>
    <row r="308" spans="1:10" ht="280">
      <c r="A308">
        <v>314</v>
      </c>
      <c r="B308" t="s">
        <v>1351</v>
      </c>
      <c r="C308" t="s">
        <v>1352</v>
      </c>
      <c r="D308" s="3" t="s">
        <v>1353</v>
      </c>
      <c r="E308" t="s">
        <v>240</v>
      </c>
      <c r="F308" s="3" t="s">
        <v>1354</v>
      </c>
      <c r="G308">
        <v>2020</v>
      </c>
      <c r="H308" s="1" t="str">
        <f>HYPERLINK("http://dx.doi.org/10.3390/agriculture10110574","http://dx.doi.org/10.3390/agriculture10110574")</f>
        <v>http://dx.doi.org/10.3390/agriculture10110574</v>
      </c>
      <c r="I308" s="2" t="s">
        <v>2697</v>
      </c>
    </row>
    <row r="309" spans="1:10" ht="306">
      <c r="A309">
        <v>315</v>
      </c>
      <c r="B309" t="s">
        <v>1355</v>
      </c>
      <c r="C309" t="s">
        <v>1356</v>
      </c>
      <c r="D309" s="3" t="s">
        <v>1357</v>
      </c>
      <c r="E309" t="s">
        <v>69</v>
      </c>
      <c r="F309" s="3" t="s">
        <v>1358</v>
      </c>
      <c r="G309">
        <v>2020</v>
      </c>
      <c r="H309" s="1" t="str">
        <f>HYPERLINK("http://dx.doi.org/10.3390/agronomy10111680","http://dx.doi.org/10.3390/agronomy10111680")</f>
        <v>http://dx.doi.org/10.3390/agronomy10111680</v>
      </c>
      <c r="I309" s="2" t="s">
        <v>2697</v>
      </c>
    </row>
    <row r="310" spans="1:10" ht="409.6">
      <c r="A310">
        <v>316</v>
      </c>
      <c r="B310" t="s">
        <v>1359</v>
      </c>
      <c r="C310" t="s">
        <v>1360</v>
      </c>
      <c r="D310" s="3" t="s">
        <v>1361</v>
      </c>
      <c r="E310" t="s">
        <v>69</v>
      </c>
      <c r="F310" s="3" t="s">
        <v>1362</v>
      </c>
      <c r="G310">
        <v>2020</v>
      </c>
      <c r="H310" s="1" t="str">
        <f>HYPERLINK("http://dx.doi.org/10.3390/agronomy10111678","http://dx.doi.org/10.3390/agronomy10111678")</f>
        <v>http://dx.doi.org/10.3390/agronomy10111678</v>
      </c>
      <c r="I310" s="2" t="s">
        <v>2697</v>
      </c>
    </row>
    <row r="311" spans="1:10" ht="224" hidden="1">
      <c r="A311">
        <v>317</v>
      </c>
      <c r="B311" t="s">
        <v>1363</v>
      </c>
      <c r="C311" t="s">
        <v>1364</v>
      </c>
      <c r="D311" s="3" t="s">
        <v>1365</v>
      </c>
      <c r="E311" t="s">
        <v>84</v>
      </c>
      <c r="F311" s="3" t="s">
        <v>1366</v>
      </c>
      <c r="G311">
        <v>2020</v>
      </c>
      <c r="H311" s="1" t="str">
        <f>HYPERLINK("http://dx.doi.org/10.1016/j.compag.2020.105758","http://dx.doi.org/10.1016/j.compag.2020.105758")</f>
        <v>http://dx.doi.org/10.1016/j.compag.2020.105758</v>
      </c>
      <c r="I311" s="2" t="s">
        <v>2696</v>
      </c>
    </row>
    <row r="312" spans="1:10" ht="306">
      <c r="A312">
        <v>318</v>
      </c>
      <c r="B312" t="s">
        <v>1367</v>
      </c>
      <c r="C312" t="s">
        <v>1368</v>
      </c>
      <c r="D312" s="3" t="s">
        <v>1369</v>
      </c>
      <c r="E312" t="s">
        <v>659</v>
      </c>
      <c r="F312" s="3" t="s">
        <v>1370</v>
      </c>
      <c r="G312">
        <v>2020</v>
      </c>
      <c r="H312" s="1" t="str">
        <f>HYPERLINK("http://dx.doi.org/10.1016/j.indcrop.2020.112774","http://dx.doi.org/10.1016/j.indcrop.2020.112774")</f>
        <v>http://dx.doi.org/10.1016/j.indcrop.2020.112774</v>
      </c>
      <c r="I312" s="2" t="s">
        <v>2697</v>
      </c>
    </row>
    <row r="313" spans="1:10" ht="306">
      <c r="A313">
        <v>319</v>
      </c>
      <c r="B313" t="s">
        <v>1371</v>
      </c>
      <c r="C313" t="s">
        <v>1372</v>
      </c>
      <c r="D313" s="3" t="s">
        <v>1373</v>
      </c>
      <c r="E313" t="s">
        <v>69</v>
      </c>
      <c r="F313" s="3" t="s">
        <v>1374</v>
      </c>
      <c r="G313">
        <v>2020</v>
      </c>
      <c r="H313" s="1" t="str">
        <f>HYPERLINK("http://dx.doi.org/10.3390/agronomy10111659","http://dx.doi.org/10.3390/agronomy10111659")</f>
        <v>http://dx.doi.org/10.3390/agronomy10111659</v>
      </c>
      <c r="I313" s="2" t="s">
        <v>2697</v>
      </c>
    </row>
    <row r="314" spans="1:10" ht="154" hidden="1">
      <c r="A314">
        <v>320</v>
      </c>
      <c r="B314" t="s">
        <v>1375</v>
      </c>
      <c r="C314" t="s">
        <v>1376</v>
      </c>
      <c r="D314" s="3" t="s">
        <v>1377</v>
      </c>
      <c r="E314" t="s">
        <v>1378</v>
      </c>
      <c r="F314" s="3" t="s">
        <v>1379</v>
      </c>
      <c r="G314">
        <v>2020</v>
      </c>
      <c r="H314" s="1" t="str">
        <f>HYPERLINK("http://dx.doi.org/10.22215/timreview/1401","http://dx.doi.org/10.22215/timreview/1401")</f>
        <v>http://dx.doi.org/10.22215/timreview/1401</v>
      </c>
      <c r="I314" s="2" t="s">
        <v>2699</v>
      </c>
      <c r="J314" s="2" t="s">
        <v>2696</v>
      </c>
    </row>
    <row r="315" spans="1:10" ht="266" hidden="1">
      <c r="A315">
        <v>321</v>
      </c>
      <c r="B315" t="s">
        <v>1380</v>
      </c>
      <c r="C315" t="s">
        <v>1381</v>
      </c>
      <c r="D315" s="3" t="s">
        <v>1382</v>
      </c>
      <c r="E315" t="s">
        <v>69</v>
      </c>
      <c r="F315" s="3" t="s">
        <v>1383</v>
      </c>
      <c r="G315">
        <v>2020</v>
      </c>
      <c r="H315" s="1" t="str">
        <f>HYPERLINK("http://dx.doi.org/10.3390/agronomy10111663","http://dx.doi.org/10.3390/agronomy10111663")</f>
        <v>http://dx.doi.org/10.3390/agronomy10111663</v>
      </c>
      <c r="I315" s="2" t="s">
        <v>2696</v>
      </c>
    </row>
    <row r="316" spans="1:10" ht="384">
      <c r="A316">
        <v>322</v>
      </c>
      <c r="B316" t="s">
        <v>1384</v>
      </c>
      <c r="C316" t="s">
        <v>1385</v>
      </c>
      <c r="D316" s="3" t="s">
        <v>1386</v>
      </c>
      <c r="E316" t="s">
        <v>69</v>
      </c>
      <c r="F316" s="3" t="s">
        <v>1387</v>
      </c>
      <c r="G316">
        <v>2020</v>
      </c>
      <c r="H316" s="1" t="str">
        <f>HYPERLINK("http://dx.doi.org/10.3390/agronomy10111769","http://dx.doi.org/10.3390/agronomy10111769")</f>
        <v>http://dx.doi.org/10.3390/agronomy10111769</v>
      </c>
      <c r="I316" s="2" t="s">
        <v>2697</v>
      </c>
      <c r="J316" s="2" t="s">
        <v>2698</v>
      </c>
    </row>
    <row r="317" spans="1:10" ht="345">
      <c r="A317">
        <v>323</v>
      </c>
      <c r="B317" t="s">
        <v>1388</v>
      </c>
      <c r="C317" t="s">
        <v>1389</v>
      </c>
      <c r="D317" s="3" t="s">
        <v>1390</v>
      </c>
      <c r="E317" t="s">
        <v>138</v>
      </c>
      <c r="F317" s="3" t="s">
        <v>1391</v>
      </c>
      <c r="G317">
        <v>2020</v>
      </c>
      <c r="H317" s="1" t="str">
        <f>HYPERLINK("http://dx.doi.org/10.3390/plants9111542","http://dx.doi.org/10.3390/plants9111542")</f>
        <v>http://dx.doi.org/10.3390/plants9111542</v>
      </c>
      <c r="I317" s="2" t="s">
        <v>2697</v>
      </c>
    </row>
    <row r="318" spans="1:10" ht="319">
      <c r="A318">
        <v>324</v>
      </c>
      <c r="B318" t="s">
        <v>1226</v>
      </c>
      <c r="C318" t="s">
        <v>1227</v>
      </c>
      <c r="D318" s="3" t="s">
        <v>1392</v>
      </c>
      <c r="E318" t="s">
        <v>50</v>
      </c>
      <c r="F318" s="3" t="s">
        <v>1393</v>
      </c>
      <c r="G318">
        <v>2020</v>
      </c>
      <c r="H318" s="1" t="str">
        <f>HYPERLINK("http://dx.doi.org/10.1007/s13580-020-00285-z","http://dx.doi.org/10.1007/s13580-020-00285-z")</f>
        <v>http://dx.doi.org/10.1007/s13580-020-00285-z</v>
      </c>
      <c r="I318" s="2" t="s">
        <v>2697</v>
      </c>
    </row>
    <row r="319" spans="1:10" ht="371">
      <c r="A319">
        <v>325</v>
      </c>
      <c r="B319" t="s">
        <v>1394</v>
      </c>
      <c r="C319" t="s">
        <v>1395</v>
      </c>
      <c r="D319" s="3" t="s">
        <v>1396</v>
      </c>
      <c r="E319" t="s">
        <v>50</v>
      </c>
      <c r="F319" s="3" t="s">
        <v>1397</v>
      </c>
      <c r="G319">
        <v>2020</v>
      </c>
      <c r="H319" s="1" t="str">
        <f>HYPERLINK("http://dx.doi.org/10.1007/s13580-020-00284-0","http://dx.doi.org/10.1007/s13580-020-00284-0")</f>
        <v>http://dx.doi.org/10.1007/s13580-020-00284-0</v>
      </c>
      <c r="I319" s="2" t="s">
        <v>2697</v>
      </c>
    </row>
    <row r="320" spans="1:10" ht="371">
      <c r="A320">
        <v>326</v>
      </c>
      <c r="B320" t="s">
        <v>1398</v>
      </c>
      <c r="C320" t="s">
        <v>1399</v>
      </c>
      <c r="D320" s="3" t="s">
        <v>1400</v>
      </c>
      <c r="E320" t="s">
        <v>1229</v>
      </c>
      <c r="F320" s="3" t="s">
        <v>1401</v>
      </c>
      <c r="G320">
        <v>2020</v>
      </c>
      <c r="H320" s="1" t="str">
        <f>HYPERLINK("http://dx.doi.org/10.1007/s11738-020-03149-2","http://dx.doi.org/10.1007/s11738-020-03149-2")</f>
        <v>http://dx.doi.org/10.1007/s11738-020-03149-2</v>
      </c>
      <c r="I320" s="2" t="s">
        <v>2697</v>
      </c>
    </row>
    <row r="321" spans="1:10" ht="409.6">
      <c r="A321">
        <v>327</v>
      </c>
      <c r="B321" t="s">
        <v>1402</v>
      </c>
      <c r="C321" t="s">
        <v>1403</v>
      </c>
      <c r="D321" s="3" t="s">
        <v>1404</v>
      </c>
      <c r="E321" t="s">
        <v>183</v>
      </c>
      <c r="F321" s="3" t="s">
        <v>1405</v>
      </c>
      <c r="G321">
        <v>2020</v>
      </c>
      <c r="H321" s="1" t="str">
        <f>HYPERLINK("http://dx.doi.org/10.1016/j.scienta.2020.109508","http://dx.doi.org/10.1016/j.scienta.2020.109508")</f>
        <v>http://dx.doi.org/10.1016/j.scienta.2020.109508</v>
      </c>
      <c r="I321" s="2" t="s">
        <v>2697</v>
      </c>
      <c r="J321" s="2" t="s">
        <v>2698</v>
      </c>
    </row>
    <row r="322" spans="1:10" ht="306">
      <c r="A322">
        <v>328</v>
      </c>
      <c r="B322" t="s">
        <v>1406</v>
      </c>
      <c r="C322" t="s">
        <v>1407</v>
      </c>
      <c r="D322" s="3" t="s">
        <v>1408</v>
      </c>
      <c r="E322" t="s">
        <v>1409</v>
      </c>
      <c r="F322" s="3" t="s">
        <v>1410</v>
      </c>
      <c r="G322">
        <v>2020</v>
      </c>
      <c r="H322" s="1" t="str">
        <f>HYPERLINK("http://dx.doi.org/10.1007/s12230-020-09803-2","http://dx.doi.org/10.1007/s12230-020-09803-2")</f>
        <v>http://dx.doi.org/10.1007/s12230-020-09803-2</v>
      </c>
      <c r="I322" s="2" t="s">
        <v>2697</v>
      </c>
    </row>
    <row r="323" spans="1:10" ht="238" hidden="1">
      <c r="A323">
        <v>329</v>
      </c>
      <c r="B323" t="s">
        <v>1411</v>
      </c>
      <c r="C323" t="s">
        <v>1412</v>
      </c>
      <c r="D323" s="3" t="s">
        <v>1413</v>
      </c>
      <c r="E323" t="s">
        <v>231</v>
      </c>
      <c r="F323" s="3" t="s">
        <v>1414</v>
      </c>
      <c r="G323">
        <v>2020</v>
      </c>
      <c r="H323" s="1" t="str">
        <f>HYPERLINK("http://dx.doi.org/10.17660/eJHS.2020/85.5.6","http://dx.doi.org/10.17660/eJHS.2020/85.5.6")</f>
        <v>http://dx.doi.org/10.17660/eJHS.2020/85.5.6</v>
      </c>
      <c r="I323" s="2" t="s">
        <v>2699</v>
      </c>
    </row>
    <row r="324" spans="1:10" ht="306" hidden="1">
      <c r="A324">
        <v>330</v>
      </c>
      <c r="B324" t="s">
        <v>1415</v>
      </c>
      <c r="C324" t="s">
        <v>1416</v>
      </c>
      <c r="D324" s="3" t="s">
        <v>1417</v>
      </c>
      <c r="E324" t="s">
        <v>544</v>
      </c>
      <c r="F324" s="3" t="s">
        <v>1418</v>
      </c>
      <c r="G324">
        <v>2020</v>
      </c>
      <c r="H324" s="1" t="str">
        <f>HYPERLINK("http://dx.doi.org/10.3390/s20195495","http://dx.doi.org/10.3390/s20195495")</f>
        <v>http://dx.doi.org/10.3390/s20195495</v>
      </c>
      <c r="I324" s="2" t="s">
        <v>2696</v>
      </c>
    </row>
    <row r="325" spans="1:10" ht="224">
      <c r="A325">
        <v>331</v>
      </c>
      <c r="B325" t="s">
        <v>1419</v>
      </c>
      <c r="C325" t="s">
        <v>1420</v>
      </c>
      <c r="D325" s="3" t="s">
        <v>1421</v>
      </c>
      <c r="E325" t="s">
        <v>69</v>
      </c>
      <c r="F325" s="3" t="s">
        <v>1422</v>
      </c>
      <c r="G325">
        <v>2020</v>
      </c>
      <c r="H325" s="1" t="str">
        <f>HYPERLINK("http://dx.doi.org/10.3390/agronomy10101531","http://dx.doi.org/10.3390/agronomy10101531")</f>
        <v>http://dx.doi.org/10.3390/agronomy10101531</v>
      </c>
      <c r="I325" s="2" t="s">
        <v>2697</v>
      </c>
    </row>
    <row r="326" spans="1:10" ht="358" hidden="1">
      <c r="A326">
        <v>332</v>
      </c>
      <c r="B326" t="s">
        <v>1423</v>
      </c>
      <c r="C326" t="s">
        <v>1424</v>
      </c>
      <c r="D326" s="3" t="s">
        <v>1425</v>
      </c>
      <c r="E326" t="s">
        <v>74</v>
      </c>
      <c r="F326" s="3" t="s">
        <v>1426</v>
      </c>
      <c r="G326">
        <v>2020</v>
      </c>
      <c r="H326" s="1" t="str">
        <f>HYPERLINK("http://dx.doi.org/10.3390/su12198171","http://dx.doi.org/10.3390/su12198171")</f>
        <v>http://dx.doi.org/10.3390/su12198171</v>
      </c>
      <c r="I326" s="2" t="s">
        <v>2696</v>
      </c>
    </row>
    <row r="327" spans="1:10" ht="266" hidden="1">
      <c r="A327">
        <v>333</v>
      </c>
      <c r="B327" t="s">
        <v>1427</v>
      </c>
      <c r="C327" t="s">
        <v>1428</v>
      </c>
      <c r="D327" s="3" t="s">
        <v>1429</v>
      </c>
      <c r="E327" t="s">
        <v>74</v>
      </c>
      <c r="F327" s="3" t="s">
        <v>1430</v>
      </c>
      <c r="G327">
        <v>2020</v>
      </c>
      <c r="H327" s="1" t="str">
        <f>HYPERLINK("http://dx.doi.org/10.3390/su12198193","http://dx.doi.org/10.3390/su12198193")</f>
        <v>http://dx.doi.org/10.3390/su12198193</v>
      </c>
      <c r="I327" s="2" t="s">
        <v>2698</v>
      </c>
    </row>
    <row r="328" spans="1:10" ht="293" hidden="1">
      <c r="A328">
        <v>334</v>
      </c>
      <c r="B328" t="s">
        <v>1431</v>
      </c>
      <c r="C328" t="s">
        <v>1432</v>
      </c>
      <c r="D328" s="3" t="s">
        <v>1433</v>
      </c>
      <c r="E328" t="s">
        <v>929</v>
      </c>
      <c r="F328" s="3" t="s">
        <v>1434</v>
      </c>
      <c r="G328">
        <v>2020</v>
      </c>
      <c r="H328" s="1" t="str">
        <f>HYPERLINK("http://dx.doi.org/10.3390/electronics9101661","http://dx.doi.org/10.3390/electronics9101661")</f>
        <v>http://dx.doi.org/10.3390/electronics9101661</v>
      </c>
      <c r="I328" s="2" t="s">
        <v>2696</v>
      </c>
    </row>
    <row r="329" spans="1:10" ht="319" hidden="1">
      <c r="A329">
        <v>335</v>
      </c>
      <c r="B329" t="s">
        <v>1435</v>
      </c>
      <c r="C329" t="s">
        <v>1436</v>
      </c>
      <c r="D329" s="3" t="s">
        <v>1437</v>
      </c>
      <c r="E329" t="s">
        <v>69</v>
      </c>
      <c r="F329" s="3" t="s">
        <v>1438</v>
      </c>
      <c r="G329">
        <v>2020</v>
      </c>
      <c r="H329" s="1" t="str">
        <f>HYPERLINK("http://dx.doi.org/10.3390/agronomy10101545","http://dx.doi.org/10.3390/agronomy10101545")</f>
        <v>http://dx.doi.org/10.3390/agronomy10101545</v>
      </c>
      <c r="I329" s="2" t="s">
        <v>2696</v>
      </c>
    </row>
    <row r="330" spans="1:10" ht="252">
      <c r="A330">
        <v>336</v>
      </c>
      <c r="B330" t="s">
        <v>1439</v>
      </c>
      <c r="C330" t="s">
        <v>1440</v>
      </c>
      <c r="D330" s="3" t="s">
        <v>1441</v>
      </c>
      <c r="E330" t="s">
        <v>478</v>
      </c>
      <c r="F330" s="3" t="s">
        <v>1442</v>
      </c>
      <c r="G330">
        <v>2020</v>
      </c>
      <c r="H330" s="1" t="str">
        <f>HYPERLINK("http://dx.doi.org/10.2480/agrmet.D-20-00026","http://dx.doi.org/10.2480/agrmet.D-20-00026")</f>
        <v>http://dx.doi.org/10.2480/agrmet.D-20-00026</v>
      </c>
      <c r="I330" s="2" t="s">
        <v>2697</v>
      </c>
    </row>
    <row r="331" spans="1:10" ht="266">
      <c r="A331">
        <v>337</v>
      </c>
      <c r="B331" t="s">
        <v>1443</v>
      </c>
      <c r="C331" t="s">
        <v>1444</v>
      </c>
      <c r="D331" s="3" t="s">
        <v>1445</v>
      </c>
      <c r="E331" t="s">
        <v>69</v>
      </c>
      <c r="F331" s="3" t="s">
        <v>1446</v>
      </c>
      <c r="G331">
        <v>2020</v>
      </c>
      <c r="H331" s="1" t="str">
        <f>HYPERLINK("http://dx.doi.org/10.3390/agronomy10101475","http://dx.doi.org/10.3390/agronomy10101475")</f>
        <v>http://dx.doi.org/10.3390/agronomy10101475</v>
      </c>
      <c r="I331" s="2" t="s">
        <v>2697</v>
      </c>
    </row>
    <row r="332" spans="1:10" ht="154" hidden="1">
      <c r="A332">
        <v>338</v>
      </c>
      <c r="B332" t="s">
        <v>1447</v>
      </c>
      <c r="C332" t="s">
        <v>1448</v>
      </c>
      <c r="D332" s="3" t="s">
        <v>1449</v>
      </c>
      <c r="E332" t="s">
        <v>231</v>
      </c>
      <c r="F332" s="3" t="s">
        <v>1450</v>
      </c>
      <c r="G332">
        <v>2020</v>
      </c>
      <c r="H332" s="1" t="str">
        <f>HYPERLINK("http://dx.doi.org/10.17660/eJHS.2020/85.5.1","http://dx.doi.org/10.17660/eJHS.2020/85.5.1")</f>
        <v>http://dx.doi.org/10.17660/eJHS.2020/85.5.1</v>
      </c>
      <c r="I332" s="2" t="s">
        <v>2698</v>
      </c>
    </row>
    <row r="333" spans="1:10" ht="266" hidden="1">
      <c r="A333">
        <v>339</v>
      </c>
      <c r="B333" t="s">
        <v>1451</v>
      </c>
      <c r="C333" t="s">
        <v>1452</v>
      </c>
      <c r="D333" s="3" t="s">
        <v>1453</v>
      </c>
      <c r="E333" t="s">
        <v>1454</v>
      </c>
      <c r="F333" s="3" t="s">
        <v>1455</v>
      </c>
      <c r="G333">
        <v>2020</v>
      </c>
      <c r="H333" s="1" t="str">
        <f>HYPERLINK("http://dx.doi.org/10.1016/j.applthermaleng.2020.115738","http://dx.doi.org/10.1016/j.applthermaleng.2020.115738")</f>
        <v>http://dx.doi.org/10.1016/j.applthermaleng.2020.115738</v>
      </c>
      <c r="I333" s="2" t="s">
        <v>2696</v>
      </c>
    </row>
    <row r="334" spans="1:10" ht="293">
      <c r="A334">
        <v>340</v>
      </c>
      <c r="B334" t="s">
        <v>1456</v>
      </c>
      <c r="C334" t="s">
        <v>1457</v>
      </c>
      <c r="D334" s="3" t="s">
        <v>1458</v>
      </c>
      <c r="E334" t="s">
        <v>143</v>
      </c>
      <c r="F334" s="3" t="s">
        <v>1459</v>
      </c>
      <c r="G334">
        <v>2020</v>
      </c>
      <c r="H334" s="1" t="str">
        <f>HYPERLINK("http://dx.doi.org/10.3390/ijms21197134","http://dx.doi.org/10.3390/ijms21197134")</f>
        <v>http://dx.doi.org/10.3390/ijms21197134</v>
      </c>
      <c r="I334" s="2" t="s">
        <v>2697</v>
      </c>
    </row>
    <row r="335" spans="1:10" ht="409.6">
      <c r="A335">
        <v>341</v>
      </c>
      <c r="B335" t="s">
        <v>1460</v>
      </c>
      <c r="C335" t="s">
        <v>1461</v>
      </c>
      <c r="D335" s="3" t="s">
        <v>1462</v>
      </c>
      <c r="E335" t="s">
        <v>231</v>
      </c>
      <c r="F335" s="3" t="s">
        <v>1463</v>
      </c>
      <c r="G335">
        <v>2020</v>
      </c>
      <c r="H335" s="1" t="str">
        <f>HYPERLINK("http://dx.doi.org/10.17660/eJHS.2020/85.5.4","http://dx.doi.org/10.17660/eJHS.2020/85.5.4")</f>
        <v>http://dx.doi.org/10.17660/eJHS.2020/85.5.4</v>
      </c>
      <c r="I335" s="2" t="s">
        <v>2697</v>
      </c>
    </row>
    <row r="336" spans="1:10" ht="384">
      <c r="A336">
        <v>342</v>
      </c>
      <c r="B336" t="s">
        <v>1464</v>
      </c>
      <c r="C336" t="s">
        <v>1465</v>
      </c>
      <c r="D336" s="3" t="s">
        <v>1466</v>
      </c>
      <c r="E336" t="s">
        <v>69</v>
      </c>
      <c r="F336" s="3" t="s">
        <v>1467</v>
      </c>
      <c r="G336">
        <v>2020</v>
      </c>
      <c r="H336" s="1" t="str">
        <f>HYPERLINK("http://dx.doi.org/10.3390/agronomy10101456","http://dx.doi.org/10.3390/agronomy10101456")</f>
        <v>http://dx.doi.org/10.3390/agronomy10101456</v>
      </c>
      <c r="I336" s="2" t="s">
        <v>2697</v>
      </c>
    </row>
    <row r="337" spans="1:10" ht="358">
      <c r="A337">
        <v>343</v>
      </c>
      <c r="B337" t="s">
        <v>1468</v>
      </c>
      <c r="C337" t="s">
        <v>1469</v>
      </c>
      <c r="D337" s="3" t="s">
        <v>1470</v>
      </c>
      <c r="E337" t="s">
        <v>231</v>
      </c>
      <c r="F337" s="3" t="s">
        <v>1471</v>
      </c>
      <c r="G337">
        <v>2020</v>
      </c>
      <c r="H337" s="1" t="str">
        <f>HYPERLINK("http://dx.doi.org/10.17660/eJHS.2020/85.5.7","http://dx.doi.org/10.17660/eJHS.2020/85.5.7")</f>
        <v>http://dx.doi.org/10.17660/eJHS.2020/85.5.7</v>
      </c>
      <c r="I337" s="2" t="s">
        <v>2697</v>
      </c>
    </row>
    <row r="338" spans="1:10" ht="409.6" hidden="1">
      <c r="A338">
        <v>344</v>
      </c>
      <c r="B338" t="s">
        <v>99</v>
      </c>
      <c r="C338" t="s">
        <v>1472</v>
      </c>
      <c r="D338" s="3" t="s">
        <v>1473</v>
      </c>
      <c r="E338" t="s">
        <v>231</v>
      </c>
      <c r="F338" s="3" t="s">
        <v>1474</v>
      </c>
      <c r="G338">
        <v>2020</v>
      </c>
      <c r="H338" s="1" t="str">
        <f>HYPERLINK("http://dx.doi.org/10.17660/eJHS.2020/85.5.2","http://dx.doi.org/10.17660/eJHS.2020/85.5.2")</f>
        <v>http://dx.doi.org/10.17660/eJHS.2020/85.5.2</v>
      </c>
      <c r="I338" s="2" t="s">
        <v>2698</v>
      </c>
    </row>
    <row r="339" spans="1:10" ht="384" hidden="1">
      <c r="A339">
        <v>346</v>
      </c>
      <c r="B339" t="s">
        <v>1475</v>
      </c>
      <c r="C339" t="s">
        <v>1476</v>
      </c>
      <c r="D339" s="3" t="s">
        <v>1477</v>
      </c>
      <c r="E339" t="s">
        <v>30</v>
      </c>
      <c r="F339" s="3" t="s">
        <v>1478</v>
      </c>
      <c r="G339">
        <v>2020</v>
      </c>
      <c r="H339" s="1" t="str">
        <f>HYPERLINK("http://dx.doi.org/10.1016/j.jclepro.2020.121928","http://dx.doi.org/10.1016/j.jclepro.2020.121928")</f>
        <v>http://dx.doi.org/10.1016/j.jclepro.2020.121928</v>
      </c>
      <c r="I339" s="2" t="s">
        <v>2698</v>
      </c>
    </row>
    <row r="340" spans="1:10" ht="196" hidden="1">
      <c r="A340">
        <v>347</v>
      </c>
      <c r="B340" t="s">
        <v>1479</v>
      </c>
      <c r="C340" t="s">
        <v>1480</v>
      </c>
      <c r="D340" s="3" t="s">
        <v>1481</v>
      </c>
      <c r="E340" t="s">
        <v>1482</v>
      </c>
      <c r="F340" s="3" t="s">
        <v>1483</v>
      </c>
      <c r="G340">
        <v>2020</v>
      </c>
      <c r="H340" s="1" t="str">
        <f>HYPERLINK("http://dx.doi.org/10.1007/s00502-020-00824-7","http://dx.doi.org/10.1007/s00502-020-00824-7")</f>
        <v>http://dx.doi.org/10.1007/s00502-020-00824-7</v>
      </c>
      <c r="I340" s="2" t="s">
        <v>2696</v>
      </c>
    </row>
    <row r="341" spans="1:10" ht="332">
      <c r="A341">
        <v>348</v>
      </c>
      <c r="B341" t="s">
        <v>1484</v>
      </c>
      <c r="C341" t="s">
        <v>1485</v>
      </c>
      <c r="D341" s="3" t="s">
        <v>1486</v>
      </c>
      <c r="E341" t="s">
        <v>138</v>
      </c>
      <c r="F341" s="3" t="s">
        <v>1487</v>
      </c>
      <c r="G341">
        <v>2020</v>
      </c>
      <c r="H341" s="1" t="str">
        <f>HYPERLINK("http://dx.doi.org/10.3390/plants9091172","http://dx.doi.org/10.3390/plants9091172")</f>
        <v>http://dx.doi.org/10.3390/plants9091172</v>
      </c>
      <c r="I341" s="2" t="s">
        <v>2697</v>
      </c>
    </row>
    <row r="342" spans="1:10" ht="371">
      <c r="A342">
        <v>350</v>
      </c>
      <c r="B342" t="s">
        <v>1488</v>
      </c>
      <c r="C342" t="s">
        <v>1489</v>
      </c>
      <c r="D342" s="3" t="s">
        <v>1490</v>
      </c>
      <c r="E342" t="s">
        <v>625</v>
      </c>
      <c r="F342" s="3" t="s">
        <v>1491</v>
      </c>
      <c r="G342">
        <v>2020</v>
      </c>
      <c r="H342" s="1" t="str">
        <f>HYPERLINK("http://dx.doi.org/10.3390/molecules25184256","http://dx.doi.org/10.3390/molecules25184256")</f>
        <v>http://dx.doi.org/10.3390/molecules25184256</v>
      </c>
      <c r="I342" s="2" t="s">
        <v>2697</v>
      </c>
    </row>
    <row r="343" spans="1:10" ht="252" hidden="1">
      <c r="A343">
        <v>351</v>
      </c>
      <c r="B343" t="s">
        <v>1492</v>
      </c>
      <c r="C343" t="s">
        <v>1493</v>
      </c>
      <c r="D343" s="3" t="s">
        <v>1494</v>
      </c>
      <c r="E343" t="s">
        <v>74</v>
      </c>
      <c r="F343" s="3" t="s">
        <v>1495</v>
      </c>
      <c r="G343">
        <v>2020</v>
      </c>
      <c r="H343" s="1" t="str">
        <f>HYPERLINK("http://dx.doi.org/10.3390/su12187516","http://dx.doi.org/10.3390/su12187516")</f>
        <v>http://dx.doi.org/10.3390/su12187516</v>
      </c>
      <c r="I343" s="2" t="s">
        <v>2696</v>
      </c>
    </row>
    <row r="344" spans="1:10" ht="182" hidden="1">
      <c r="A344">
        <v>352</v>
      </c>
      <c r="B344" t="s">
        <v>1496</v>
      </c>
      <c r="C344" t="s">
        <v>1497</v>
      </c>
      <c r="D344" s="3" t="s">
        <v>1498</v>
      </c>
      <c r="E344" t="s">
        <v>1499</v>
      </c>
      <c r="F344" s="3" t="s">
        <v>1500</v>
      </c>
      <c r="G344">
        <v>2020</v>
      </c>
      <c r="H344" s="1" t="str">
        <f>HYPERLINK("http://dx.doi.org/10.2116/analsci.20a002","http://dx.doi.org/10.2116/analsci.20a002")</f>
        <v>http://dx.doi.org/10.2116/analsci.20a002</v>
      </c>
      <c r="I344" s="2" t="s">
        <v>2696</v>
      </c>
    </row>
    <row r="345" spans="1:10" ht="306">
      <c r="A345">
        <v>353</v>
      </c>
      <c r="B345" t="s">
        <v>1501</v>
      </c>
      <c r="C345" t="s">
        <v>1502</v>
      </c>
      <c r="D345" s="3" t="s">
        <v>1503</v>
      </c>
      <c r="E345" t="s">
        <v>1504</v>
      </c>
      <c r="F345" s="3" t="s">
        <v>1505</v>
      </c>
      <c r="G345">
        <v>2021</v>
      </c>
      <c r="H345" s="1" t="str">
        <f>HYPERLINK("http://dx.doi.org/10.1080/14620316.2020.1807416","http://dx.doi.org/10.1080/14620316.2020.1807416")</f>
        <v>http://dx.doi.org/10.1080/14620316.2020.1807416</v>
      </c>
      <c r="I345" s="2" t="s">
        <v>2697</v>
      </c>
    </row>
    <row r="346" spans="1:10" ht="266">
      <c r="A346">
        <v>354</v>
      </c>
      <c r="B346" t="s">
        <v>1506</v>
      </c>
      <c r="C346" t="s">
        <v>1507</v>
      </c>
      <c r="D346" s="3" t="s">
        <v>1508</v>
      </c>
      <c r="E346" t="s">
        <v>1504</v>
      </c>
      <c r="F346" s="3" t="s">
        <v>1509</v>
      </c>
      <c r="G346">
        <v>2021</v>
      </c>
      <c r="H346" s="1" t="str">
        <f>HYPERLINK("http://dx.doi.org/10.1080/14620316.2020.1804468","http://dx.doi.org/10.1080/14620316.2020.1804468")</f>
        <v>http://dx.doi.org/10.1080/14620316.2020.1804468</v>
      </c>
      <c r="I346" s="2" t="s">
        <v>2697</v>
      </c>
    </row>
    <row r="347" spans="1:10" ht="332">
      <c r="A347">
        <v>355</v>
      </c>
      <c r="B347" t="s">
        <v>1510</v>
      </c>
      <c r="C347" t="s">
        <v>1511</v>
      </c>
      <c r="D347" s="3" t="s">
        <v>1512</v>
      </c>
      <c r="E347" t="s">
        <v>749</v>
      </c>
      <c r="F347" s="3" t="s">
        <v>1513</v>
      </c>
      <c r="G347">
        <v>2021</v>
      </c>
      <c r="H347" s="1" t="str">
        <f>HYPERLINK("http://dx.doi.org/10.1002/jsfa.10636","http://dx.doi.org/10.1002/jsfa.10636")</f>
        <v>http://dx.doi.org/10.1002/jsfa.10636</v>
      </c>
      <c r="I347" s="2" t="s">
        <v>2697</v>
      </c>
    </row>
    <row r="348" spans="1:10" ht="266">
      <c r="A348">
        <v>356</v>
      </c>
      <c r="B348" t="s">
        <v>1514</v>
      </c>
      <c r="C348" t="s">
        <v>1515</v>
      </c>
      <c r="D348" s="3" t="s">
        <v>1516</v>
      </c>
      <c r="E348" t="s">
        <v>1517</v>
      </c>
      <c r="F348" s="3" t="s">
        <v>1518</v>
      </c>
      <c r="G348">
        <v>2020</v>
      </c>
      <c r="H348" s="1" t="str">
        <f>HYPERLINK("http://dx.doi.org/10.1073/pnas.2002655117","http://dx.doi.org/10.1073/pnas.2002655117")</f>
        <v>http://dx.doi.org/10.1073/pnas.2002655117</v>
      </c>
      <c r="I348" s="2" t="s">
        <v>2697</v>
      </c>
      <c r="J348" s="2" t="s">
        <v>2699</v>
      </c>
    </row>
    <row r="349" spans="1:10" ht="332">
      <c r="A349">
        <v>357</v>
      </c>
      <c r="B349" t="s">
        <v>1519</v>
      </c>
      <c r="C349" t="s">
        <v>1520</v>
      </c>
      <c r="D349" s="3" t="s">
        <v>1521</v>
      </c>
      <c r="E349" t="s">
        <v>69</v>
      </c>
      <c r="F349" s="3" t="s">
        <v>1522</v>
      </c>
      <c r="G349">
        <v>2020</v>
      </c>
      <c r="H349" s="1" t="str">
        <f>HYPERLINK("http://dx.doi.org/10.3390/agronomy10081082","http://dx.doi.org/10.3390/agronomy10081082")</f>
        <v>http://dx.doi.org/10.3390/agronomy10081082</v>
      </c>
      <c r="I349" s="2" t="s">
        <v>2697</v>
      </c>
    </row>
    <row r="350" spans="1:10" ht="280">
      <c r="A350">
        <v>358</v>
      </c>
      <c r="B350" t="s">
        <v>1523</v>
      </c>
      <c r="C350" t="s">
        <v>1524</v>
      </c>
      <c r="D350" s="3" t="s">
        <v>1525</v>
      </c>
      <c r="E350" t="s">
        <v>240</v>
      </c>
      <c r="F350" s="3" t="s">
        <v>1526</v>
      </c>
      <c r="G350">
        <v>2020</v>
      </c>
      <c r="H350" s="1" t="str">
        <f>HYPERLINK("http://dx.doi.org/10.3390/agriculture10080343","http://dx.doi.org/10.3390/agriculture10080343")</f>
        <v>http://dx.doi.org/10.3390/agriculture10080343</v>
      </c>
      <c r="I350" s="2" t="s">
        <v>2697</v>
      </c>
    </row>
    <row r="351" spans="1:10" ht="409.6">
      <c r="A351">
        <v>360</v>
      </c>
      <c r="B351" t="s">
        <v>1527</v>
      </c>
      <c r="C351" t="s">
        <v>1528</v>
      </c>
      <c r="D351" s="3" t="s">
        <v>1529</v>
      </c>
      <c r="E351" t="s">
        <v>74</v>
      </c>
      <c r="F351" s="3" t="s">
        <v>1530</v>
      </c>
      <c r="G351">
        <v>2020</v>
      </c>
      <c r="H351" s="1" t="str">
        <f>HYPERLINK("http://dx.doi.org/10.3390/su12166465","http://dx.doi.org/10.3390/su12166465")</f>
        <v>http://dx.doi.org/10.3390/su12166465</v>
      </c>
      <c r="I351" s="2" t="s">
        <v>2697</v>
      </c>
    </row>
    <row r="352" spans="1:10" ht="345">
      <c r="A352">
        <v>361</v>
      </c>
      <c r="B352" t="s">
        <v>1531</v>
      </c>
      <c r="C352" t="s">
        <v>1532</v>
      </c>
      <c r="D352" s="3" t="s">
        <v>1533</v>
      </c>
      <c r="E352" t="s">
        <v>819</v>
      </c>
      <c r="F352" s="3" t="s">
        <v>1534</v>
      </c>
      <c r="G352">
        <v>2020</v>
      </c>
      <c r="H352" s="1" t="str">
        <f>HYPERLINK("http://dx.doi.org/10.1016/S2095-3119(20)63209-9","http://dx.doi.org/10.1016/S2095-3119(20)63209-9")</f>
        <v>http://dx.doi.org/10.1016/S2095-3119(20)63209-9</v>
      </c>
      <c r="I352" s="2" t="s">
        <v>2697</v>
      </c>
    </row>
    <row r="353" spans="1:10" ht="154">
      <c r="A353">
        <v>362</v>
      </c>
      <c r="B353" t="s">
        <v>1535</v>
      </c>
      <c r="C353" t="s">
        <v>1536</v>
      </c>
      <c r="D353" s="3" t="s">
        <v>1537</v>
      </c>
      <c r="E353" t="s">
        <v>1538</v>
      </c>
      <c r="F353" s="3" t="s">
        <v>1539</v>
      </c>
      <c r="G353">
        <v>2020</v>
      </c>
      <c r="H353" s="1" t="str">
        <f>HYPERLINK("http://dx.doi.org/10.1111/nph.16780","http://dx.doi.org/10.1111/nph.16780")</f>
        <v>http://dx.doi.org/10.1111/nph.16780</v>
      </c>
      <c r="I353" s="2" t="s">
        <v>2697</v>
      </c>
    </row>
    <row r="354" spans="1:10" ht="358" hidden="1">
      <c r="A354">
        <v>363</v>
      </c>
      <c r="B354" t="s">
        <v>1540</v>
      </c>
      <c r="C354" t="s">
        <v>1541</v>
      </c>
      <c r="D354" s="3" t="s">
        <v>1542</v>
      </c>
      <c r="E354" t="s">
        <v>1543</v>
      </c>
      <c r="F354" s="3" t="s">
        <v>1544</v>
      </c>
      <c r="G354">
        <v>2020</v>
      </c>
      <c r="H354" s="1" t="str">
        <f>HYPERLINK("http://dx.doi.org/10.1177/0002764220945349","http://dx.doi.org/10.1177/0002764220945349")</f>
        <v>http://dx.doi.org/10.1177/0002764220945349</v>
      </c>
      <c r="I354" s="2" t="s">
        <v>2699</v>
      </c>
    </row>
    <row r="355" spans="1:10" ht="409.6" hidden="1">
      <c r="A355">
        <v>364</v>
      </c>
      <c r="B355" t="s">
        <v>1545</v>
      </c>
      <c r="C355" t="s">
        <v>1546</v>
      </c>
      <c r="D355" s="3" t="s">
        <v>1547</v>
      </c>
      <c r="E355" t="s">
        <v>169</v>
      </c>
      <c r="F355" s="3" t="s">
        <v>1548</v>
      </c>
      <c r="G355">
        <v>2020</v>
      </c>
      <c r="H355" s="1" t="str">
        <f>HYPERLINK("http://dx.doi.org/10.3389/fpls.2020.01038","http://dx.doi.org/10.3389/fpls.2020.01038")</f>
        <v>http://dx.doi.org/10.3389/fpls.2020.01038</v>
      </c>
      <c r="I355" s="2" t="s">
        <v>2696</v>
      </c>
      <c r="J355" s="2" t="s">
        <v>2697</v>
      </c>
    </row>
    <row r="356" spans="1:10" ht="319" hidden="1">
      <c r="A356">
        <v>366</v>
      </c>
      <c r="B356" t="s">
        <v>1549</v>
      </c>
      <c r="C356" t="s">
        <v>1550</v>
      </c>
      <c r="D356" s="3" t="s">
        <v>1551</v>
      </c>
      <c r="E356" t="s">
        <v>169</v>
      </c>
      <c r="F356" s="3" t="s">
        <v>1552</v>
      </c>
      <c r="G356">
        <v>2020</v>
      </c>
      <c r="H356" s="1" t="str">
        <f>HYPERLINK("http://dx.doi.org/10.3389/fpls.2020.00801","http://dx.doi.org/10.3389/fpls.2020.00801")</f>
        <v>http://dx.doi.org/10.3389/fpls.2020.00801</v>
      </c>
      <c r="I356" s="2" t="s">
        <v>2698</v>
      </c>
      <c r="J356" s="2" t="s">
        <v>2696</v>
      </c>
    </row>
    <row r="357" spans="1:10" ht="409.6">
      <c r="A357">
        <v>367</v>
      </c>
      <c r="B357" t="s">
        <v>1553</v>
      </c>
      <c r="C357" t="s">
        <v>1554</v>
      </c>
      <c r="D357" s="3" t="s">
        <v>1555</v>
      </c>
      <c r="E357" t="s">
        <v>1556</v>
      </c>
      <c r="F357" s="3" t="s">
        <v>1557</v>
      </c>
      <c r="G357">
        <v>2020</v>
      </c>
      <c r="H357" s="1" t="str">
        <f>HYPERLINK("http://dx.doi.org/10.21273/JASHS04927-20","http://dx.doi.org/10.21273/JASHS04927-20")</f>
        <v>http://dx.doi.org/10.21273/JASHS04927-20</v>
      </c>
      <c r="I357" s="2" t="s">
        <v>2697</v>
      </c>
    </row>
    <row r="358" spans="1:10" ht="358">
      <c r="A358">
        <v>368</v>
      </c>
      <c r="B358" t="s">
        <v>1558</v>
      </c>
      <c r="C358" t="s">
        <v>1559</v>
      </c>
      <c r="D358" s="3" t="s">
        <v>1560</v>
      </c>
      <c r="E358" t="s">
        <v>50</v>
      </c>
      <c r="F358" s="3" t="s">
        <v>1561</v>
      </c>
      <c r="G358">
        <v>2020</v>
      </c>
      <c r="H358" s="1" t="str">
        <f>HYPERLINK("http://dx.doi.org/10.1007/s13580-020-00255-5","http://dx.doi.org/10.1007/s13580-020-00255-5")</f>
        <v>http://dx.doi.org/10.1007/s13580-020-00255-5</v>
      </c>
      <c r="I358" s="2" t="s">
        <v>2697</v>
      </c>
    </row>
    <row r="359" spans="1:10" ht="293">
      <c r="A359">
        <v>370</v>
      </c>
      <c r="B359" t="s">
        <v>1562</v>
      </c>
      <c r="C359" t="s">
        <v>1563</v>
      </c>
      <c r="D359" s="3" t="s">
        <v>1564</v>
      </c>
      <c r="E359" t="s">
        <v>69</v>
      </c>
      <c r="F359" s="3" t="s">
        <v>1565</v>
      </c>
      <c r="G359">
        <v>2020</v>
      </c>
      <c r="H359" s="1" t="str">
        <f>HYPERLINK("http://dx.doi.org/10.3390/agronomy10070934","http://dx.doi.org/10.3390/agronomy10070934")</f>
        <v>http://dx.doi.org/10.3390/agronomy10070934</v>
      </c>
      <c r="I359" s="2" t="s">
        <v>2697</v>
      </c>
    </row>
    <row r="360" spans="1:10" ht="319">
      <c r="A360">
        <v>371</v>
      </c>
      <c r="B360" t="s">
        <v>1566</v>
      </c>
      <c r="C360" t="s">
        <v>1567</v>
      </c>
      <c r="D360" s="3" t="s">
        <v>1568</v>
      </c>
      <c r="E360" t="s">
        <v>69</v>
      </c>
      <c r="F360" s="3" t="s">
        <v>1569</v>
      </c>
      <c r="G360">
        <v>2020</v>
      </c>
      <c r="H360" s="1" t="str">
        <f>HYPERLINK("http://dx.doi.org/10.3390/agronomy10070920","http://dx.doi.org/10.3390/agronomy10070920")</f>
        <v>http://dx.doi.org/10.3390/agronomy10070920</v>
      </c>
      <c r="I360" s="2" t="s">
        <v>2697</v>
      </c>
    </row>
    <row r="361" spans="1:10" ht="293" hidden="1">
      <c r="A361">
        <v>372</v>
      </c>
      <c r="B361" t="s">
        <v>1570</v>
      </c>
      <c r="C361" t="s">
        <v>1571</v>
      </c>
      <c r="D361" s="3" t="s">
        <v>1572</v>
      </c>
      <c r="E361" t="s">
        <v>152</v>
      </c>
      <c r="F361" s="3" t="s">
        <v>1573</v>
      </c>
      <c r="G361">
        <v>2020</v>
      </c>
      <c r="H361" s="1" t="str">
        <f>HYPERLINK("http://dx.doi.org/10.3390/app10134665","http://dx.doi.org/10.3390/app10134665")</f>
        <v>http://dx.doi.org/10.3390/app10134665</v>
      </c>
      <c r="I361" s="2" t="s">
        <v>2696</v>
      </c>
      <c r="J361" s="2" t="s">
        <v>2697</v>
      </c>
    </row>
    <row r="362" spans="1:10" ht="345">
      <c r="A362">
        <v>373</v>
      </c>
      <c r="B362" t="s">
        <v>1226</v>
      </c>
      <c r="C362" t="s">
        <v>1227</v>
      </c>
      <c r="D362" s="3" t="s">
        <v>1574</v>
      </c>
      <c r="E362" t="s">
        <v>183</v>
      </c>
      <c r="F362" s="3" t="s">
        <v>1575</v>
      </c>
      <c r="G362">
        <v>2020</v>
      </c>
      <c r="H362" s="1" t="str">
        <f>HYPERLINK("http://dx.doi.org/10.1016/j.scienta.2020.109366","http://dx.doi.org/10.1016/j.scienta.2020.109366")</f>
        <v>http://dx.doi.org/10.1016/j.scienta.2020.109366</v>
      </c>
      <c r="I362" s="2" t="s">
        <v>2697</v>
      </c>
    </row>
    <row r="363" spans="1:10" ht="280" hidden="1">
      <c r="A363">
        <v>375</v>
      </c>
      <c r="B363" t="s">
        <v>1577</v>
      </c>
      <c r="C363" t="s">
        <v>1578</v>
      </c>
      <c r="D363" s="3" t="s">
        <v>1579</v>
      </c>
      <c r="E363" t="s">
        <v>544</v>
      </c>
      <c r="F363" s="3" t="s">
        <v>1580</v>
      </c>
      <c r="G363">
        <v>2020</v>
      </c>
      <c r="H363" s="1" t="str">
        <f>HYPERLINK("http://dx.doi.org/10.3390/s20113110","http://dx.doi.org/10.3390/s20113110")</f>
        <v>http://dx.doi.org/10.3390/s20113110</v>
      </c>
      <c r="I363" s="2" t="s">
        <v>2696</v>
      </c>
    </row>
    <row r="364" spans="1:10" ht="252">
      <c r="A364">
        <v>377</v>
      </c>
      <c r="B364" t="s">
        <v>1581</v>
      </c>
      <c r="C364" t="s">
        <v>1582</v>
      </c>
      <c r="D364" s="3" t="s">
        <v>1583</v>
      </c>
      <c r="E364" t="s">
        <v>138</v>
      </c>
      <c r="F364" s="3" t="s">
        <v>1584</v>
      </c>
      <c r="G364">
        <v>2020</v>
      </c>
      <c r="H364" s="1" t="str">
        <f>HYPERLINK("http://dx.doi.org/10.3390/plants9060793","http://dx.doi.org/10.3390/plants9060793")</f>
        <v>http://dx.doi.org/10.3390/plants9060793</v>
      </c>
      <c r="I364" s="2" t="s">
        <v>2697</v>
      </c>
    </row>
    <row r="365" spans="1:10" ht="210" hidden="1">
      <c r="A365">
        <v>378</v>
      </c>
      <c r="B365" t="s">
        <v>1585</v>
      </c>
      <c r="C365" t="s">
        <v>1586</v>
      </c>
      <c r="D365" s="3" t="s">
        <v>1587</v>
      </c>
      <c r="E365" t="s">
        <v>74</v>
      </c>
      <c r="F365" s="3" t="s">
        <v>1588</v>
      </c>
      <c r="G365">
        <v>2020</v>
      </c>
      <c r="H365" s="1" t="str">
        <f>HYPERLINK("http://dx.doi.org/10.3390/su12125058","http://dx.doi.org/10.3390/su12125058")</f>
        <v>http://dx.doi.org/10.3390/su12125058</v>
      </c>
      <c r="I365" s="2" t="s">
        <v>2699</v>
      </c>
      <c r="J365" s="2" t="s">
        <v>2698</v>
      </c>
    </row>
    <row r="366" spans="1:10" ht="182" hidden="1">
      <c r="A366">
        <v>380</v>
      </c>
      <c r="B366" t="s">
        <v>1589</v>
      </c>
      <c r="C366" t="s">
        <v>1590</v>
      </c>
      <c r="D366" s="3" t="s">
        <v>1591</v>
      </c>
      <c r="E366" t="s">
        <v>74</v>
      </c>
      <c r="F366" s="3" t="s">
        <v>1592</v>
      </c>
      <c r="G366">
        <v>2020</v>
      </c>
      <c r="H366" s="1" t="str">
        <f>HYPERLINK("http://dx.doi.org/10.3390/su12125012","http://dx.doi.org/10.3390/su12125012")</f>
        <v>http://dx.doi.org/10.3390/su12125012</v>
      </c>
      <c r="I366" s="2" t="s">
        <v>2699</v>
      </c>
    </row>
    <row r="367" spans="1:10" ht="196" hidden="1">
      <c r="A367">
        <v>381</v>
      </c>
      <c r="B367" t="s">
        <v>1593</v>
      </c>
      <c r="C367" t="s">
        <v>1594</v>
      </c>
      <c r="D367" s="3" t="s">
        <v>1595</v>
      </c>
      <c r="E367" t="s">
        <v>74</v>
      </c>
      <c r="F367" s="3" t="s">
        <v>1596</v>
      </c>
      <c r="G367">
        <v>2020</v>
      </c>
      <c r="H367" s="1" t="str">
        <f>HYPERLINK("http://dx.doi.org/10.3390/su12114640","http://dx.doi.org/10.3390/su12114640")</f>
        <v>http://dx.doi.org/10.3390/su12114640</v>
      </c>
      <c r="I367" s="2" t="s">
        <v>2698</v>
      </c>
    </row>
    <row r="368" spans="1:10" ht="409.6" hidden="1">
      <c r="A368">
        <v>382</v>
      </c>
      <c r="B368" t="s">
        <v>1597</v>
      </c>
      <c r="C368" t="s">
        <v>1598</v>
      </c>
      <c r="D368" s="3" t="s">
        <v>1599</v>
      </c>
      <c r="E368" t="s">
        <v>413</v>
      </c>
      <c r="F368" s="3" t="s">
        <v>1600</v>
      </c>
      <c r="G368">
        <v>2020</v>
      </c>
      <c r="H368" s="1" t="str">
        <f>HYPERLINK("http://dx.doi.org/10.21273/HORTSCI14901-20","http://dx.doi.org/10.21273/HORTSCI14901-20")</f>
        <v>http://dx.doi.org/10.21273/HORTSCI14901-20</v>
      </c>
      <c r="I368" s="2" t="s">
        <v>2696</v>
      </c>
    </row>
    <row r="369" spans="1:10" ht="409.6">
      <c r="A369">
        <v>383</v>
      </c>
      <c r="B369" t="s">
        <v>1601</v>
      </c>
      <c r="C369" t="s">
        <v>1602</v>
      </c>
      <c r="D369" s="3" t="s">
        <v>1603</v>
      </c>
      <c r="E369" t="s">
        <v>169</v>
      </c>
      <c r="F369" s="3" t="s">
        <v>1604</v>
      </c>
      <c r="G369">
        <v>2020</v>
      </c>
      <c r="H369" s="1" t="str">
        <f>HYPERLINK("http://dx.doi.org/10.3389/fpls.2020.00462","http://dx.doi.org/10.3389/fpls.2020.00462")</f>
        <v>http://dx.doi.org/10.3389/fpls.2020.00462</v>
      </c>
      <c r="I369" s="2" t="s">
        <v>2697</v>
      </c>
    </row>
    <row r="370" spans="1:10" ht="266" hidden="1">
      <c r="A370">
        <v>384</v>
      </c>
      <c r="B370" t="s">
        <v>1605</v>
      </c>
      <c r="C370" t="s">
        <v>1606</v>
      </c>
      <c r="D370" s="3" t="s">
        <v>1607</v>
      </c>
      <c r="E370" t="s">
        <v>30</v>
      </c>
      <c r="F370" s="3" t="s">
        <v>1608</v>
      </c>
      <c r="G370">
        <v>2020</v>
      </c>
      <c r="H370" s="1" t="str">
        <f>HYPERLINK("http://dx.doi.org/10.1016/j.jclepro.2020.120227","http://dx.doi.org/10.1016/j.jclepro.2020.120227")</f>
        <v>http://dx.doi.org/10.1016/j.jclepro.2020.120227</v>
      </c>
      <c r="I370" s="2" t="s">
        <v>2698</v>
      </c>
      <c r="J370" s="2" t="s">
        <v>2699</v>
      </c>
    </row>
    <row r="371" spans="1:10" ht="319">
      <c r="A371">
        <v>385</v>
      </c>
      <c r="B371" t="s">
        <v>1609</v>
      </c>
      <c r="C371" t="s">
        <v>1610</v>
      </c>
      <c r="D371" s="3" t="s">
        <v>1611</v>
      </c>
      <c r="E371" t="s">
        <v>138</v>
      </c>
      <c r="F371" s="3" t="s">
        <v>1612</v>
      </c>
      <c r="G371">
        <v>2020</v>
      </c>
      <c r="H371" s="1" t="str">
        <f>HYPERLINK("http://dx.doi.org/10.3390/plants9050556","http://dx.doi.org/10.3390/plants9050556")</f>
        <v>http://dx.doi.org/10.3390/plants9050556</v>
      </c>
      <c r="I371" s="2" t="s">
        <v>2697</v>
      </c>
    </row>
    <row r="372" spans="1:10" ht="409.6">
      <c r="A372">
        <v>386</v>
      </c>
      <c r="B372" t="s">
        <v>1613</v>
      </c>
      <c r="C372" t="s">
        <v>1614</v>
      </c>
      <c r="D372" s="3" t="s">
        <v>1615</v>
      </c>
      <c r="E372" t="s">
        <v>413</v>
      </c>
      <c r="F372" s="3" t="s">
        <v>1616</v>
      </c>
      <c r="G372">
        <v>2020</v>
      </c>
      <c r="H372" s="1" t="str">
        <f>HYPERLINK("http://dx.doi.org/10.21273/HORTSCI14671-19","http://dx.doi.org/10.21273/HORTSCI14671-19")</f>
        <v>http://dx.doi.org/10.21273/HORTSCI14671-19</v>
      </c>
      <c r="I372" s="2" t="s">
        <v>2697</v>
      </c>
    </row>
    <row r="373" spans="1:10" ht="210">
      <c r="A373">
        <v>387</v>
      </c>
      <c r="B373" t="s">
        <v>1617</v>
      </c>
      <c r="C373" t="s">
        <v>1618</v>
      </c>
      <c r="D373" s="3" t="s">
        <v>1619</v>
      </c>
      <c r="E373" t="s">
        <v>1620</v>
      </c>
      <c r="F373" s="3" t="s">
        <v>1621</v>
      </c>
      <c r="G373">
        <v>2020</v>
      </c>
      <c r="H373" s="1" t="str">
        <f>HYPERLINK("http://dx.doi.org/10.1111/aab.12587","http://dx.doi.org/10.1111/aab.12587")</f>
        <v>http://dx.doi.org/10.1111/aab.12587</v>
      </c>
      <c r="I373" s="2" t="s">
        <v>2697</v>
      </c>
    </row>
    <row r="374" spans="1:10" ht="280">
      <c r="A374">
        <v>389</v>
      </c>
      <c r="B374" t="s">
        <v>1622</v>
      </c>
      <c r="C374" t="s">
        <v>1623</v>
      </c>
      <c r="D374" s="3" t="s">
        <v>1624</v>
      </c>
      <c r="E374" t="s">
        <v>240</v>
      </c>
      <c r="F374" s="3" t="s">
        <v>1625</v>
      </c>
      <c r="G374">
        <v>2020</v>
      </c>
      <c r="H374" s="1" t="str">
        <f>HYPERLINK("http://dx.doi.org/10.3390/agriculture10050162","http://dx.doi.org/10.3390/agriculture10050162")</f>
        <v>http://dx.doi.org/10.3390/agriculture10050162</v>
      </c>
      <c r="I374" s="2" t="s">
        <v>2697</v>
      </c>
    </row>
    <row r="375" spans="1:10" ht="168" hidden="1">
      <c r="A375">
        <v>390</v>
      </c>
      <c r="B375" t="s">
        <v>1626</v>
      </c>
      <c r="C375" t="s">
        <v>1627</v>
      </c>
      <c r="D375" s="3" t="s">
        <v>1628</v>
      </c>
      <c r="E375" t="s">
        <v>11</v>
      </c>
      <c r="F375" s="3" t="s">
        <v>1629</v>
      </c>
      <c r="G375">
        <v>2020</v>
      </c>
      <c r="H375" s="1" t="str">
        <f>HYPERLINK("http://dx.doi.org/10.1016/j.biosystemseng.2020.02.007","http://dx.doi.org/10.1016/j.biosystemseng.2020.02.007")</f>
        <v>http://dx.doi.org/10.1016/j.biosystemseng.2020.02.007</v>
      </c>
      <c r="I375" s="2" t="s">
        <v>2696</v>
      </c>
    </row>
    <row r="376" spans="1:10" ht="332">
      <c r="A376">
        <v>391</v>
      </c>
      <c r="B376" t="s">
        <v>1630</v>
      </c>
      <c r="C376" t="s">
        <v>1631</v>
      </c>
      <c r="D376" s="3" t="s">
        <v>1632</v>
      </c>
      <c r="E376" t="s">
        <v>183</v>
      </c>
      <c r="F376" s="3" t="s">
        <v>1633</v>
      </c>
      <c r="G376">
        <v>2020</v>
      </c>
      <c r="H376" s="1" t="str">
        <f>HYPERLINK("http://dx.doi.org/10.1016/j.scienta.2020.109204","http://dx.doi.org/10.1016/j.scienta.2020.109204")</f>
        <v>http://dx.doi.org/10.1016/j.scienta.2020.109204</v>
      </c>
      <c r="I376" s="2" t="s">
        <v>2697</v>
      </c>
    </row>
    <row r="377" spans="1:10" ht="409.6">
      <c r="A377">
        <v>392</v>
      </c>
      <c r="B377" t="s">
        <v>1634</v>
      </c>
      <c r="C377" t="s">
        <v>1635</v>
      </c>
      <c r="D377" s="3" t="s">
        <v>1636</v>
      </c>
      <c r="E377" t="s">
        <v>183</v>
      </c>
      <c r="F377" s="3" t="s">
        <v>1637</v>
      </c>
      <c r="G377">
        <v>2020</v>
      </c>
      <c r="H377" s="1" t="str">
        <f>HYPERLINK("http://dx.doi.org/10.1016/j.scienta.2020.109195","http://dx.doi.org/10.1016/j.scienta.2020.109195")</f>
        <v>http://dx.doi.org/10.1016/j.scienta.2020.109195</v>
      </c>
      <c r="I377" s="2" t="s">
        <v>2697</v>
      </c>
    </row>
    <row r="378" spans="1:10" ht="238" hidden="1">
      <c r="A378">
        <v>393</v>
      </c>
      <c r="B378" t="s">
        <v>734</v>
      </c>
      <c r="C378" t="s">
        <v>735</v>
      </c>
      <c r="D378" s="3" t="s">
        <v>1638</v>
      </c>
      <c r="E378" t="s">
        <v>1576</v>
      </c>
      <c r="F378" s="3" t="s">
        <v>1639</v>
      </c>
      <c r="G378">
        <v>2020</v>
      </c>
      <c r="H378" s="1" t="str">
        <f>HYPERLINK("http://dx.doi.org/10.1007/s12571-019-01003-z","http://dx.doi.org/10.1007/s12571-019-01003-z")</f>
        <v>http://dx.doi.org/10.1007/s12571-019-01003-z</v>
      </c>
      <c r="I378" s="2" t="s">
        <v>2698</v>
      </c>
    </row>
    <row r="379" spans="1:10" ht="358" hidden="1">
      <c r="A379">
        <v>394</v>
      </c>
      <c r="B379" t="s">
        <v>1640</v>
      </c>
      <c r="C379" t="s">
        <v>1641</v>
      </c>
      <c r="D379" s="3" t="s">
        <v>1642</v>
      </c>
      <c r="E379" t="s">
        <v>138</v>
      </c>
      <c r="F379" s="3" t="s">
        <v>1643</v>
      </c>
      <c r="G379">
        <v>2020</v>
      </c>
      <c r="H379" s="1" t="str">
        <f>HYPERLINK("http://dx.doi.org/10.3390/plants9040490","http://dx.doi.org/10.3390/plants9040490")</f>
        <v>http://dx.doi.org/10.3390/plants9040490</v>
      </c>
      <c r="I379" s="2" t="s">
        <v>2696</v>
      </c>
      <c r="J379" s="2" t="s">
        <v>2697</v>
      </c>
    </row>
    <row r="380" spans="1:10" ht="319" hidden="1">
      <c r="A380">
        <v>395</v>
      </c>
      <c r="B380" t="s">
        <v>1644</v>
      </c>
      <c r="C380" t="s">
        <v>1645</v>
      </c>
      <c r="D380" s="3" t="s">
        <v>1646</v>
      </c>
      <c r="E380" t="s">
        <v>1647</v>
      </c>
      <c r="F380" s="3" t="s">
        <v>1648</v>
      </c>
      <c r="G380">
        <v>2020</v>
      </c>
      <c r="H380" s="1" t="str">
        <f>HYPERLINK("http://dx.doi.org/10.1039/d0tc00061b","http://dx.doi.org/10.1039/d0tc00061b")</f>
        <v>http://dx.doi.org/10.1039/d0tc00061b</v>
      </c>
      <c r="I380" s="2" t="s">
        <v>2696</v>
      </c>
    </row>
    <row r="381" spans="1:10" ht="332" hidden="1">
      <c r="A381">
        <v>396</v>
      </c>
      <c r="B381" t="s">
        <v>1649</v>
      </c>
      <c r="C381" t="s">
        <v>1650</v>
      </c>
      <c r="D381" s="3" t="s">
        <v>1651</v>
      </c>
      <c r="E381" t="s">
        <v>16</v>
      </c>
      <c r="F381" s="3" t="s">
        <v>1652</v>
      </c>
      <c r="G381">
        <v>2020</v>
      </c>
      <c r="H381" s="1" t="str">
        <f>HYPERLINK("http://dx.doi.org/10.1016/j.apenergy.2020.114544","http://dx.doi.org/10.1016/j.apenergy.2020.114544")</f>
        <v>http://dx.doi.org/10.1016/j.apenergy.2020.114544</v>
      </c>
      <c r="I381" s="2" t="s">
        <v>2698</v>
      </c>
    </row>
    <row r="382" spans="1:10" ht="293" hidden="1">
      <c r="A382">
        <v>397</v>
      </c>
      <c r="B382" t="s">
        <v>734</v>
      </c>
      <c r="C382" t="s">
        <v>735</v>
      </c>
      <c r="D382" s="3" t="s">
        <v>1653</v>
      </c>
      <c r="E382" t="s">
        <v>74</v>
      </c>
      <c r="F382" s="3" t="s">
        <v>1654</v>
      </c>
      <c r="G382">
        <v>2020</v>
      </c>
      <c r="H382" s="1" t="str">
        <f>HYPERLINK("http://dx.doi.org/10.3390/su12051965","http://dx.doi.org/10.3390/su12051965")</f>
        <v>http://dx.doi.org/10.3390/su12051965</v>
      </c>
      <c r="I382" s="2" t="s">
        <v>2699</v>
      </c>
      <c r="J382" s="2" t="s">
        <v>2698</v>
      </c>
    </row>
    <row r="383" spans="1:10" ht="224" hidden="1">
      <c r="A383">
        <v>398</v>
      </c>
      <c r="B383" t="s">
        <v>1655</v>
      </c>
      <c r="C383" t="s">
        <v>1656</v>
      </c>
      <c r="D383" s="3" t="s">
        <v>1657</v>
      </c>
      <c r="E383" t="s">
        <v>1658</v>
      </c>
      <c r="F383" s="3" t="s">
        <v>1659</v>
      </c>
      <c r="G383">
        <v>2020</v>
      </c>
      <c r="H383" s="1" t="str">
        <f>HYPERLINK("http://dx.doi.org/10.1016/j.gfs.2019.100347","http://dx.doi.org/10.1016/j.gfs.2019.100347")</f>
        <v>http://dx.doi.org/10.1016/j.gfs.2019.100347</v>
      </c>
      <c r="I383" s="2" t="s">
        <v>2696</v>
      </c>
    </row>
    <row r="384" spans="1:10" ht="252">
      <c r="A384">
        <v>400</v>
      </c>
      <c r="B384" t="s">
        <v>1660</v>
      </c>
      <c r="C384" t="s">
        <v>1661</v>
      </c>
      <c r="D384" s="3" t="s">
        <v>1662</v>
      </c>
      <c r="E384" t="s">
        <v>69</v>
      </c>
      <c r="F384" s="3" t="s">
        <v>1663</v>
      </c>
      <c r="G384">
        <v>2020</v>
      </c>
      <c r="H384" s="1" t="str">
        <f>HYPERLINK("http://dx.doi.org/10.3390/agronomy10030413","http://dx.doi.org/10.3390/agronomy10030413")</f>
        <v>http://dx.doi.org/10.3390/agronomy10030413</v>
      </c>
      <c r="I384" s="2" t="s">
        <v>2697</v>
      </c>
    </row>
    <row r="385" spans="1:10" ht="280">
      <c r="A385">
        <v>401</v>
      </c>
      <c r="B385" t="s">
        <v>1664</v>
      </c>
      <c r="C385" t="s">
        <v>1665</v>
      </c>
      <c r="D385" s="3" t="s">
        <v>1666</v>
      </c>
      <c r="E385" t="s">
        <v>69</v>
      </c>
      <c r="F385" s="3" t="s">
        <v>1667</v>
      </c>
      <c r="G385">
        <v>2020</v>
      </c>
      <c r="H385" s="1" t="str">
        <f>HYPERLINK("http://dx.doi.org/10.3390/agronomy10030388","http://dx.doi.org/10.3390/agronomy10030388")</f>
        <v>http://dx.doi.org/10.3390/agronomy10030388</v>
      </c>
      <c r="I385" s="2" t="s">
        <v>2697</v>
      </c>
    </row>
    <row r="386" spans="1:10" ht="358">
      <c r="A386">
        <v>402</v>
      </c>
      <c r="B386" t="s">
        <v>1668</v>
      </c>
      <c r="C386" t="s">
        <v>1669</v>
      </c>
      <c r="D386" s="3" t="s">
        <v>1670</v>
      </c>
      <c r="E386" t="s">
        <v>1671</v>
      </c>
      <c r="F386" s="3" t="s">
        <v>1672</v>
      </c>
      <c r="G386">
        <v>2020</v>
      </c>
      <c r="H386" s="1" t="str">
        <f>HYPERLINK("http://dx.doi.org/10.1016/j.jarmap.2019.100237","http://dx.doi.org/10.1016/j.jarmap.2019.100237")</f>
        <v>http://dx.doi.org/10.1016/j.jarmap.2019.100237</v>
      </c>
      <c r="I386" s="2" t="s">
        <v>2697</v>
      </c>
    </row>
    <row r="387" spans="1:10" ht="397">
      <c r="A387">
        <v>403</v>
      </c>
      <c r="B387" t="s">
        <v>1673</v>
      </c>
      <c r="C387" t="s">
        <v>1674</v>
      </c>
      <c r="D387" s="3" t="s">
        <v>1675</v>
      </c>
      <c r="E387" t="s">
        <v>275</v>
      </c>
      <c r="F387" s="3" t="s">
        <v>1676</v>
      </c>
      <c r="G387">
        <v>2020</v>
      </c>
      <c r="H387" s="1" t="str">
        <f>HYPERLINK("http://dx.doi.org/10.25165/j.ijabe.20201302.5135","http://dx.doi.org/10.25165/j.ijabe.20201302.5135")</f>
        <v>http://dx.doi.org/10.25165/j.ijabe.20201302.5135</v>
      </c>
      <c r="I387" s="2" t="s">
        <v>2697</v>
      </c>
      <c r="J387" s="2" t="s">
        <v>2698</v>
      </c>
    </row>
    <row r="388" spans="1:10" ht="266">
      <c r="A388">
        <v>404</v>
      </c>
      <c r="B388" t="s">
        <v>1677</v>
      </c>
      <c r="C388" t="s">
        <v>1678</v>
      </c>
      <c r="D388" s="3" t="s">
        <v>1679</v>
      </c>
      <c r="E388" t="s">
        <v>138</v>
      </c>
      <c r="F388" s="3" t="s">
        <v>1680</v>
      </c>
      <c r="G388">
        <v>2020</v>
      </c>
      <c r="H388" s="1" t="str">
        <f>HYPERLINK("http://dx.doi.org/10.3390/plants9030295","http://dx.doi.org/10.3390/plants9030295")</f>
        <v>http://dx.doi.org/10.3390/plants9030295</v>
      </c>
      <c r="I388" s="2" t="s">
        <v>2697</v>
      </c>
    </row>
    <row r="389" spans="1:10" ht="319">
      <c r="A389">
        <v>405</v>
      </c>
      <c r="B389" t="s">
        <v>1681</v>
      </c>
      <c r="C389" t="s">
        <v>1682</v>
      </c>
      <c r="D389" s="3" t="s">
        <v>1683</v>
      </c>
      <c r="E389" t="s">
        <v>250</v>
      </c>
      <c r="F389" s="3" t="s">
        <v>1684</v>
      </c>
      <c r="G389">
        <v>2020</v>
      </c>
      <c r="H389" s="1" t="str">
        <f>HYPERLINK("http://dx.doi.org/10.1038/s41598-020-59574-3","http://dx.doi.org/10.1038/s41598-020-59574-3")</f>
        <v>http://dx.doi.org/10.1038/s41598-020-59574-3</v>
      </c>
      <c r="I389" s="2" t="s">
        <v>2697</v>
      </c>
    </row>
    <row r="390" spans="1:10" ht="345">
      <c r="A390">
        <v>406</v>
      </c>
      <c r="B390" t="s">
        <v>1685</v>
      </c>
      <c r="C390" t="s">
        <v>1686</v>
      </c>
      <c r="D390" s="3" t="s">
        <v>1687</v>
      </c>
      <c r="E390" t="s">
        <v>1688</v>
      </c>
      <c r="F390" s="3" t="s">
        <v>1689</v>
      </c>
      <c r="G390">
        <v>2020</v>
      </c>
      <c r="H390" s="1" t="str">
        <f>HYPERLINK("http://dx.doi.org/10.1111/ppl.13067","http://dx.doi.org/10.1111/ppl.13067")</f>
        <v>http://dx.doi.org/10.1111/ppl.13067</v>
      </c>
      <c r="I390" s="2" t="s">
        <v>2697</v>
      </c>
    </row>
    <row r="391" spans="1:10" ht="345">
      <c r="A391">
        <v>407</v>
      </c>
      <c r="B391" t="s">
        <v>1690</v>
      </c>
      <c r="C391" t="s">
        <v>1691</v>
      </c>
      <c r="D391" s="3" t="s">
        <v>1692</v>
      </c>
      <c r="E391" t="s">
        <v>1693</v>
      </c>
      <c r="F391" s="3" t="s">
        <v>1694</v>
      </c>
      <c r="G391">
        <v>2020</v>
      </c>
      <c r="H391" s="1" t="str">
        <f>HYPERLINK("http://dx.doi.org/10.1016/j.jtherbio.2019.102496","http://dx.doi.org/10.1016/j.jtherbio.2019.102496")</f>
        <v>http://dx.doi.org/10.1016/j.jtherbio.2019.102496</v>
      </c>
      <c r="I391" s="2" t="s">
        <v>2697</v>
      </c>
      <c r="J391" s="2" t="s">
        <v>2696</v>
      </c>
    </row>
    <row r="392" spans="1:10" ht="409.6">
      <c r="A392">
        <v>408</v>
      </c>
      <c r="B392" t="s">
        <v>1695</v>
      </c>
      <c r="C392" t="s">
        <v>1696</v>
      </c>
      <c r="D392" s="3" t="s">
        <v>1697</v>
      </c>
      <c r="E392" t="s">
        <v>240</v>
      </c>
      <c r="F392" s="3" t="s">
        <v>1698</v>
      </c>
      <c r="G392">
        <v>2020</v>
      </c>
      <c r="H392" s="1" t="str">
        <f>HYPERLINK("http://dx.doi.org/10.3390/agriculture10020028","http://dx.doi.org/10.3390/agriculture10020028")</f>
        <v>http://dx.doi.org/10.3390/agriculture10020028</v>
      </c>
      <c r="I392" s="2" t="s">
        <v>2697</v>
      </c>
    </row>
    <row r="393" spans="1:10" ht="266" hidden="1">
      <c r="A393">
        <v>409</v>
      </c>
      <c r="B393" t="s">
        <v>1699</v>
      </c>
      <c r="C393" t="s">
        <v>1700</v>
      </c>
      <c r="D393" s="3" t="s">
        <v>1701</v>
      </c>
      <c r="E393" t="s">
        <v>1702</v>
      </c>
      <c r="F393" s="3" t="s">
        <v>1703</v>
      </c>
      <c r="G393">
        <v>2020</v>
      </c>
      <c r="H393" s="1" t="str">
        <f>HYPERLINK("http://dx.doi.org/10.17576/jkukm-2020-32(1)-13","http://dx.doi.org/10.17576/jkukm-2020-32(1)-13")</f>
        <v>http://dx.doi.org/10.17576/jkukm-2020-32(1)-13</v>
      </c>
      <c r="I393" s="2" t="s">
        <v>2699</v>
      </c>
    </row>
    <row r="394" spans="1:10" ht="332">
      <c r="A394">
        <v>411</v>
      </c>
      <c r="B394" t="s">
        <v>1704</v>
      </c>
      <c r="C394" t="s">
        <v>1705</v>
      </c>
      <c r="D394" s="3" t="s">
        <v>1706</v>
      </c>
      <c r="E394" t="s">
        <v>530</v>
      </c>
      <c r="F394" s="3" t="s">
        <v>1707</v>
      </c>
      <c r="G394">
        <v>2020</v>
      </c>
      <c r="H394" s="1" t="str">
        <f>HYPERLINK("http://dx.doi.org/10.2503/hortj.UTD-R009","http://dx.doi.org/10.2503/hortj.UTD-R009")</f>
        <v>http://dx.doi.org/10.2503/hortj.UTD-R009</v>
      </c>
      <c r="I394" s="2" t="s">
        <v>2697</v>
      </c>
    </row>
    <row r="395" spans="1:10" ht="358" hidden="1">
      <c r="A395">
        <v>412</v>
      </c>
      <c r="B395" t="s">
        <v>1708</v>
      </c>
      <c r="C395" t="s">
        <v>1709</v>
      </c>
      <c r="D395" s="3" t="s">
        <v>1710</v>
      </c>
      <c r="E395" t="s">
        <v>1135</v>
      </c>
      <c r="F395" s="3" t="s">
        <v>1711</v>
      </c>
      <c r="G395">
        <v>2020</v>
      </c>
      <c r="H395" s="1" t="str">
        <f>HYPERLINK("http://dx.doi.org/10.7235/HORT.20200059","http://dx.doi.org/10.7235/HORT.20200059")</f>
        <v>http://dx.doi.org/10.7235/HORT.20200059</v>
      </c>
      <c r="I395" s="2" t="s">
        <v>2696</v>
      </c>
      <c r="J395" s="2" t="s">
        <v>2697</v>
      </c>
    </row>
    <row r="396" spans="1:10" ht="332" hidden="1">
      <c r="A396">
        <v>413</v>
      </c>
      <c r="B396" t="s">
        <v>1712</v>
      </c>
      <c r="C396" t="s">
        <v>1713</v>
      </c>
      <c r="D396" s="3" t="s">
        <v>1714</v>
      </c>
      <c r="E396" t="s">
        <v>1088</v>
      </c>
      <c r="F396" s="3" t="s">
        <v>1715</v>
      </c>
      <c r="G396">
        <v>2020</v>
      </c>
      <c r="H396" s="1" t="str">
        <f>HYPERLINK("http://dx.doi.org/10.1016/j.rser.2019.109480","http://dx.doi.org/10.1016/j.rser.2019.109480")</f>
        <v>http://dx.doi.org/10.1016/j.rser.2019.109480</v>
      </c>
      <c r="I396" s="2" t="s">
        <v>2698</v>
      </c>
      <c r="J396" s="2" t="s">
        <v>2696</v>
      </c>
    </row>
    <row r="397" spans="1:10" ht="332" hidden="1">
      <c r="A397">
        <v>414</v>
      </c>
      <c r="B397" t="s">
        <v>1716</v>
      </c>
      <c r="C397" t="s">
        <v>1717</v>
      </c>
      <c r="D397" s="3" t="s">
        <v>1718</v>
      </c>
      <c r="E397" t="s">
        <v>1719</v>
      </c>
      <c r="F397" s="3" t="s">
        <v>1720</v>
      </c>
      <c r="G397">
        <v>2020</v>
      </c>
      <c r="H397" s="1" t="str">
        <f>HYPERLINK("http://dx.doi.org/10.1017/dce.2020.21","http://dx.doi.org/10.1017/dce.2020.21")</f>
        <v>http://dx.doi.org/10.1017/dce.2020.21</v>
      </c>
      <c r="I397" s="2" t="s">
        <v>2696</v>
      </c>
    </row>
    <row r="398" spans="1:10" ht="345" hidden="1">
      <c r="A398">
        <v>416</v>
      </c>
      <c r="B398" t="s">
        <v>1721</v>
      </c>
      <c r="C398" t="s">
        <v>1722</v>
      </c>
      <c r="D398" s="3" t="s">
        <v>1723</v>
      </c>
      <c r="E398" t="s">
        <v>84</v>
      </c>
      <c r="F398" s="3" t="s">
        <v>1724</v>
      </c>
      <c r="G398">
        <v>2020</v>
      </c>
      <c r="H398" s="1" t="str">
        <f>HYPERLINK("http://dx.doi.org/10.1016/j.compag.2019.105123","http://dx.doi.org/10.1016/j.compag.2019.105123")</f>
        <v>http://dx.doi.org/10.1016/j.compag.2019.105123</v>
      </c>
      <c r="I398" s="2" t="s">
        <v>2696</v>
      </c>
    </row>
    <row r="399" spans="1:10" ht="210" hidden="1">
      <c r="A399">
        <v>417</v>
      </c>
      <c r="B399" t="s">
        <v>1725</v>
      </c>
      <c r="C399" t="s">
        <v>1726</v>
      </c>
      <c r="D399" s="3" t="s">
        <v>1727</v>
      </c>
      <c r="E399" t="s">
        <v>138</v>
      </c>
      <c r="F399" s="3" t="s">
        <v>1728</v>
      </c>
      <c r="G399">
        <v>2020</v>
      </c>
      <c r="H399" s="1" t="str">
        <f>HYPERLINK("http://dx.doi.org/10.3390/plants9010030","http://dx.doi.org/10.3390/plants9010030")</f>
        <v>http://dx.doi.org/10.3390/plants9010030</v>
      </c>
      <c r="I399" s="2" t="s">
        <v>2696</v>
      </c>
    </row>
    <row r="400" spans="1:10" ht="409.6" hidden="1">
      <c r="A400">
        <v>418</v>
      </c>
      <c r="B400" t="s">
        <v>1729</v>
      </c>
      <c r="C400" t="s">
        <v>1730</v>
      </c>
      <c r="D400" s="3" t="s">
        <v>1731</v>
      </c>
      <c r="E400" t="s">
        <v>1261</v>
      </c>
      <c r="F400" s="3" t="s">
        <v>1732</v>
      </c>
      <c r="G400">
        <v>2020</v>
      </c>
      <c r="H400" s="1" t="str">
        <f>HYPERLINK("http://dx.doi.org/10.34302/crpjfst/2020.12.4.3","http://dx.doi.org/10.34302/crpjfst/2020.12.4.3")</f>
        <v>http://dx.doi.org/10.34302/crpjfst/2020.12.4.3</v>
      </c>
      <c r="I400" s="2" t="s">
        <v>2696</v>
      </c>
    </row>
    <row r="401" spans="1:10" ht="266" hidden="1">
      <c r="A401">
        <v>419</v>
      </c>
      <c r="B401" t="s">
        <v>1733</v>
      </c>
      <c r="C401" t="s">
        <v>1734</v>
      </c>
      <c r="D401" s="3" t="s">
        <v>1735</v>
      </c>
      <c r="E401" t="s">
        <v>1736</v>
      </c>
      <c r="F401" s="3" t="s">
        <v>1737</v>
      </c>
      <c r="G401">
        <v>2020</v>
      </c>
      <c r="H401" s="1" t="str">
        <f>HYPERLINK("http://dx.doi.org/10.2166/bgs.2019.931","http://dx.doi.org/10.2166/bgs.2019.931")</f>
        <v>http://dx.doi.org/10.2166/bgs.2019.931</v>
      </c>
      <c r="I401" s="2" t="s">
        <v>2699</v>
      </c>
      <c r="J401" s="2" t="s">
        <v>2698</v>
      </c>
    </row>
    <row r="402" spans="1:10" ht="306">
      <c r="A402">
        <v>420</v>
      </c>
      <c r="B402" t="s">
        <v>1738</v>
      </c>
      <c r="C402" t="s">
        <v>1739</v>
      </c>
      <c r="D402" s="3" t="s">
        <v>1740</v>
      </c>
      <c r="E402" t="s">
        <v>1135</v>
      </c>
      <c r="F402" s="3" t="s">
        <v>1741</v>
      </c>
      <c r="G402">
        <v>2020</v>
      </c>
      <c r="H402" s="1" t="str">
        <f>HYPERLINK("http://dx.doi.org/10.7235/HORT.20200034","http://dx.doi.org/10.7235/HORT.20200034")</f>
        <v>http://dx.doi.org/10.7235/HORT.20200034</v>
      </c>
      <c r="I402" s="2" t="s">
        <v>2697</v>
      </c>
    </row>
    <row r="403" spans="1:10" ht="358">
      <c r="A403">
        <v>421</v>
      </c>
      <c r="B403" t="s">
        <v>1738</v>
      </c>
      <c r="C403" t="s">
        <v>1739</v>
      </c>
      <c r="D403" s="3" t="s">
        <v>1742</v>
      </c>
      <c r="E403" t="s">
        <v>1135</v>
      </c>
      <c r="F403" s="3" t="s">
        <v>1743</v>
      </c>
      <c r="G403">
        <v>2020</v>
      </c>
      <c r="H403" s="1" t="str">
        <f>HYPERLINK("http://dx.doi.org/10.7235/HORT.20200057","http://dx.doi.org/10.7235/HORT.20200057")</f>
        <v>http://dx.doi.org/10.7235/HORT.20200057</v>
      </c>
      <c r="I403" s="2" t="s">
        <v>2697</v>
      </c>
    </row>
    <row r="404" spans="1:10" ht="371">
      <c r="A404">
        <v>422</v>
      </c>
      <c r="B404" t="s">
        <v>1744</v>
      </c>
      <c r="C404" t="s">
        <v>1745</v>
      </c>
      <c r="D404" s="3" t="s">
        <v>1746</v>
      </c>
      <c r="E404" t="s">
        <v>69</v>
      </c>
      <c r="F404" s="3" t="s">
        <v>1747</v>
      </c>
      <c r="G404">
        <v>2020</v>
      </c>
      <c r="H404" s="1" t="str">
        <f>HYPERLINK("http://dx.doi.org/10.3390/agronomy10010076","http://dx.doi.org/10.3390/agronomy10010076")</f>
        <v>http://dx.doi.org/10.3390/agronomy10010076</v>
      </c>
      <c r="I404" s="2" t="s">
        <v>2697</v>
      </c>
    </row>
    <row r="405" spans="1:10" ht="319">
      <c r="A405">
        <v>423</v>
      </c>
      <c r="B405" t="s">
        <v>1748</v>
      </c>
      <c r="C405" t="s">
        <v>1749</v>
      </c>
      <c r="D405" s="3" t="s">
        <v>1750</v>
      </c>
      <c r="E405" t="s">
        <v>1751</v>
      </c>
      <c r="F405" s="3" t="s">
        <v>1752</v>
      </c>
      <c r="G405">
        <v>2020</v>
      </c>
      <c r="H405" s="1" t="str">
        <f>HYPERLINK("http://dx.doi.org/10.17957/IJAB/15.1416","http://dx.doi.org/10.17957/IJAB/15.1416")</f>
        <v>http://dx.doi.org/10.17957/IJAB/15.1416</v>
      </c>
      <c r="I405" s="2" t="s">
        <v>2697</v>
      </c>
    </row>
    <row r="406" spans="1:10" ht="358">
      <c r="A406">
        <v>424</v>
      </c>
      <c r="B406" t="s">
        <v>1753</v>
      </c>
      <c r="C406" t="s">
        <v>1754</v>
      </c>
      <c r="D406" s="3" t="s">
        <v>1755</v>
      </c>
      <c r="E406" t="s">
        <v>1756</v>
      </c>
      <c r="F406" s="3" t="s">
        <v>1757</v>
      </c>
      <c r="G406">
        <v>2020</v>
      </c>
      <c r="H406" s="1" t="s">
        <v>8</v>
      </c>
      <c r="I406" s="2" t="s">
        <v>2697</v>
      </c>
    </row>
    <row r="407" spans="1:10" ht="358">
      <c r="A407">
        <v>425</v>
      </c>
      <c r="B407" t="s">
        <v>1758</v>
      </c>
      <c r="C407" t="s">
        <v>1759</v>
      </c>
      <c r="D407" s="3" t="s">
        <v>1760</v>
      </c>
      <c r="E407" t="s">
        <v>1756</v>
      </c>
      <c r="F407" s="3" t="s">
        <v>1761</v>
      </c>
      <c r="G407">
        <v>2020</v>
      </c>
      <c r="H407" s="1" t="s">
        <v>8</v>
      </c>
      <c r="I407" s="2" t="s">
        <v>2697</v>
      </c>
    </row>
    <row r="408" spans="1:10" ht="196">
      <c r="A408">
        <v>426</v>
      </c>
      <c r="B408" t="s">
        <v>1762</v>
      </c>
      <c r="C408" t="s">
        <v>1763</v>
      </c>
      <c r="D408" s="3" t="s">
        <v>1764</v>
      </c>
      <c r="E408" t="s">
        <v>1765</v>
      </c>
      <c r="F408" s="3" t="s">
        <v>1766</v>
      </c>
      <c r="G408">
        <v>2020</v>
      </c>
      <c r="H408" s="1" t="str">
        <f>HYPERLINK("http://dx.doi.org/10.32615/ps.2020.013","http://dx.doi.org/10.32615/ps.2020.013")</f>
        <v>http://dx.doi.org/10.32615/ps.2020.013</v>
      </c>
      <c r="I408" s="2" t="s">
        <v>2697</v>
      </c>
    </row>
    <row r="409" spans="1:10" ht="224">
      <c r="A409">
        <v>427</v>
      </c>
      <c r="B409" t="s">
        <v>1767</v>
      </c>
      <c r="C409" t="s">
        <v>1768</v>
      </c>
      <c r="D409" s="3" t="s">
        <v>1769</v>
      </c>
      <c r="E409" t="s">
        <v>1770</v>
      </c>
      <c r="F409" s="3" t="s">
        <v>1771</v>
      </c>
      <c r="G409">
        <v>2020</v>
      </c>
      <c r="H409" s="1" t="str">
        <f>HYPERLINK("http://dx.doi.org/10.32604/phyton.2020.09277","http://dx.doi.org/10.32604/phyton.2020.09277")</f>
        <v>http://dx.doi.org/10.32604/phyton.2020.09277</v>
      </c>
      <c r="I409" s="2" t="s">
        <v>2697</v>
      </c>
    </row>
    <row r="410" spans="1:10" ht="252" hidden="1">
      <c r="A410">
        <v>428</v>
      </c>
      <c r="B410" t="s">
        <v>1772</v>
      </c>
      <c r="C410" t="s">
        <v>1773</v>
      </c>
      <c r="D410" s="3" t="s">
        <v>1774</v>
      </c>
      <c r="E410" t="s">
        <v>69</v>
      </c>
      <c r="F410" s="3" t="s">
        <v>1775</v>
      </c>
      <c r="G410">
        <v>2019</v>
      </c>
      <c r="H410" s="1" t="str">
        <f>HYPERLINK("http://dx.doi.org/10.3390/agronomy9120857","http://dx.doi.org/10.3390/agronomy9120857")</f>
        <v>http://dx.doi.org/10.3390/agronomy9120857</v>
      </c>
      <c r="I410" s="2" t="s">
        <v>2696</v>
      </c>
      <c r="J410" s="2" t="s">
        <v>2697</v>
      </c>
    </row>
    <row r="411" spans="1:10" ht="280" hidden="1">
      <c r="A411">
        <v>429</v>
      </c>
      <c r="B411" t="s">
        <v>1776</v>
      </c>
      <c r="C411" t="s">
        <v>1777</v>
      </c>
      <c r="D411" s="3" t="s">
        <v>1778</v>
      </c>
      <c r="E411" t="s">
        <v>74</v>
      </c>
      <c r="F411" s="3" t="s">
        <v>1779</v>
      </c>
      <c r="G411">
        <v>2019</v>
      </c>
      <c r="H411" s="1" t="str">
        <f>HYPERLINK("http://dx.doi.org/10.3390/su11236724","http://dx.doi.org/10.3390/su11236724")</f>
        <v>http://dx.doi.org/10.3390/su11236724</v>
      </c>
      <c r="I411" s="2" t="s">
        <v>2698</v>
      </c>
    </row>
    <row r="412" spans="1:10" ht="238" hidden="1">
      <c r="A412">
        <v>430</v>
      </c>
      <c r="B412" t="s">
        <v>1780</v>
      </c>
      <c r="C412" t="s">
        <v>1781</v>
      </c>
      <c r="D412" s="3" t="s">
        <v>1782</v>
      </c>
      <c r="E412" t="s">
        <v>45</v>
      </c>
      <c r="F412" s="3" t="s">
        <v>1783</v>
      </c>
      <c r="G412">
        <v>2019</v>
      </c>
      <c r="H412" s="1" t="str">
        <f>HYPERLINK("http://dx.doi.org/10.3390/horticulturae5040073","http://dx.doi.org/10.3390/horticulturae5040073")</f>
        <v>http://dx.doi.org/10.3390/horticulturae5040073</v>
      </c>
      <c r="I412" s="2" t="s">
        <v>2696</v>
      </c>
      <c r="J412" s="2" t="s">
        <v>2697</v>
      </c>
    </row>
    <row r="413" spans="1:10" ht="409.6">
      <c r="A413">
        <v>431</v>
      </c>
      <c r="B413" t="s">
        <v>1784</v>
      </c>
      <c r="C413" t="s">
        <v>1785</v>
      </c>
      <c r="D413" s="3" t="s">
        <v>1786</v>
      </c>
      <c r="E413" t="s">
        <v>69</v>
      </c>
      <c r="F413" s="3" t="s">
        <v>1787</v>
      </c>
      <c r="G413">
        <v>2019</v>
      </c>
      <c r="H413" s="1" t="str">
        <f>HYPERLINK("http://dx.doi.org/10.3390/agronomy9120875","http://dx.doi.org/10.3390/agronomy9120875")</f>
        <v>http://dx.doi.org/10.3390/agronomy9120875</v>
      </c>
      <c r="I413" s="2" t="s">
        <v>2697</v>
      </c>
    </row>
    <row r="414" spans="1:10" ht="371" hidden="1">
      <c r="A414">
        <v>432</v>
      </c>
      <c r="B414" t="s">
        <v>194</v>
      </c>
      <c r="C414" t="s">
        <v>195</v>
      </c>
      <c r="D414" s="3" t="s">
        <v>1788</v>
      </c>
      <c r="E414" t="s">
        <v>1789</v>
      </c>
      <c r="F414" s="3" t="s">
        <v>1790</v>
      </c>
      <c r="G414">
        <v>2020</v>
      </c>
      <c r="H414" s="1" t="str">
        <f>HYPERLINK("http://dx.doi.org/10.1080/01944363.2019.1660205","http://dx.doi.org/10.1080/01944363.2019.1660205")</f>
        <v>http://dx.doi.org/10.1080/01944363.2019.1660205</v>
      </c>
      <c r="I414" s="2" t="s">
        <v>2696</v>
      </c>
      <c r="J414" s="2" t="s">
        <v>2699</v>
      </c>
    </row>
    <row r="415" spans="1:10" ht="319">
      <c r="A415">
        <v>433</v>
      </c>
      <c r="B415" t="s">
        <v>1791</v>
      </c>
      <c r="C415" t="s">
        <v>1792</v>
      </c>
      <c r="D415" s="3" t="s">
        <v>1793</v>
      </c>
      <c r="E415" t="s">
        <v>659</v>
      </c>
      <c r="F415" s="3" t="s">
        <v>1794</v>
      </c>
      <c r="G415">
        <v>2019</v>
      </c>
      <c r="H415" s="1" t="str">
        <f>HYPERLINK("http://dx.doi.org/10.1016/j.indcrop.2019.111612","http://dx.doi.org/10.1016/j.indcrop.2019.111612")</f>
        <v>http://dx.doi.org/10.1016/j.indcrop.2019.111612</v>
      </c>
      <c r="I415" s="2" t="s">
        <v>2697</v>
      </c>
    </row>
    <row r="416" spans="1:10" ht="332" hidden="1">
      <c r="A416">
        <v>434</v>
      </c>
      <c r="B416" t="s">
        <v>1795</v>
      </c>
      <c r="C416" t="s">
        <v>1796</v>
      </c>
      <c r="D416" s="3" t="s">
        <v>1797</v>
      </c>
      <c r="E416" t="s">
        <v>74</v>
      </c>
      <c r="F416" s="3" t="s">
        <v>1798</v>
      </c>
      <c r="G416">
        <v>2019</v>
      </c>
      <c r="H416" s="1" t="str">
        <f>HYPERLINK("http://dx.doi.org/10.3390/su11216070","http://dx.doi.org/10.3390/su11216070")</f>
        <v>http://dx.doi.org/10.3390/su11216070</v>
      </c>
      <c r="I416" s="2" t="s">
        <v>2696</v>
      </c>
      <c r="J416" s="2" t="s">
        <v>2699</v>
      </c>
    </row>
    <row r="417" spans="1:11" ht="358">
      <c r="A417">
        <v>435</v>
      </c>
      <c r="B417" t="s">
        <v>1799</v>
      </c>
      <c r="C417" t="s">
        <v>1800</v>
      </c>
      <c r="D417" s="3" t="s">
        <v>1801</v>
      </c>
      <c r="E417" t="s">
        <v>275</v>
      </c>
      <c r="F417" s="3" t="s">
        <v>1802</v>
      </c>
      <c r="G417">
        <v>2019</v>
      </c>
      <c r="H417" s="1" t="str">
        <f>HYPERLINK("http://dx.doi.org/10.25165/j.ijabe.20191206.5265","http://dx.doi.org/10.25165/j.ijabe.20191206.5265")</f>
        <v>http://dx.doi.org/10.25165/j.ijabe.20191206.5265</v>
      </c>
      <c r="I417" s="2" t="s">
        <v>2697</v>
      </c>
    </row>
    <row r="418" spans="1:11" ht="409.6">
      <c r="A418">
        <v>436</v>
      </c>
      <c r="B418" t="s">
        <v>1803</v>
      </c>
      <c r="C418" t="s">
        <v>1804</v>
      </c>
      <c r="D418" s="3" t="s">
        <v>1805</v>
      </c>
      <c r="E418" t="s">
        <v>50</v>
      </c>
      <c r="F418" s="3" t="s">
        <v>1806</v>
      </c>
      <c r="G418">
        <v>2019</v>
      </c>
      <c r="H418" s="1" t="str">
        <f>HYPERLINK("http://dx.doi.org/10.1007/s13580-019-00174-0","http://dx.doi.org/10.1007/s13580-019-00174-0")</f>
        <v>http://dx.doi.org/10.1007/s13580-019-00174-0</v>
      </c>
      <c r="I418" s="2" t="s">
        <v>2697</v>
      </c>
    </row>
    <row r="419" spans="1:11" ht="196" hidden="1">
      <c r="A419">
        <v>437</v>
      </c>
      <c r="B419" t="s">
        <v>1807</v>
      </c>
      <c r="C419" t="s">
        <v>1808</v>
      </c>
      <c r="D419" s="3" t="s">
        <v>1809</v>
      </c>
      <c r="E419" t="s">
        <v>1482</v>
      </c>
      <c r="F419" s="3" t="s">
        <v>1810</v>
      </c>
      <c r="G419">
        <v>2019</v>
      </c>
      <c r="H419" s="1" t="str">
        <f>HYPERLINK("http://dx.doi.org/10.1007/s00502-019-00745-0","http://dx.doi.org/10.1007/s00502-019-00745-0")</f>
        <v>http://dx.doi.org/10.1007/s00502-019-00745-0</v>
      </c>
      <c r="I419" s="2" t="s">
        <v>2696</v>
      </c>
    </row>
    <row r="420" spans="1:11" ht="358">
      <c r="A420">
        <v>438</v>
      </c>
      <c r="B420" t="s">
        <v>1811</v>
      </c>
      <c r="C420" t="s">
        <v>1812</v>
      </c>
      <c r="D420" s="3" t="s">
        <v>1813</v>
      </c>
      <c r="E420" t="s">
        <v>169</v>
      </c>
      <c r="F420" s="3" t="s">
        <v>1814</v>
      </c>
      <c r="G420">
        <v>2019</v>
      </c>
      <c r="H420" s="1" t="str">
        <f>HYPERLINK("http://dx.doi.org/10.3389/fpls.2019.01153","http://dx.doi.org/10.3389/fpls.2019.01153")</f>
        <v>http://dx.doi.org/10.3389/fpls.2019.01153</v>
      </c>
      <c r="I420" s="2" t="s">
        <v>2697</v>
      </c>
    </row>
    <row r="421" spans="1:11" ht="252">
      <c r="A421">
        <v>439</v>
      </c>
      <c r="B421" t="s">
        <v>1815</v>
      </c>
      <c r="C421" t="s">
        <v>1816</v>
      </c>
      <c r="D421" s="3" t="s">
        <v>1817</v>
      </c>
      <c r="E421" t="s">
        <v>1504</v>
      </c>
      <c r="F421" s="3" t="s">
        <v>1818</v>
      </c>
      <c r="G421">
        <v>2020</v>
      </c>
      <c r="H421" s="1" t="str">
        <f>HYPERLINK("http://dx.doi.org/10.1080/14620316.2019.1677510","http://dx.doi.org/10.1080/14620316.2019.1677510")</f>
        <v>http://dx.doi.org/10.1080/14620316.2019.1677510</v>
      </c>
      <c r="I421" s="2" t="s">
        <v>2697</v>
      </c>
    </row>
    <row r="422" spans="1:11" ht="238" hidden="1">
      <c r="A422">
        <v>440</v>
      </c>
      <c r="B422" t="s">
        <v>1819</v>
      </c>
      <c r="C422" t="s">
        <v>1820</v>
      </c>
      <c r="D422" s="3" t="s">
        <v>1821</v>
      </c>
      <c r="E422" t="s">
        <v>544</v>
      </c>
      <c r="F422" s="3" t="s">
        <v>1822</v>
      </c>
      <c r="G422">
        <v>2019</v>
      </c>
      <c r="H422" s="1" t="str">
        <f>HYPERLINK("http://dx.doi.org/10.3390/s19204378","http://dx.doi.org/10.3390/s19204378")</f>
        <v>http://dx.doi.org/10.3390/s19204378</v>
      </c>
      <c r="I422" s="2" t="s">
        <v>2696</v>
      </c>
    </row>
    <row r="423" spans="1:11" ht="332">
      <c r="A423">
        <v>441</v>
      </c>
      <c r="B423" t="s">
        <v>1823</v>
      </c>
      <c r="C423" t="s">
        <v>1824</v>
      </c>
      <c r="D423" s="3" t="s">
        <v>1825</v>
      </c>
      <c r="E423" t="s">
        <v>483</v>
      </c>
      <c r="F423" s="3" t="s">
        <v>1826</v>
      </c>
      <c r="G423">
        <v>2019</v>
      </c>
      <c r="H423" s="1" t="str">
        <f>HYPERLINK("http://dx.doi.org/10.3390/en12203980","http://dx.doi.org/10.3390/en12203980")</f>
        <v>http://dx.doi.org/10.3390/en12203980</v>
      </c>
      <c r="I423" s="2" t="s">
        <v>2697</v>
      </c>
      <c r="J423" s="2" t="s">
        <v>2698</v>
      </c>
    </row>
    <row r="424" spans="1:11" ht="319">
      <c r="A424">
        <v>442</v>
      </c>
      <c r="B424" t="s">
        <v>1673</v>
      </c>
      <c r="C424" t="s">
        <v>1674</v>
      </c>
      <c r="D424" s="3" t="s">
        <v>1827</v>
      </c>
      <c r="E424" t="s">
        <v>413</v>
      </c>
      <c r="F424" s="3" t="s">
        <v>1828</v>
      </c>
      <c r="G424">
        <v>2019</v>
      </c>
      <c r="H424" s="1" t="str">
        <f>HYPERLINK("http://dx.doi.org/10.21273/HORTSCI14236-19","http://dx.doi.org/10.21273/HORTSCI14236-19")</f>
        <v>http://dx.doi.org/10.21273/HORTSCI14236-19</v>
      </c>
      <c r="I424" s="2" t="s">
        <v>2697</v>
      </c>
    </row>
    <row r="425" spans="1:11" ht="266" hidden="1">
      <c r="A425">
        <v>443</v>
      </c>
      <c r="B425" t="s">
        <v>1829</v>
      </c>
      <c r="C425" t="s">
        <v>1830</v>
      </c>
      <c r="D425" s="3" t="s">
        <v>1831</v>
      </c>
      <c r="E425" t="s">
        <v>84</v>
      </c>
      <c r="F425" s="3" t="s">
        <v>1832</v>
      </c>
      <c r="G425">
        <v>2019</v>
      </c>
      <c r="H425" s="1" t="str">
        <f>HYPERLINK("http://dx.doi.org/10.1016/j.compag.2019.104941","http://dx.doi.org/10.1016/j.compag.2019.104941")</f>
        <v>http://dx.doi.org/10.1016/j.compag.2019.104941</v>
      </c>
      <c r="I425" s="2" t="s">
        <v>2696</v>
      </c>
    </row>
    <row r="426" spans="1:11" ht="409.6">
      <c r="A426">
        <v>444</v>
      </c>
      <c r="B426" t="s">
        <v>1833</v>
      </c>
      <c r="C426" t="s">
        <v>1834</v>
      </c>
      <c r="D426" s="3" t="s">
        <v>1835</v>
      </c>
      <c r="E426" t="s">
        <v>183</v>
      </c>
      <c r="F426" s="3" t="s">
        <v>1836</v>
      </c>
      <c r="G426">
        <v>2019</v>
      </c>
      <c r="H426" s="1" t="str">
        <f>HYPERLINK("http://dx.doi.org/10.1016/j.scienta.2019.05.030","http://dx.doi.org/10.1016/j.scienta.2019.05.030")</f>
        <v>http://dx.doi.org/10.1016/j.scienta.2019.05.030</v>
      </c>
      <c r="I426" s="2" t="s">
        <v>2697</v>
      </c>
    </row>
    <row r="427" spans="1:11" ht="238" hidden="1">
      <c r="A427">
        <v>445</v>
      </c>
      <c r="B427" t="s">
        <v>1837</v>
      </c>
      <c r="C427" t="s">
        <v>1838</v>
      </c>
      <c r="D427" s="3" t="s">
        <v>1839</v>
      </c>
      <c r="E427" t="s">
        <v>413</v>
      </c>
      <c r="F427" s="3" t="s">
        <v>1840</v>
      </c>
      <c r="G427">
        <v>2019</v>
      </c>
      <c r="H427" s="1" t="str">
        <f>HYPERLINK("http://dx.doi.org/10.21273/HORTSCI14073-19","http://dx.doi.org/10.21273/HORTSCI14073-19")</f>
        <v>http://dx.doi.org/10.21273/HORTSCI14073-19</v>
      </c>
      <c r="I427" s="2" t="s">
        <v>2696</v>
      </c>
      <c r="J427" s="2" t="s">
        <v>2698</v>
      </c>
      <c r="K427" s="2" t="s">
        <v>2699</v>
      </c>
    </row>
    <row r="428" spans="1:11" ht="358" hidden="1">
      <c r="A428">
        <v>446</v>
      </c>
      <c r="B428" t="s">
        <v>1841</v>
      </c>
      <c r="C428" t="s">
        <v>1842</v>
      </c>
      <c r="D428" s="3" t="s">
        <v>1843</v>
      </c>
      <c r="E428" t="s">
        <v>84</v>
      </c>
      <c r="F428" s="3" t="s">
        <v>1844</v>
      </c>
      <c r="G428">
        <v>2019</v>
      </c>
      <c r="H428" s="1" t="str">
        <f>HYPERLINK("http://dx.doi.org/10.1016/j.compag.2019.05.045","http://dx.doi.org/10.1016/j.compag.2019.05.045")</f>
        <v>http://dx.doi.org/10.1016/j.compag.2019.05.045</v>
      </c>
      <c r="I428" s="2" t="s">
        <v>2696</v>
      </c>
    </row>
    <row r="429" spans="1:11" ht="409.6" hidden="1">
      <c r="A429">
        <v>447</v>
      </c>
      <c r="B429" t="s">
        <v>1845</v>
      </c>
      <c r="C429" t="s">
        <v>1846</v>
      </c>
      <c r="D429" s="3" t="s">
        <v>1847</v>
      </c>
      <c r="E429" t="s">
        <v>74</v>
      </c>
      <c r="F429" s="3" t="s">
        <v>1848</v>
      </c>
      <c r="G429">
        <v>2019</v>
      </c>
      <c r="H429" s="1" t="str">
        <f>HYPERLINK("http://dx.doi.org/10.3390/su11184862","http://dx.doi.org/10.3390/su11184862")</f>
        <v>http://dx.doi.org/10.3390/su11184862</v>
      </c>
      <c r="I429" s="2" t="s">
        <v>2699</v>
      </c>
    </row>
    <row r="430" spans="1:11" ht="154" hidden="1">
      <c r="A430">
        <v>448</v>
      </c>
      <c r="B430" t="s">
        <v>1849</v>
      </c>
      <c r="C430" t="s">
        <v>1850</v>
      </c>
      <c r="D430" s="3" t="s">
        <v>1851</v>
      </c>
      <c r="E430" t="s">
        <v>275</v>
      </c>
      <c r="F430" s="3" t="s">
        <v>1852</v>
      </c>
      <c r="G430">
        <v>2019</v>
      </c>
      <c r="H430" s="1" t="str">
        <f>HYPERLINK("http://dx.doi.org/10.25165/j.ijabe.20191205.5177","http://dx.doi.org/10.25165/j.ijabe.20191205.5177")</f>
        <v>http://dx.doi.org/10.25165/j.ijabe.20191205.5177</v>
      </c>
      <c r="I430" s="2" t="s">
        <v>2698</v>
      </c>
      <c r="J430" s="2" t="s">
        <v>2699</v>
      </c>
    </row>
    <row r="431" spans="1:11" ht="319">
      <c r="A431">
        <v>449</v>
      </c>
      <c r="B431" t="s">
        <v>1853</v>
      </c>
      <c r="C431" t="s">
        <v>1854</v>
      </c>
      <c r="D431" s="3" t="s">
        <v>1855</v>
      </c>
      <c r="E431" t="s">
        <v>275</v>
      </c>
      <c r="F431" s="3" t="s">
        <v>1856</v>
      </c>
      <c r="G431">
        <v>2019</v>
      </c>
      <c r="H431" s="1" t="str">
        <f>HYPERLINK("http://dx.doi.org/10.25165/j.ijabe.20191205.4847","http://dx.doi.org/10.25165/j.ijabe.20191205.4847")</f>
        <v>http://dx.doi.org/10.25165/j.ijabe.20191205.4847</v>
      </c>
      <c r="I431" s="2" t="s">
        <v>2697</v>
      </c>
    </row>
    <row r="432" spans="1:11" ht="280" hidden="1">
      <c r="A432">
        <v>450</v>
      </c>
      <c r="B432" t="s">
        <v>1857</v>
      </c>
      <c r="C432" t="s">
        <v>1858</v>
      </c>
      <c r="D432" s="3" t="s">
        <v>1859</v>
      </c>
      <c r="E432" t="s">
        <v>74</v>
      </c>
      <c r="F432" s="3" t="s">
        <v>1860</v>
      </c>
      <c r="G432">
        <v>2019</v>
      </c>
      <c r="H432" s="1" t="str">
        <f>HYPERLINK("http://dx.doi.org/10.3390/su11154052","http://dx.doi.org/10.3390/su11154052")</f>
        <v>http://dx.doi.org/10.3390/su11154052</v>
      </c>
      <c r="I432" s="2" t="s">
        <v>2699</v>
      </c>
      <c r="J432" s="2" t="s">
        <v>2698</v>
      </c>
    </row>
    <row r="433" spans="1:10" ht="319" hidden="1">
      <c r="A433">
        <v>451</v>
      </c>
      <c r="B433" t="s">
        <v>1861</v>
      </c>
      <c r="C433" t="s">
        <v>1862</v>
      </c>
      <c r="D433" s="3" t="s">
        <v>1863</v>
      </c>
      <c r="E433" t="s">
        <v>74</v>
      </c>
      <c r="F433" s="3" t="s">
        <v>1864</v>
      </c>
      <c r="G433">
        <v>2019</v>
      </c>
      <c r="H433" s="1" t="str">
        <f>HYPERLINK("http://dx.doi.org/10.3390/su11154124","http://dx.doi.org/10.3390/su11154124")</f>
        <v>http://dx.doi.org/10.3390/su11154124</v>
      </c>
      <c r="I433" s="2" t="s">
        <v>2698</v>
      </c>
    </row>
    <row r="434" spans="1:10" ht="306" hidden="1">
      <c r="A434">
        <v>452</v>
      </c>
      <c r="B434" t="s">
        <v>1865</v>
      </c>
      <c r="C434" t="s">
        <v>1866</v>
      </c>
      <c r="D434" s="3" t="s">
        <v>1867</v>
      </c>
      <c r="E434" t="s">
        <v>74</v>
      </c>
      <c r="F434" s="3" t="s">
        <v>1868</v>
      </c>
      <c r="G434">
        <v>2019</v>
      </c>
      <c r="H434" s="1" t="str">
        <f>HYPERLINK("http://dx.doi.org/10.3390/su11164315","http://dx.doi.org/10.3390/su11164315")</f>
        <v>http://dx.doi.org/10.3390/su11164315</v>
      </c>
      <c r="I434" s="2" t="s">
        <v>2696</v>
      </c>
      <c r="J434" s="2"/>
    </row>
    <row r="435" spans="1:10" ht="397" hidden="1">
      <c r="A435">
        <v>453</v>
      </c>
      <c r="B435" t="s">
        <v>1869</v>
      </c>
      <c r="C435" t="s">
        <v>1870</v>
      </c>
      <c r="D435" s="3" t="s">
        <v>1871</v>
      </c>
      <c r="E435" t="s">
        <v>169</v>
      </c>
      <c r="F435" s="3" t="s">
        <v>1872</v>
      </c>
      <c r="G435">
        <v>2019</v>
      </c>
      <c r="H435" s="1" t="str">
        <f>HYPERLINK("http://dx.doi.org/10.3389/fpls.2019.00839","http://dx.doi.org/10.3389/fpls.2019.00839")</f>
        <v>http://dx.doi.org/10.3389/fpls.2019.00839</v>
      </c>
      <c r="I435" s="2" t="s">
        <v>2696</v>
      </c>
      <c r="J435" s="2" t="s">
        <v>2697</v>
      </c>
    </row>
    <row r="436" spans="1:10" ht="358" hidden="1">
      <c r="A436">
        <v>454</v>
      </c>
      <c r="B436" t="s">
        <v>1873</v>
      </c>
      <c r="C436" t="s">
        <v>1874</v>
      </c>
      <c r="D436" s="3" t="s">
        <v>1875</v>
      </c>
      <c r="E436" t="s">
        <v>30</v>
      </c>
      <c r="F436" s="3" t="s">
        <v>1876</v>
      </c>
      <c r="G436">
        <v>2019</v>
      </c>
      <c r="H436" s="1" t="str">
        <f>HYPERLINK("http://dx.doi.org/10.1016/j.jclepro.2019.03.210","http://dx.doi.org/10.1016/j.jclepro.2019.03.210")</f>
        <v>http://dx.doi.org/10.1016/j.jclepro.2019.03.210</v>
      </c>
      <c r="I436" s="2" t="s">
        <v>2696</v>
      </c>
      <c r="J436" s="2" t="s">
        <v>2698</v>
      </c>
    </row>
    <row r="437" spans="1:10" ht="319" hidden="1">
      <c r="A437">
        <v>455</v>
      </c>
      <c r="B437" t="s">
        <v>1877</v>
      </c>
      <c r="C437" t="s">
        <v>1878</v>
      </c>
      <c r="D437" s="3" t="s">
        <v>1879</v>
      </c>
      <c r="E437" t="s">
        <v>483</v>
      </c>
      <c r="F437" s="3" t="s">
        <v>1880</v>
      </c>
      <c r="G437">
        <v>2019</v>
      </c>
      <c r="H437" s="1" t="str">
        <f>HYPERLINK("http://dx.doi.org/10.3390/en12142737","http://dx.doi.org/10.3390/en12142737")</f>
        <v>http://dx.doi.org/10.3390/en12142737</v>
      </c>
      <c r="I437" s="2" t="s">
        <v>2696</v>
      </c>
    </row>
    <row r="438" spans="1:10" ht="266">
      <c r="A438">
        <v>456</v>
      </c>
      <c r="B438" t="s">
        <v>1881</v>
      </c>
      <c r="C438" t="s">
        <v>1882</v>
      </c>
      <c r="D438" s="3" t="s">
        <v>1883</v>
      </c>
      <c r="E438" t="s">
        <v>1266</v>
      </c>
      <c r="F438" s="3" t="s">
        <v>1884</v>
      </c>
      <c r="G438">
        <v>2019</v>
      </c>
      <c r="H438" s="1" t="str">
        <f>HYPERLINK("http://dx.doi.org/10.15835/nbha47311580","http://dx.doi.org/10.15835/nbha47311580")</f>
        <v>http://dx.doi.org/10.15835/nbha47311580</v>
      </c>
      <c r="I438" s="2" t="s">
        <v>2697</v>
      </c>
    </row>
    <row r="439" spans="1:10" ht="293" hidden="1">
      <c r="A439">
        <v>457</v>
      </c>
      <c r="B439" t="s">
        <v>1885</v>
      </c>
      <c r="C439" t="s">
        <v>1886</v>
      </c>
      <c r="D439" s="3" t="s">
        <v>1887</v>
      </c>
      <c r="E439" t="s">
        <v>11</v>
      </c>
      <c r="F439" s="3" t="s">
        <v>1888</v>
      </c>
      <c r="G439">
        <v>2019</v>
      </c>
      <c r="H439" s="1" t="str">
        <f>HYPERLINK("http://dx.doi.org/10.1016/j.biosystemseng.2019.04.010","http://dx.doi.org/10.1016/j.biosystemseng.2019.04.010")</f>
        <v>http://dx.doi.org/10.1016/j.biosystemseng.2019.04.010</v>
      </c>
      <c r="I439" s="2" t="s">
        <v>2696</v>
      </c>
    </row>
    <row r="440" spans="1:10" ht="384">
      <c r="A440">
        <v>458</v>
      </c>
      <c r="B440" t="s">
        <v>1889</v>
      </c>
      <c r="C440" t="s">
        <v>1890</v>
      </c>
      <c r="D440" s="3" t="s">
        <v>1891</v>
      </c>
      <c r="E440" t="s">
        <v>93</v>
      </c>
      <c r="F440" s="3" t="s">
        <v>1892</v>
      </c>
      <c r="G440">
        <v>2019</v>
      </c>
      <c r="H440" s="1" t="str">
        <f>HYPERLINK("http://dx.doi.org/10.1016/j.envexpbot.2019.04.003","http://dx.doi.org/10.1016/j.envexpbot.2019.04.003")</f>
        <v>http://dx.doi.org/10.1016/j.envexpbot.2019.04.003</v>
      </c>
      <c r="I440" s="2" t="s">
        <v>2697</v>
      </c>
    </row>
    <row r="441" spans="1:10" ht="358" hidden="1">
      <c r="A441">
        <v>459</v>
      </c>
      <c r="B441" t="s">
        <v>1893</v>
      </c>
      <c r="C441" t="s">
        <v>1894</v>
      </c>
      <c r="D441" s="3" t="s">
        <v>1895</v>
      </c>
      <c r="E441" t="s">
        <v>183</v>
      </c>
      <c r="F441" s="3" t="s">
        <v>1896</v>
      </c>
      <c r="G441">
        <v>2019</v>
      </c>
      <c r="H441" s="1" t="str">
        <f>HYPERLINK("http://dx.doi.org/10.1016/j.scienta.2019.03.057","http://dx.doi.org/10.1016/j.scienta.2019.03.057")</f>
        <v>http://dx.doi.org/10.1016/j.scienta.2019.03.057</v>
      </c>
      <c r="I441" s="2" t="s">
        <v>2696</v>
      </c>
      <c r="J441" s="2" t="s">
        <v>2697</v>
      </c>
    </row>
    <row r="442" spans="1:10" ht="210">
      <c r="A442">
        <v>461</v>
      </c>
      <c r="B442" t="s">
        <v>1897</v>
      </c>
      <c r="C442" t="s">
        <v>1898</v>
      </c>
      <c r="D442" s="3" t="s">
        <v>1899</v>
      </c>
      <c r="E442" t="s">
        <v>1349</v>
      </c>
      <c r="F442" s="3" t="s">
        <v>1900</v>
      </c>
      <c r="G442">
        <v>2019</v>
      </c>
      <c r="H442" s="1" t="str">
        <f>HYPERLINK("http://dx.doi.org/10.1021/acs.jafc.9b00819","http://dx.doi.org/10.1021/acs.jafc.9b00819")</f>
        <v>http://dx.doi.org/10.1021/acs.jafc.9b00819</v>
      </c>
      <c r="I442" s="2" t="s">
        <v>2697</v>
      </c>
    </row>
    <row r="443" spans="1:10" ht="210">
      <c r="A443">
        <v>462</v>
      </c>
      <c r="B443" t="s">
        <v>1901</v>
      </c>
      <c r="C443" t="s">
        <v>1902</v>
      </c>
      <c r="D443" s="3" t="s">
        <v>1903</v>
      </c>
      <c r="E443" t="s">
        <v>45</v>
      </c>
      <c r="F443" s="3" t="s">
        <v>1904</v>
      </c>
      <c r="G443">
        <v>2019</v>
      </c>
      <c r="H443" s="1" t="str">
        <f>HYPERLINK("http://dx.doi.org/10.3390/horticulturae5020041","http://dx.doi.org/10.3390/horticulturae5020041")</f>
        <v>http://dx.doi.org/10.3390/horticulturae5020041</v>
      </c>
      <c r="I443" s="2" t="s">
        <v>2697</v>
      </c>
    </row>
    <row r="444" spans="1:10" ht="224">
      <c r="A444">
        <v>463</v>
      </c>
      <c r="B444" t="s">
        <v>1905</v>
      </c>
      <c r="C444" t="s">
        <v>1906</v>
      </c>
      <c r="D444" s="3" t="s">
        <v>1907</v>
      </c>
      <c r="E444" t="s">
        <v>183</v>
      </c>
      <c r="F444" s="3" t="s">
        <v>1908</v>
      </c>
      <c r="G444">
        <v>2019</v>
      </c>
      <c r="H444" s="1" t="str">
        <f>HYPERLINK("http://dx.doi.org/10.1016/j.scienta.2019.02.080","http://dx.doi.org/10.1016/j.scienta.2019.02.080")</f>
        <v>http://dx.doi.org/10.1016/j.scienta.2019.02.080</v>
      </c>
      <c r="I444" s="2" t="s">
        <v>2697</v>
      </c>
    </row>
    <row r="445" spans="1:10" ht="168" hidden="1">
      <c r="A445">
        <v>464</v>
      </c>
      <c r="B445" t="s">
        <v>1909</v>
      </c>
      <c r="C445" t="s">
        <v>1910</v>
      </c>
      <c r="D445" s="3" t="s">
        <v>1911</v>
      </c>
      <c r="E445" t="s">
        <v>1912</v>
      </c>
      <c r="F445" s="3" t="s">
        <v>1913</v>
      </c>
      <c r="G445">
        <v>2019</v>
      </c>
      <c r="H445" s="1" t="str">
        <f>HYPERLINK("http://dx.doi.org/10.1007/s10668-018-0088-0","http://dx.doi.org/10.1007/s10668-018-0088-0")</f>
        <v>http://dx.doi.org/10.1007/s10668-018-0088-0</v>
      </c>
      <c r="I445" s="2" t="s">
        <v>2699</v>
      </c>
    </row>
    <row r="446" spans="1:10" ht="168" hidden="1">
      <c r="A446">
        <v>465</v>
      </c>
      <c r="B446" t="s">
        <v>1914</v>
      </c>
      <c r="C446" t="s">
        <v>1915</v>
      </c>
      <c r="D446" s="3" t="s">
        <v>1916</v>
      </c>
      <c r="E446" t="s">
        <v>1504</v>
      </c>
      <c r="F446" s="3" t="s">
        <v>1917</v>
      </c>
      <c r="G446">
        <v>2019</v>
      </c>
      <c r="H446" s="1" t="str">
        <f>HYPERLINK("http://dx.doi.org/10.1080/14620316.2019.1574214","http://dx.doi.org/10.1080/14620316.2019.1574214")</f>
        <v>http://dx.doi.org/10.1080/14620316.2019.1574214</v>
      </c>
      <c r="I446" s="2" t="s">
        <v>2696</v>
      </c>
    </row>
    <row r="447" spans="1:10" ht="252" hidden="1">
      <c r="A447">
        <v>466</v>
      </c>
      <c r="B447" t="s">
        <v>1918</v>
      </c>
      <c r="C447" t="s">
        <v>1919</v>
      </c>
      <c r="D447" s="3" t="s">
        <v>1920</v>
      </c>
      <c r="E447" t="s">
        <v>1921</v>
      </c>
      <c r="F447" s="3" t="s">
        <v>1922</v>
      </c>
      <c r="G447">
        <v>2019</v>
      </c>
      <c r="H447" s="1" t="str">
        <f>HYPERLINK("http://dx.doi.org/10.1016/j.energy.2019.02.119","http://dx.doi.org/10.1016/j.energy.2019.02.119")</f>
        <v>http://dx.doi.org/10.1016/j.energy.2019.02.119</v>
      </c>
      <c r="I447" s="2" t="s">
        <v>2696</v>
      </c>
      <c r="J447" s="2" t="s">
        <v>2698</v>
      </c>
    </row>
    <row r="448" spans="1:10" ht="409.6" hidden="1">
      <c r="A448">
        <v>467</v>
      </c>
      <c r="B448" t="s">
        <v>1923</v>
      </c>
      <c r="C448" t="s">
        <v>1924</v>
      </c>
      <c r="D448" s="3" t="s">
        <v>1925</v>
      </c>
      <c r="E448" t="s">
        <v>413</v>
      </c>
      <c r="F448" s="3" t="s">
        <v>1926</v>
      </c>
      <c r="G448">
        <v>2019</v>
      </c>
      <c r="H448" s="1" t="str">
        <f>HYPERLINK("http://dx.doi.org/10.21273/HORTSCI13834-18","http://dx.doi.org/10.21273/HORTSCI13834-18")</f>
        <v>http://dx.doi.org/10.21273/HORTSCI13834-18</v>
      </c>
      <c r="I448" s="2" t="s">
        <v>2698</v>
      </c>
    </row>
    <row r="449" spans="1:10" ht="280">
      <c r="A449">
        <v>468</v>
      </c>
      <c r="B449" t="s">
        <v>1927</v>
      </c>
      <c r="C449" t="s">
        <v>1928</v>
      </c>
      <c r="D449" s="3" t="s">
        <v>1929</v>
      </c>
      <c r="E449" t="s">
        <v>69</v>
      </c>
      <c r="F449" s="3" t="s">
        <v>1930</v>
      </c>
      <c r="G449">
        <v>2019</v>
      </c>
      <c r="H449" s="1" t="str">
        <f>HYPERLINK("http://dx.doi.org/10.3390/agronomy9050224","http://dx.doi.org/10.3390/agronomy9050224")</f>
        <v>http://dx.doi.org/10.3390/agronomy9050224</v>
      </c>
      <c r="I449" s="2" t="s">
        <v>2697</v>
      </c>
    </row>
    <row r="450" spans="1:10" ht="224" hidden="1">
      <c r="A450">
        <v>469</v>
      </c>
      <c r="B450" t="s">
        <v>1931</v>
      </c>
      <c r="C450" t="s">
        <v>1932</v>
      </c>
      <c r="D450" s="3" t="s">
        <v>1933</v>
      </c>
      <c r="E450" t="s">
        <v>1934</v>
      </c>
      <c r="F450" s="3" t="s">
        <v>1935</v>
      </c>
      <c r="G450">
        <v>2019</v>
      </c>
      <c r="H450" s="1" t="str">
        <f>HYPERLINK("http://dx.doi.org/10.21786/bbrc/SI/12.3/8","http://dx.doi.org/10.21786/bbrc/SI/12.3/8")</f>
        <v>http://dx.doi.org/10.21786/bbrc/SI/12.3/8</v>
      </c>
      <c r="I450" s="2" t="s">
        <v>2696</v>
      </c>
    </row>
    <row r="451" spans="1:10" ht="168" hidden="1">
      <c r="A451">
        <v>470</v>
      </c>
      <c r="B451" t="s">
        <v>1936</v>
      </c>
      <c r="C451" t="s">
        <v>1937</v>
      </c>
      <c r="D451" s="3" t="s">
        <v>1938</v>
      </c>
      <c r="E451" t="s">
        <v>544</v>
      </c>
      <c r="F451" s="3" t="s">
        <v>1939</v>
      </c>
      <c r="G451">
        <v>2019</v>
      </c>
      <c r="H451" s="1" t="str">
        <f>HYPERLINK("http://dx.doi.org/10.3390/s19081763","http://dx.doi.org/10.3390/s19081763")</f>
        <v>http://dx.doi.org/10.3390/s19081763</v>
      </c>
      <c r="I451" s="2" t="s">
        <v>2696</v>
      </c>
    </row>
    <row r="452" spans="1:10" ht="358">
      <c r="A452">
        <v>471</v>
      </c>
      <c r="B452" t="s">
        <v>1940</v>
      </c>
      <c r="C452" t="s">
        <v>1941</v>
      </c>
      <c r="D452" s="3" t="s">
        <v>1942</v>
      </c>
      <c r="E452" t="s">
        <v>50</v>
      </c>
      <c r="F452" s="3" t="s">
        <v>1943</v>
      </c>
      <c r="G452">
        <v>2019</v>
      </c>
      <c r="H452" s="1" t="str">
        <f>HYPERLINK("http://dx.doi.org/10.1007/s13580-018-0112-1","http://dx.doi.org/10.1007/s13580-018-0112-1")</f>
        <v>http://dx.doi.org/10.1007/s13580-018-0112-1</v>
      </c>
      <c r="I452" s="2" t="s">
        <v>2697</v>
      </c>
    </row>
    <row r="453" spans="1:10" ht="252" hidden="1">
      <c r="A453">
        <v>472</v>
      </c>
      <c r="B453" t="s">
        <v>1944</v>
      </c>
      <c r="C453" t="s">
        <v>1945</v>
      </c>
      <c r="D453" s="3" t="s">
        <v>1946</v>
      </c>
      <c r="E453" t="s">
        <v>1947</v>
      </c>
      <c r="F453" s="3" t="s">
        <v>1948</v>
      </c>
      <c r="G453">
        <v>2019</v>
      </c>
      <c r="H453" s="1" t="str">
        <f>HYPERLINK("http://dx.doi.org/10.1016/j.landusepol.2018.12.038","http://dx.doi.org/10.1016/j.landusepol.2018.12.038")</f>
        <v>http://dx.doi.org/10.1016/j.landusepol.2018.12.038</v>
      </c>
      <c r="I453" s="2" t="s">
        <v>2699</v>
      </c>
      <c r="J453" s="2" t="s">
        <v>2698</v>
      </c>
    </row>
    <row r="454" spans="1:10" ht="293">
      <c r="A454">
        <v>474</v>
      </c>
      <c r="B454" t="s">
        <v>1950</v>
      </c>
      <c r="C454" t="s">
        <v>1951</v>
      </c>
      <c r="D454" s="3" t="s">
        <v>1952</v>
      </c>
      <c r="E454" t="s">
        <v>138</v>
      </c>
      <c r="F454" s="3" t="s">
        <v>1953</v>
      </c>
      <c r="G454">
        <v>2019</v>
      </c>
      <c r="H454" s="1" t="str">
        <f>HYPERLINK("http://dx.doi.org/10.3390/plants8040090","http://dx.doi.org/10.3390/plants8040090")</f>
        <v>http://dx.doi.org/10.3390/plants8040090</v>
      </c>
      <c r="I454" s="2" t="s">
        <v>2697</v>
      </c>
    </row>
    <row r="455" spans="1:10" ht="409.6">
      <c r="A455">
        <v>475</v>
      </c>
      <c r="B455" t="s">
        <v>1954</v>
      </c>
      <c r="C455" t="s">
        <v>1955</v>
      </c>
      <c r="D455" s="3" t="s">
        <v>1956</v>
      </c>
      <c r="E455" t="s">
        <v>50</v>
      </c>
      <c r="F455" s="3" t="s">
        <v>1957</v>
      </c>
      <c r="G455">
        <v>2019</v>
      </c>
      <c r="H455" s="1" t="str">
        <f>HYPERLINK("http://dx.doi.org/10.1007/s13580-018-0118-8","http://dx.doi.org/10.1007/s13580-018-0118-8")</f>
        <v>http://dx.doi.org/10.1007/s13580-018-0118-8</v>
      </c>
      <c r="I455" s="2" t="s">
        <v>2697</v>
      </c>
    </row>
    <row r="456" spans="1:10" ht="332" hidden="1">
      <c r="A456">
        <v>476</v>
      </c>
      <c r="B456" t="s">
        <v>1958</v>
      </c>
      <c r="C456" t="s">
        <v>1959</v>
      </c>
      <c r="D456" s="3" t="s">
        <v>1960</v>
      </c>
      <c r="E456" t="s">
        <v>1949</v>
      </c>
      <c r="F456" s="3" t="s">
        <v>1961</v>
      </c>
      <c r="G456">
        <v>2019</v>
      </c>
      <c r="H456" s="1" t="str">
        <f>HYPERLINK("http://dx.doi.org/10.21273/HORTTECH04244-18","http://dx.doi.org/10.21273/HORTTECH04244-18")</f>
        <v>http://dx.doi.org/10.21273/HORTTECH04244-18</v>
      </c>
      <c r="I456" s="2" t="s">
        <v>2696</v>
      </c>
      <c r="J456" s="2" t="s">
        <v>2697</v>
      </c>
    </row>
    <row r="457" spans="1:10" ht="266">
      <c r="A457">
        <v>477</v>
      </c>
      <c r="B457" t="s">
        <v>1325</v>
      </c>
      <c r="C457" t="s">
        <v>1326</v>
      </c>
      <c r="D457" s="3" t="s">
        <v>1962</v>
      </c>
      <c r="E457" t="s">
        <v>50</v>
      </c>
      <c r="F457" s="3" t="s">
        <v>1963</v>
      </c>
      <c r="G457">
        <v>2019</v>
      </c>
      <c r="H457" s="1" t="str">
        <f>HYPERLINK("http://dx.doi.org/10.1007/s13580-018-0114-z","http://dx.doi.org/10.1007/s13580-018-0114-z")</f>
        <v>http://dx.doi.org/10.1007/s13580-018-0114-z</v>
      </c>
      <c r="I457" s="2" t="s">
        <v>2697</v>
      </c>
    </row>
    <row r="458" spans="1:10" ht="345" hidden="1">
      <c r="A458">
        <v>479</v>
      </c>
      <c r="B458" t="s">
        <v>1964</v>
      </c>
      <c r="C458" t="s">
        <v>1965</v>
      </c>
      <c r="D458" s="3" t="s">
        <v>1966</v>
      </c>
      <c r="E458" t="s">
        <v>1647</v>
      </c>
      <c r="F458" s="3" t="s">
        <v>1967</v>
      </c>
      <c r="G458">
        <v>2019</v>
      </c>
      <c r="H458" s="1" t="str">
        <f>HYPERLINK("http://dx.doi.org/10.1039/c8tc06115g","http://dx.doi.org/10.1039/c8tc06115g")</f>
        <v>http://dx.doi.org/10.1039/c8tc06115g</v>
      </c>
      <c r="I458" s="2" t="s">
        <v>2696</v>
      </c>
    </row>
    <row r="459" spans="1:10" ht="306" hidden="1">
      <c r="A459">
        <v>480</v>
      </c>
      <c r="B459" t="s">
        <v>1968</v>
      </c>
      <c r="C459" t="s">
        <v>1969</v>
      </c>
      <c r="D459" s="3" t="s">
        <v>1970</v>
      </c>
      <c r="E459" t="s">
        <v>169</v>
      </c>
      <c r="F459" s="3" t="s">
        <v>1971</v>
      </c>
      <c r="G459">
        <v>2019</v>
      </c>
      <c r="H459" s="1" t="str">
        <f>HYPERLINK("http://dx.doi.org/10.3389/fpls.2019.00227","http://dx.doi.org/10.3389/fpls.2019.00227")</f>
        <v>http://dx.doi.org/10.3389/fpls.2019.00227</v>
      </c>
      <c r="I459" s="2" t="s">
        <v>2696</v>
      </c>
    </row>
    <row r="460" spans="1:10" ht="224">
      <c r="A460">
        <v>481</v>
      </c>
      <c r="B460" t="s">
        <v>1972</v>
      </c>
      <c r="C460" t="s">
        <v>1973</v>
      </c>
      <c r="D460" s="3" t="s">
        <v>1974</v>
      </c>
      <c r="E460" t="s">
        <v>1975</v>
      </c>
      <c r="F460" s="3" t="s">
        <v>1976</v>
      </c>
      <c r="G460">
        <v>2019</v>
      </c>
      <c r="H460" s="1" t="str">
        <f>HYPERLINK("http://dx.doi.org/10.3390/metabo9030056","http://dx.doi.org/10.3390/metabo9030056")</f>
        <v>http://dx.doi.org/10.3390/metabo9030056</v>
      </c>
      <c r="I460" s="2" t="s">
        <v>2697</v>
      </c>
    </row>
    <row r="461" spans="1:10" ht="397">
      <c r="A461">
        <v>482</v>
      </c>
      <c r="B461" t="s">
        <v>1977</v>
      </c>
      <c r="C461" t="s">
        <v>1978</v>
      </c>
      <c r="D461" s="3" t="s">
        <v>1979</v>
      </c>
      <c r="E461" t="s">
        <v>169</v>
      </c>
      <c r="F461" s="3" t="s">
        <v>1980</v>
      </c>
      <c r="G461">
        <v>2019</v>
      </c>
      <c r="H461" s="1" t="str">
        <f>HYPERLINK("http://dx.doi.org/10.3389/fpls.2019.00305","http://dx.doi.org/10.3389/fpls.2019.00305")</f>
        <v>http://dx.doi.org/10.3389/fpls.2019.00305</v>
      </c>
      <c r="I461" s="2" t="s">
        <v>2697</v>
      </c>
    </row>
    <row r="462" spans="1:10" ht="196" hidden="1">
      <c r="A462">
        <v>484</v>
      </c>
      <c r="B462" t="s">
        <v>1981</v>
      </c>
      <c r="C462" t="s">
        <v>1982</v>
      </c>
      <c r="D462" s="3" t="s">
        <v>1983</v>
      </c>
      <c r="E462" t="s">
        <v>1984</v>
      </c>
      <c r="F462" s="3" t="s">
        <v>1985</v>
      </c>
      <c r="G462">
        <v>2019</v>
      </c>
      <c r="H462" s="1" t="str">
        <f>HYPERLINK("http://dx.doi.org/10.1016/j.ultsonch.2018.10.005","http://dx.doi.org/10.1016/j.ultsonch.2018.10.005")</f>
        <v>http://dx.doi.org/10.1016/j.ultsonch.2018.10.005</v>
      </c>
      <c r="I462" s="2" t="s">
        <v>2696</v>
      </c>
      <c r="J462" s="2" t="s">
        <v>2697</v>
      </c>
    </row>
    <row r="463" spans="1:10" ht="224">
      <c r="A463">
        <v>485</v>
      </c>
      <c r="B463" t="s">
        <v>1986</v>
      </c>
      <c r="C463" t="s">
        <v>1987</v>
      </c>
      <c r="D463" s="3" t="s">
        <v>1988</v>
      </c>
      <c r="E463" t="s">
        <v>45</v>
      </c>
      <c r="F463" s="3" t="s">
        <v>1989</v>
      </c>
      <c r="G463">
        <v>2019</v>
      </c>
      <c r="H463" s="1" t="str">
        <f>HYPERLINK("http://dx.doi.org/10.3390/horticulturae5010025","http://dx.doi.org/10.3390/horticulturae5010025")</f>
        <v>http://dx.doi.org/10.3390/horticulturae5010025</v>
      </c>
      <c r="I463" s="2" t="s">
        <v>2697</v>
      </c>
    </row>
    <row r="464" spans="1:10" ht="306">
      <c r="A464">
        <v>486</v>
      </c>
      <c r="B464" t="s">
        <v>1990</v>
      </c>
      <c r="C464" t="s">
        <v>1991</v>
      </c>
      <c r="D464" s="3" t="s">
        <v>1992</v>
      </c>
      <c r="E464" t="s">
        <v>183</v>
      </c>
      <c r="F464" s="3" t="s">
        <v>1993</v>
      </c>
      <c r="G464">
        <v>2019</v>
      </c>
      <c r="H464" s="1" t="str">
        <f>HYPERLINK("http://dx.doi.org/10.1016/j.scienta.2018.10.023","http://dx.doi.org/10.1016/j.scienta.2018.10.023")</f>
        <v>http://dx.doi.org/10.1016/j.scienta.2018.10.023</v>
      </c>
      <c r="I464" s="2" t="s">
        <v>2697</v>
      </c>
    </row>
    <row r="465" spans="1:10" ht="319" hidden="1">
      <c r="A465">
        <v>489</v>
      </c>
      <c r="B465" t="s">
        <v>1994</v>
      </c>
      <c r="C465" t="s">
        <v>1995</v>
      </c>
      <c r="D465" s="3" t="s">
        <v>1996</v>
      </c>
      <c r="E465" t="s">
        <v>1997</v>
      </c>
      <c r="F465" s="3" t="s">
        <v>1998</v>
      </c>
      <c r="G465">
        <v>2019</v>
      </c>
      <c r="H465" s="1" t="str">
        <f>HYPERLINK("http://dx.doi.org/10.1117/1.OE.58.2.027105","http://dx.doi.org/10.1117/1.OE.58.2.027105")</f>
        <v>http://dx.doi.org/10.1117/1.OE.58.2.027105</v>
      </c>
      <c r="I465" s="2" t="s">
        <v>2696</v>
      </c>
    </row>
    <row r="466" spans="1:10" ht="280">
      <c r="A466">
        <v>490</v>
      </c>
      <c r="B466" t="s">
        <v>1999</v>
      </c>
      <c r="C466" t="s">
        <v>2000</v>
      </c>
      <c r="D466" s="3" t="s">
        <v>2001</v>
      </c>
      <c r="E466" t="s">
        <v>749</v>
      </c>
      <c r="F466" s="3" t="s">
        <v>2002</v>
      </c>
      <c r="G466">
        <v>2019</v>
      </c>
      <c r="H466" s="1" t="str">
        <f>HYPERLINK("http://dx.doi.org/10.1002/jsfa.9237","http://dx.doi.org/10.1002/jsfa.9237")</f>
        <v>http://dx.doi.org/10.1002/jsfa.9237</v>
      </c>
      <c r="I466" s="2" t="s">
        <v>2697</v>
      </c>
      <c r="J466" s="2" t="s">
        <v>2696</v>
      </c>
    </row>
    <row r="467" spans="1:10" ht="210" hidden="1">
      <c r="A467">
        <v>491</v>
      </c>
      <c r="B467" t="s">
        <v>2003</v>
      </c>
      <c r="C467" t="s">
        <v>2004</v>
      </c>
      <c r="D467" s="3" t="s">
        <v>2005</v>
      </c>
      <c r="E467" t="s">
        <v>2006</v>
      </c>
      <c r="F467" s="3" t="s">
        <v>2007</v>
      </c>
      <c r="G467">
        <v>2019</v>
      </c>
      <c r="H467" s="1" t="str">
        <f>HYPERLINK("http://dx.doi.org/10.1016/j.jbiotec.2018.10.010","http://dx.doi.org/10.1016/j.jbiotec.2018.10.010")</f>
        <v>http://dx.doi.org/10.1016/j.jbiotec.2018.10.010</v>
      </c>
      <c r="I467" s="2" t="s">
        <v>2698</v>
      </c>
    </row>
    <row r="468" spans="1:10" ht="252">
      <c r="A468">
        <v>492</v>
      </c>
      <c r="B468" t="s">
        <v>2008</v>
      </c>
      <c r="C468" t="s">
        <v>2009</v>
      </c>
      <c r="D468" s="3" t="s">
        <v>2010</v>
      </c>
      <c r="E468" t="s">
        <v>1201</v>
      </c>
      <c r="F468" s="3" t="s">
        <v>2011</v>
      </c>
      <c r="G468">
        <v>2019</v>
      </c>
      <c r="H468" s="1" t="s">
        <v>8</v>
      </c>
      <c r="I468" s="2" t="s">
        <v>2697</v>
      </c>
    </row>
    <row r="469" spans="1:10" ht="252" hidden="1">
      <c r="A469">
        <v>493</v>
      </c>
      <c r="B469" t="s">
        <v>2012</v>
      </c>
      <c r="C469" t="s">
        <v>2013</v>
      </c>
      <c r="D469" s="3" t="s">
        <v>2014</v>
      </c>
      <c r="E469" t="s">
        <v>2015</v>
      </c>
      <c r="F469" s="3" t="s">
        <v>2016</v>
      </c>
      <c r="G469">
        <v>2019</v>
      </c>
      <c r="H469" s="1" t="s">
        <v>8</v>
      </c>
      <c r="I469" s="2" t="s">
        <v>2696</v>
      </c>
    </row>
    <row r="470" spans="1:10" ht="224" hidden="1">
      <c r="A470">
        <v>494</v>
      </c>
      <c r="B470" t="s">
        <v>2017</v>
      </c>
      <c r="C470" t="s">
        <v>2018</v>
      </c>
      <c r="D470" s="3" t="s">
        <v>2019</v>
      </c>
      <c r="E470" t="s">
        <v>1164</v>
      </c>
      <c r="F470" s="3" t="s">
        <v>2020</v>
      </c>
      <c r="G470">
        <v>2019</v>
      </c>
      <c r="H470" s="1" t="str">
        <f>HYPERLINK("http://dx.doi.org/10.14502/Tekstilec2019.62.200-207","http://dx.doi.org/10.14502/Tekstilec2019.62.200-207")</f>
        <v>http://dx.doi.org/10.14502/Tekstilec2019.62.200-207</v>
      </c>
      <c r="I470" s="2" t="s">
        <v>2696</v>
      </c>
    </row>
    <row r="471" spans="1:10" ht="332">
      <c r="A471">
        <v>495</v>
      </c>
      <c r="B471" t="s">
        <v>2021</v>
      </c>
      <c r="C471" t="s">
        <v>2022</v>
      </c>
      <c r="D471" s="3" t="s">
        <v>2023</v>
      </c>
      <c r="E471" t="s">
        <v>2024</v>
      </c>
      <c r="F471" s="3" t="s">
        <v>2025</v>
      </c>
      <c r="G471">
        <v>2019</v>
      </c>
      <c r="H471" s="1" t="str">
        <f>HYPERLINK("http://dx.doi.org/10.17660/th2019/74.1.1","http://dx.doi.org/10.17660/th2019/74.1.1")</f>
        <v>http://dx.doi.org/10.17660/th2019/74.1.1</v>
      </c>
      <c r="I471" s="2" t="s">
        <v>2697</v>
      </c>
    </row>
    <row r="472" spans="1:10" ht="154" hidden="1">
      <c r="A472">
        <v>496</v>
      </c>
      <c r="B472" t="s">
        <v>2026</v>
      </c>
      <c r="C472" t="s">
        <v>2027</v>
      </c>
      <c r="D472" s="3" t="s">
        <v>2028</v>
      </c>
      <c r="E472" t="s">
        <v>1164</v>
      </c>
      <c r="F472" s="3" t="s">
        <v>2029</v>
      </c>
      <c r="G472">
        <v>2019</v>
      </c>
      <c r="H472" s="1" t="str">
        <f>HYPERLINK("http://dx.doi.org/10.14502/Tekstilec2019.62.34-41","http://dx.doi.org/10.14502/Tekstilec2019.62.34-41")</f>
        <v>http://dx.doi.org/10.14502/Tekstilec2019.62.34-41</v>
      </c>
      <c r="I472" s="2" t="s">
        <v>2696</v>
      </c>
    </row>
    <row r="473" spans="1:10" ht="345">
      <c r="A473">
        <v>497</v>
      </c>
      <c r="B473" t="s">
        <v>2030</v>
      </c>
      <c r="C473" t="s">
        <v>2031</v>
      </c>
      <c r="D473" s="3" t="s">
        <v>2032</v>
      </c>
      <c r="E473" t="s">
        <v>2033</v>
      </c>
      <c r="F473" s="3" t="s">
        <v>2034</v>
      </c>
      <c r="G473">
        <v>2019</v>
      </c>
      <c r="H473" s="1" t="str">
        <f>HYPERLINK("http://dx.doi.org/10.1111/plb.12914","http://dx.doi.org/10.1111/plb.12914")</f>
        <v>http://dx.doi.org/10.1111/plb.12914</v>
      </c>
      <c r="I473" s="2" t="s">
        <v>2697</v>
      </c>
    </row>
    <row r="474" spans="1:10" ht="345" hidden="1">
      <c r="A474">
        <v>498</v>
      </c>
      <c r="B474" t="s">
        <v>2035</v>
      </c>
      <c r="C474" t="s">
        <v>2036</v>
      </c>
      <c r="D474" s="3" t="s">
        <v>2037</v>
      </c>
      <c r="E474" t="s">
        <v>488</v>
      </c>
      <c r="F474" s="3" t="s">
        <v>2038</v>
      </c>
      <c r="G474">
        <v>2019</v>
      </c>
      <c r="H474" s="1" t="str">
        <f>HYPERLINK("http://dx.doi.org/10.1109/ACCESS.2019.2903830","http://dx.doi.org/10.1109/ACCESS.2019.2903830")</f>
        <v>http://dx.doi.org/10.1109/ACCESS.2019.2903830</v>
      </c>
      <c r="I474" s="2" t="s">
        <v>2696</v>
      </c>
    </row>
    <row r="475" spans="1:10" ht="332">
      <c r="A475">
        <v>499</v>
      </c>
      <c r="B475" t="s">
        <v>2039</v>
      </c>
      <c r="C475" t="s">
        <v>2040</v>
      </c>
      <c r="D475" s="3" t="s">
        <v>2041</v>
      </c>
      <c r="E475" t="s">
        <v>2042</v>
      </c>
      <c r="F475" s="3" t="s">
        <v>2043</v>
      </c>
      <c r="G475">
        <v>2019</v>
      </c>
      <c r="H475" s="1" t="s">
        <v>8</v>
      </c>
      <c r="I475" s="2" t="s">
        <v>2697</v>
      </c>
    </row>
    <row r="476" spans="1:10" ht="384">
      <c r="A476">
        <v>500</v>
      </c>
      <c r="B476" t="s">
        <v>2044</v>
      </c>
      <c r="C476" t="s">
        <v>2045</v>
      </c>
      <c r="D476" s="3" t="s">
        <v>2046</v>
      </c>
      <c r="E476" t="s">
        <v>1135</v>
      </c>
      <c r="F476" s="3" t="s">
        <v>2047</v>
      </c>
      <c r="G476">
        <v>2019</v>
      </c>
      <c r="H476" s="1" t="str">
        <f>HYPERLINK("http://dx.doi.org/10.7235/HORT.20190060","http://dx.doi.org/10.7235/HORT.20190060")</f>
        <v>http://dx.doi.org/10.7235/HORT.20190060</v>
      </c>
      <c r="I476" s="2" t="s">
        <v>2697</v>
      </c>
    </row>
    <row r="477" spans="1:10" ht="266">
      <c r="A477">
        <v>502</v>
      </c>
      <c r="B477" t="s">
        <v>2048</v>
      </c>
      <c r="C477" t="s">
        <v>2049</v>
      </c>
      <c r="D477" s="3" t="s">
        <v>2050</v>
      </c>
      <c r="E477" t="s">
        <v>250</v>
      </c>
      <c r="F477" s="3" t="s">
        <v>2051</v>
      </c>
      <c r="G477">
        <v>2018</v>
      </c>
      <c r="H477" s="1" t="str">
        <f>HYPERLINK("http://dx.doi.org/10.1038/s41598-018-36113-9","http://dx.doi.org/10.1038/s41598-018-36113-9")</f>
        <v>http://dx.doi.org/10.1038/s41598-018-36113-9</v>
      </c>
      <c r="I477" s="2" t="s">
        <v>2697</v>
      </c>
    </row>
    <row r="478" spans="1:10" ht="332">
      <c r="A478">
        <v>503</v>
      </c>
      <c r="B478" t="s">
        <v>2052</v>
      </c>
      <c r="C478" t="s">
        <v>2053</v>
      </c>
      <c r="D478" s="3" t="s">
        <v>2054</v>
      </c>
      <c r="E478" t="s">
        <v>1949</v>
      </c>
      <c r="F478" s="3" t="s">
        <v>2055</v>
      </c>
      <c r="G478">
        <v>2018</v>
      </c>
      <c r="H478" s="1" t="str">
        <f>HYPERLINK("http://dx.doi.org/10.21273/HORTTECH04024-18","http://dx.doi.org/10.21273/HORTTECH04024-18")</f>
        <v>http://dx.doi.org/10.21273/HORTTECH04024-18</v>
      </c>
      <c r="I478" s="2" t="s">
        <v>2697</v>
      </c>
    </row>
    <row r="479" spans="1:10" ht="238" hidden="1">
      <c r="A479">
        <v>504</v>
      </c>
      <c r="B479" t="s">
        <v>2056</v>
      </c>
      <c r="C479" t="s">
        <v>2057</v>
      </c>
      <c r="D479" s="3" t="s">
        <v>2058</v>
      </c>
      <c r="E479" t="s">
        <v>84</v>
      </c>
      <c r="F479" s="3" t="s">
        <v>2059</v>
      </c>
      <c r="G479">
        <v>2018</v>
      </c>
      <c r="H479" s="1" t="str">
        <f>HYPERLINK("http://dx.doi.org/10.1016/j.compag.2018.09.028","http://dx.doi.org/10.1016/j.compag.2018.09.028")</f>
        <v>http://dx.doi.org/10.1016/j.compag.2018.09.028</v>
      </c>
      <c r="I479" s="2" t="s">
        <v>2696</v>
      </c>
    </row>
    <row r="480" spans="1:10" ht="266">
      <c r="A480">
        <v>505</v>
      </c>
      <c r="B480" t="s">
        <v>2060</v>
      </c>
      <c r="C480" t="s">
        <v>2061</v>
      </c>
      <c r="D480" s="3" t="s">
        <v>2062</v>
      </c>
      <c r="E480" t="s">
        <v>413</v>
      </c>
      <c r="F480" s="3" t="s">
        <v>2063</v>
      </c>
      <c r="G480">
        <v>2018</v>
      </c>
      <c r="H480" s="1" t="str">
        <f>HYPERLINK("http://dx.doi.org/10.21273/HORTSCI13469-18","http://dx.doi.org/10.21273/HORTSCI13469-18")</f>
        <v>http://dx.doi.org/10.21273/HORTSCI13469-18</v>
      </c>
      <c r="I480" s="2" t="s">
        <v>2697</v>
      </c>
    </row>
    <row r="481" spans="1:10" ht="280" hidden="1">
      <c r="A481">
        <v>506</v>
      </c>
      <c r="B481" t="s">
        <v>2064</v>
      </c>
      <c r="C481" t="s">
        <v>2065</v>
      </c>
      <c r="D481" s="3" t="s">
        <v>2066</v>
      </c>
      <c r="E481" t="s">
        <v>50</v>
      </c>
      <c r="F481" s="3" t="s">
        <v>2067</v>
      </c>
      <c r="G481">
        <v>2018</v>
      </c>
      <c r="H481" s="1" t="str">
        <f>HYPERLINK("http://dx.doi.org/10.1007/s13580-018-0052-9","http://dx.doi.org/10.1007/s13580-018-0052-9")</f>
        <v>http://dx.doi.org/10.1007/s13580-018-0052-9</v>
      </c>
      <c r="I481" s="2" t="s">
        <v>2696</v>
      </c>
      <c r="J481" s="2" t="s">
        <v>2697</v>
      </c>
    </row>
    <row r="482" spans="1:10" ht="224" hidden="1">
      <c r="A482">
        <v>507</v>
      </c>
      <c r="B482" t="s">
        <v>2068</v>
      </c>
      <c r="C482" t="s">
        <v>2069</v>
      </c>
      <c r="D482" s="3" t="s">
        <v>2070</v>
      </c>
      <c r="E482" t="s">
        <v>74</v>
      </c>
      <c r="F482" s="3" t="s">
        <v>2071</v>
      </c>
      <c r="G482">
        <v>2018</v>
      </c>
      <c r="H482" s="1" t="str">
        <f>HYPERLINK("http://dx.doi.org/10.3390/su10124429","http://dx.doi.org/10.3390/su10124429")</f>
        <v>http://dx.doi.org/10.3390/su10124429</v>
      </c>
      <c r="I482" s="2" t="s">
        <v>2699</v>
      </c>
    </row>
    <row r="483" spans="1:10" ht="306" hidden="1">
      <c r="A483">
        <v>508</v>
      </c>
      <c r="B483" t="s">
        <v>2072</v>
      </c>
      <c r="C483" t="s">
        <v>2073</v>
      </c>
      <c r="D483" s="3" t="s">
        <v>2074</v>
      </c>
      <c r="E483" t="s">
        <v>2075</v>
      </c>
      <c r="F483" s="4" t="s">
        <v>2076</v>
      </c>
      <c r="G483">
        <v>2018</v>
      </c>
      <c r="H483" s="1" t="str">
        <f>HYPERLINK("http://dx.doi.org/10.1038/s41438-018-0065-7","http://dx.doi.org/10.1038/s41438-018-0065-7")</f>
        <v>http://dx.doi.org/10.1038/s41438-018-0065-7</v>
      </c>
      <c r="I483" s="2" t="s">
        <v>2696</v>
      </c>
      <c r="J483" s="2" t="s">
        <v>2697</v>
      </c>
    </row>
    <row r="484" spans="1:10" ht="409.6">
      <c r="A484">
        <v>509</v>
      </c>
      <c r="B484" t="s">
        <v>2077</v>
      </c>
      <c r="C484" t="s">
        <v>2078</v>
      </c>
      <c r="D484" s="3" t="s">
        <v>2079</v>
      </c>
      <c r="E484" t="s">
        <v>50</v>
      </c>
      <c r="F484" s="3" t="s">
        <v>2080</v>
      </c>
      <c r="G484">
        <v>2018</v>
      </c>
      <c r="H484" s="1" t="str">
        <f>HYPERLINK("http://dx.doi.org/10.1007/s13580-018-0076-1","http://dx.doi.org/10.1007/s13580-018-0076-1")</f>
        <v>http://dx.doi.org/10.1007/s13580-018-0076-1</v>
      </c>
      <c r="I484" s="2" t="s">
        <v>2697</v>
      </c>
    </row>
    <row r="485" spans="1:10" ht="280" hidden="1">
      <c r="A485">
        <v>510</v>
      </c>
      <c r="B485" t="s">
        <v>2081</v>
      </c>
      <c r="C485" t="s">
        <v>2082</v>
      </c>
      <c r="D485" s="3" t="s">
        <v>2083</v>
      </c>
      <c r="E485" t="s">
        <v>2084</v>
      </c>
      <c r="F485" s="3" t="s">
        <v>2085</v>
      </c>
      <c r="G485">
        <v>2018</v>
      </c>
      <c r="H485" s="1" t="str">
        <f>HYPERLINK("http://dx.doi.org/10.1007/s11119-018-9565-6","http://dx.doi.org/10.1007/s11119-018-9565-6")</f>
        <v>http://dx.doi.org/10.1007/s11119-018-9565-6</v>
      </c>
      <c r="I485" s="2" t="s">
        <v>2696</v>
      </c>
    </row>
    <row r="486" spans="1:10" ht="238">
      <c r="A486">
        <v>511</v>
      </c>
      <c r="B486" t="s">
        <v>2086</v>
      </c>
      <c r="C486" t="s">
        <v>2087</v>
      </c>
      <c r="D486" s="3" t="s">
        <v>2088</v>
      </c>
      <c r="E486" t="s">
        <v>478</v>
      </c>
      <c r="F486" s="3" t="s">
        <v>2089</v>
      </c>
      <c r="G486">
        <v>2018</v>
      </c>
      <c r="H486" s="1" t="str">
        <f>HYPERLINK("http://dx.doi.org/10.2480/agrmet.D-17-00048","http://dx.doi.org/10.2480/agrmet.D-17-00048")</f>
        <v>http://dx.doi.org/10.2480/agrmet.D-17-00048</v>
      </c>
      <c r="I486" s="2" t="s">
        <v>2697</v>
      </c>
    </row>
    <row r="487" spans="1:10" ht="224" hidden="1">
      <c r="A487">
        <v>512</v>
      </c>
      <c r="B487" t="s">
        <v>2090</v>
      </c>
      <c r="C487" t="s">
        <v>2091</v>
      </c>
      <c r="D487" s="3" t="s">
        <v>2092</v>
      </c>
      <c r="E487" t="s">
        <v>69</v>
      </c>
      <c r="F487" s="3" t="s">
        <v>2093</v>
      </c>
      <c r="G487">
        <v>2018</v>
      </c>
      <c r="H487" s="1" t="str">
        <f>HYPERLINK("http://dx.doi.org/10.3390/agronomy8100227","http://dx.doi.org/10.3390/agronomy8100227")</f>
        <v>http://dx.doi.org/10.3390/agronomy8100227</v>
      </c>
      <c r="I487" s="2" t="s">
        <v>2696</v>
      </c>
    </row>
    <row r="488" spans="1:10" ht="409.6" hidden="1">
      <c r="A488">
        <v>514</v>
      </c>
      <c r="B488" t="s">
        <v>2094</v>
      </c>
      <c r="C488" t="s">
        <v>2095</v>
      </c>
      <c r="D488" s="3" t="s">
        <v>2096</v>
      </c>
      <c r="E488" t="s">
        <v>1658</v>
      </c>
      <c r="F488" s="3" t="s">
        <v>2097</v>
      </c>
      <c r="G488">
        <v>2018</v>
      </c>
      <c r="H488" s="1" t="str">
        <f>HYPERLINK("http://dx.doi.org/10.1016/j.gfs.2018.07.003","http://dx.doi.org/10.1016/j.gfs.2018.07.003")</f>
        <v>http://dx.doi.org/10.1016/j.gfs.2018.07.003</v>
      </c>
      <c r="I488" s="2" t="s">
        <v>2699</v>
      </c>
    </row>
    <row r="489" spans="1:10" ht="266" hidden="1">
      <c r="A489">
        <v>517</v>
      </c>
      <c r="B489" t="s">
        <v>2098</v>
      </c>
      <c r="C489" t="s">
        <v>2099</v>
      </c>
      <c r="D489" s="3" t="s">
        <v>2100</v>
      </c>
      <c r="E489" t="s">
        <v>2101</v>
      </c>
      <c r="F489" s="3" t="s">
        <v>2102</v>
      </c>
      <c r="G489">
        <v>2018</v>
      </c>
      <c r="H489" s="1" t="str">
        <f>HYPERLINK("http://dx.doi.org/10.2152/jmi.65.171","http://dx.doi.org/10.2152/jmi.65.171")</f>
        <v>http://dx.doi.org/10.2152/jmi.65.171</v>
      </c>
      <c r="I489" s="2" t="s">
        <v>2696</v>
      </c>
    </row>
    <row r="490" spans="1:10" ht="371">
      <c r="A490">
        <v>518</v>
      </c>
      <c r="B490" t="s">
        <v>2103</v>
      </c>
      <c r="C490" t="s">
        <v>2104</v>
      </c>
      <c r="D490" s="3" t="s">
        <v>2105</v>
      </c>
      <c r="E490" t="s">
        <v>50</v>
      </c>
      <c r="F490" s="3" t="s">
        <v>2106</v>
      </c>
      <c r="G490">
        <v>2018</v>
      </c>
      <c r="H490" s="1" t="str">
        <f>HYPERLINK("http://dx.doi.org/10.1007/s13580-018-0048-5","http://dx.doi.org/10.1007/s13580-018-0048-5")</f>
        <v>http://dx.doi.org/10.1007/s13580-018-0048-5</v>
      </c>
      <c r="I490" s="2" t="s">
        <v>2697</v>
      </c>
    </row>
    <row r="491" spans="1:10" ht="409.6">
      <c r="A491">
        <v>519</v>
      </c>
      <c r="B491" t="s">
        <v>2107</v>
      </c>
      <c r="C491" t="s">
        <v>2108</v>
      </c>
      <c r="D491" s="3" t="s">
        <v>2109</v>
      </c>
      <c r="E491" t="s">
        <v>2110</v>
      </c>
      <c r="F491" s="3" t="s">
        <v>2111</v>
      </c>
      <c r="G491">
        <v>2018</v>
      </c>
      <c r="H491" s="1" t="str">
        <f>HYPERLINK("http://dx.doi.org/10.1007/s11240-018-1415-8","http://dx.doi.org/10.1007/s11240-018-1415-8")</f>
        <v>http://dx.doi.org/10.1007/s11240-018-1415-8</v>
      </c>
      <c r="I491" s="2" t="s">
        <v>2697</v>
      </c>
    </row>
    <row r="492" spans="1:10" ht="224" hidden="1">
      <c r="A492">
        <v>520</v>
      </c>
      <c r="B492" t="s">
        <v>2112</v>
      </c>
      <c r="C492" t="s">
        <v>2113</v>
      </c>
      <c r="D492" s="3" t="s">
        <v>2114</v>
      </c>
      <c r="E492" t="s">
        <v>749</v>
      </c>
      <c r="F492" s="3" t="s">
        <v>2115</v>
      </c>
      <c r="G492">
        <v>2018</v>
      </c>
      <c r="H492" s="1" t="str">
        <f>HYPERLINK("http://dx.doi.org/10.1002/jsfa.8874","http://dx.doi.org/10.1002/jsfa.8874")</f>
        <v>http://dx.doi.org/10.1002/jsfa.8874</v>
      </c>
      <c r="I492" s="2" t="s">
        <v>2696</v>
      </c>
      <c r="J492" s="2" t="s">
        <v>2697</v>
      </c>
    </row>
    <row r="493" spans="1:10" ht="319" hidden="1">
      <c r="A493">
        <v>521</v>
      </c>
      <c r="B493" t="s">
        <v>2116</v>
      </c>
      <c r="C493" t="s">
        <v>2117</v>
      </c>
      <c r="D493" s="3" t="s">
        <v>2118</v>
      </c>
      <c r="E493" t="s">
        <v>2119</v>
      </c>
      <c r="F493" s="3" t="s">
        <v>2120</v>
      </c>
      <c r="G493">
        <v>2018</v>
      </c>
      <c r="H493" s="1" t="str">
        <f>HYPERLINK("http://dx.doi.org/10.1016/j.agsy.2018.04.007","http://dx.doi.org/10.1016/j.agsy.2018.04.007")</f>
        <v>http://dx.doi.org/10.1016/j.agsy.2018.04.007</v>
      </c>
      <c r="I493" s="2" t="s">
        <v>2698</v>
      </c>
      <c r="J493" s="2" t="s">
        <v>2699</v>
      </c>
    </row>
    <row r="494" spans="1:10" ht="196" hidden="1">
      <c r="A494">
        <v>522</v>
      </c>
      <c r="B494" t="s">
        <v>2121</v>
      </c>
      <c r="C494" t="s">
        <v>2122</v>
      </c>
      <c r="D494" s="3" t="s">
        <v>2123</v>
      </c>
      <c r="E494" t="s">
        <v>413</v>
      </c>
      <c r="F494" s="3" t="s">
        <v>2124</v>
      </c>
      <c r="G494">
        <v>2018</v>
      </c>
      <c r="H494" s="1" t="str">
        <f>HYPERLINK("http://dx.doi.org/10.21273/HORTSCI12418-17","http://dx.doi.org/10.21273/HORTSCI12418-17")</f>
        <v>http://dx.doi.org/10.21273/HORTSCI12418-17</v>
      </c>
      <c r="I494" s="2" t="s">
        <v>2696</v>
      </c>
      <c r="J494" s="2" t="s">
        <v>2697</v>
      </c>
    </row>
    <row r="495" spans="1:10" ht="409.6">
      <c r="A495">
        <v>523</v>
      </c>
      <c r="B495" t="s">
        <v>2125</v>
      </c>
      <c r="C495" t="s">
        <v>2126</v>
      </c>
      <c r="D495" s="3" t="s">
        <v>2127</v>
      </c>
      <c r="E495" t="s">
        <v>169</v>
      </c>
      <c r="F495" s="3" t="s">
        <v>2128</v>
      </c>
      <c r="G495">
        <v>2018</v>
      </c>
      <c r="H495" s="1" t="str">
        <f>HYPERLINK("http://dx.doi.org/10.3389/fpls.2018.00665","http://dx.doi.org/10.3389/fpls.2018.00665")</f>
        <v>http://dx.doi.org/10.3389/fpls.2018.00665</v>
      </c>
      <c r="I495" s="2" t="s">
        <v>2697</v>
      </c>
    </row>
    <row r="496" spans="1:10" ht="371" hidden="1">
      <c r="A496">
        <v>524</v>
      </c>
      <c r="B496" t="s">
        <v>2129</v>
      </c>
      <c r="C496" t="s">
        <v>2130</v>
      </c>
      <c r="D496" s="3" t="s">
        <v>2131</v>
      </c>
      <c r="E496" t="s">
        <v>40</v>
      </c>
      <c r="F496" s="3" t="s">
        <v>2132</v>
      </c>
      <c r="G496">
        <v>2018</v>
      </c>
      <c r="H496" s="1" t="str">
        <f>HYPERLINK("http://dx.doi.org/10.1371/journal.pone.0199628","http://dx.doi.org/10.1371/journal.pone.0199628")</f>
        <v>http://dx.doi.org/10.1371/journal.pone.0199628</v>
      </c>
      <c r="I496" s="2" t="s">
        <v>2696</v>
      </c>
    </row>
    <row r="497" spans="1:11" ht="319">
      <c r="A497">
        <v>525</v>
      </c>
      <c r="B497" t="s">
        <v>2133</v>
      </c>
      <c r="C497" t="s">
        <v>2134</v>
      </c>
      <c r="D497" s="3" t="s">
        <v>2135</v>
      </c>
      <c r="E497" t="s">
        <v>183</v>
      </c>
      <c r="F497" s="3" t="s">
        <v>2136</v>
      </c>
      <c r="G497">
        <v>2018</v>
      </c>
      <c r="H497" s="1" t="str">
        <f>HYPERLINK("http://dx.doi.org/10.1016/j.scienta.2018.03.027","http://dx.doi.org/10.1016/j.scienta.2018.03.027")</f>
        <v>http://dx.doi.org/10.1016/j.scienta.2018.03.027</v>
      </c>
      <c r="I497" s="2" t="s">
        <v>2697</v>
      </c>
    </row>
    <row r="498" spans="1:11" ht="238" hidden="1">
      <c r="A498">
        <v>526</v>
      </c>
      <c r="B498" t="s">
        <v>2137</v>
      </c>
      <c r="C498" t="s">
        <v>2138</v>
      </c>
      <c r="D498" s="3" t="s">
        <v>2139</v>
      </c>
      <c r="E498" t="s">
        <v>30</v>
      </c>
      <c r="F498" s="3" t="s">
        <v>2140</v>
      </c>
      <c r="G498">
        <v>2018</v>
      </c>
      <c r="H498" s="1" t="str">
        <f>HYPERLINK("http://dx.doi.org/10.1016/j.jclepro.2018.03.110","http://dx.doi.org/10.1016/j.jclepro.2018.03.110")</f>
        <v>http://dx.doi.org/10.1016/j.jclepro.2018.03.110</v>
      </c>
      <c r="I498" s="2" t="s">
        <v>2698</v>
      </c>
    </row>
    <row r="499" spans="1:11" ht="293">
      <c r="A499">
        <v>530</v>
      </c>
      <c r="B499" t="s">
        <v>2141</v>
      </c>
      <c r="C499" t="s">
        <v>2142</v>
      </c>
      <c r="D499" s="3" t="s">
        <v>2143</v>
      </c>
      <c r="E499" t="s">
        <v>250</v>
      </c>
      <c r="F499" s="3" t="s">
        <v>2144</v>
      </c>
      <c r="G499">
        <v>2018</v>
      </c>
      <c r="H499" s="1" t="str">
        <f>HYPERLINK("http://dx.doi.org/10.1038/s41598-018-25686-0","http://dx.doi.org/10.1038/s41598-018-25686-0")</f>
        <v>http://dx.doi.org/10.1038/s41598-018-25686-0</v>
      </c>
      <c r="I499" s="2" t="s">
        <v>2697</v>
      </c>
    </row>
    <row r="500" spans="1:11" ht="168" hidden="1">
      <c r="A500">
        <v>531</v>
      </c>
      <c r="B500" t="s">
        <v>2145</v>
      </c>
      <c r="C500" t="s">
        <v>2146</v>
      </c>
      <c r="D500" s="3" t="s">
        <v>2147</v>
      </c>
      <c r="E500" t="s">
        <v>183</v>
      </c>
      <c r="F500" s="3" t="s">
        <v>2148</v>
      </c>
      <c r="G500">
        <v>2018</v>
      </c>
      <c r="H500" s="1" t="str">
        <f>HYPERLINK("http://dx.doi.org/10.1016/j.scienta.2018.02.058","http://dx.doi.org/10.1016/j.scienta.2018.02.058")</f>
        <v>http://dx.doi.org/10.1016/j.scienta.2018.02.058</v>
      </c>
      <c r="I500" s="2" t="s">
        <v>2696</v>
      </c>
      <c r="J500" s="2" t="s">
        <v>2697</v>
      </c>
    </row>
    <row r="501" spans="1:11" ht="266" hidden="1">
      <c r="A501">
        <v>532</v>
      </c>
      <c r="B501" t="s">
        <v>2149</v>
      </c>
      <c r="C501" t="s">
        <v>2150</v>
      </c>
      <c r="D501" s="3" t="s">
        <v>2151</v>
      </c>
      <c r="E501" t="s">
        <v>2152</v>
      </c>
      <c r="F501" s="3" t="s">
        <v>2153</v>
      </c>
      <c r="G501">
        <v>2018</v>
      </c>
      <c r="H501" s="1" t="str">
        <f>HYPERLINK("http://dx.doi.org/10.1177/1550147718767630","http://dx.doi.org/10.1177/1550147718767630")</f>
        <v>http://dx.doi.org/10.1177/1550147718767630</v>
      </c>
      <c r="I501" s="2" t="s">
        <v>2696</v>
      </c>
    </row>
    <row r="502" spans="1:11" ht="409.6">
      <c r="A502">
        <v>533</v>
      </c>
      <c r="B502" t="s">
        <v>2154</v>
      </c>
      <c r="C502" t="s">
        <v>2155</v>
      </c>
      <c r="D502" s="3" t="s">
        <v>2156</v>
      </c>
      <c r="E502" t="s">
        <v>413</v>
      </c>
      <c r="F502" s="3" t="s">
        <v>2157</v>
      </c>
      <c r="G502">
        <v>2018</v>
      </c>
      <c r="H502" s="1" t="str">
        <f>HYPERLINK("http://dx.doi.org/10.21273/HORTSCI12785-17","http://dx.doi.org/10.21273/HORTSCI12785-17")</f>
        <v>http://dx.doi.org/10.21273/HORTSCI12785-17</v>
      </c>
      <c r="I502" s="2" t="s">
        <v>2697</v>
      </c>
    </row>
    <row r="503" spans="1:11" ht="293" hidden="1">
      <c r="A503">
        <v>535</v>
      </c>
      <c r="B503" t="s">
        <v>2158</v>
      </c>
      <c r="C503" t="s">
        <v>2159</v>
      </c>
      <c r="D503" s="3" t="s">
        <v>2160</v>
      </c>
      <c r="E503" t="s">
        <v>1949</v>
      </c>
      <c r="F503" s="3" t="s">
        <v>2161</v>
      </c>
      <c r="G503">
        <v>2018</v>
      </c>
      <c r="H503" s="1" t="str">
        <f>HYPERLINK("http://dx.doi.org/10.21273/HORTTECH03886-17","http://dx.doi.org/10.21273/HORTTECH03886-17")</f>
        <v>http://dx.doi.org/10.21273/HORTTECH03886-17</v>
      </c>
      <c r="I503" s="2" t="s">
        <v>2699</v>
      </c>
    </row>
    <row r="504" spans="1:11" ht="332">
      <c r="A504">
        <v>536</v>
      </c>
      <c r="B504" t="s">
        <v>1222</v>
      </c>
      <c r="C504" t="s">
        <v>1223</v>
      </c>
      <c r="D504" s="3" t="s">
        <v>2162</v>
      </c>
      <c r="E504" t="s">
        <v>50</v>
      </c>
      <c r="F504" s="3" t="s">
        <v>2163</v>
      </c>
      <c r="G504">
        <v>2018</v>
      </c>
      <c r="H504" s="1" t="str">
        <f>HYPERLINK("http://dx.doi.org/10.1007/s13580-018-0027-x","http://dx.doi.org/10.1007/s13580-018-0027-x")</f>
        <v>http://dx.doi.org/10.1007/s13580-018-0027-x</v>
      </c>
      <c r="I504" s="2" t="s">
        <v>2697</v>
      </c>
    </row>
    <row r="505" spans="1:11" ht="238" hidden="1">
      <c r="A505">
        <v>538</v>
      </c>
      <c r="B505" t="s">
        <v>2164</v>
      </c>
      <c r="C505" t="s">
        <v>2165</v>
      </c>
      <c r="D505" s="3" t="s">
        <v>2166</v>
      </c>
      <c r="E505" t="s">
        <v>2167</v>
      </c>
      <c r="F505" s="3" t="s">
        <v>2168</v>
      </c>
      <c r="G505">
        <v>2018</v>
      </c>
      <c r="H505" s="1" t="s">
        <v>8</v>
      </c>
      <c r="I505" s="2" t="s">
        <v>2698</v>
      </c>
    </row>
    <row r="506" spans="1:11" ht="196" hidden="1">
      <c r="A506">
        <v>540</v>
      </c>
      <c r="B506" t="s">
        <v>2169</v>
      </c>
      <c r="C506" t="s">
        <v>2170</v>
      </c>
      <c r="D506" s="3" t="s">
        <v>2171</v>
      </c>
      <c r="E506" t="s">
        <v>2172</v>
      </c>
      <c r="F506" s="3" t="s">
        <v>2173</v>
      </c>
      <c r="G506">
        <v>2018</v>
      </c>
      <c r="H506" s="1" t="str">
        <f>HYPERLINK("http://dx.doi.org/10.1111/cjag.12161","http://dx.doi.org/10.1111/cjag.12161")</f>
        <v>http://dx.doi.org/10.1111/cjag.12161</v>
      </c>
      <c r="I506" s="2" t="s">
        <v>2699</v>
      </c>
    </row>
    <row r="507" spans="1:11" ht="293" hidden="1">
      <c r="A507">
        <v>541</v>
      </c>
      <c r="B507" t="s">
        <v>2174</v>
      </c>
      <c r="C507" t="s">
        <v>2175</v>
      </c>
      <c r="D507" s="3" t="s">
        <v>2176</v>
      </c>
      <c r="E507" t="s">
        <v>2177</v>
      </c>
      <c r="F507" s="3" t="s">
        <v>2178</v>
      </c>
      <c r="G507">
        <v>2018</v>
      </c>
      <c r="H507" s="1" t="s">
        <v>8</v>
      </c>
      <c r="I507" s="2" t="s">
        <v>2699</v>
      </c>
    </row>
    <row r="508" spans="1:11" ht="196" hidden="1">
      <c r="A508">
        <v>542</v>
      </c>
      <c r="B508" t="s">
        <v>2179</v>
      </c>
      <c r="C508" t="s">
        <v>2180</v>
      </c>
      <c r="D508" s="3" t="s">
        <v>2181</v>
      </c>
      <c r="E508" t="s">
        <v>2182</v>
      </c>
      <c r="F508" s="3" t="s">
        <v>2183</v>
      </c>
      <c r="G508">
        <v>2018</v>
      </c>
      <c r="H508" s="1" t="str">
        <f>HYPERLINK("http://dx.doi.org/10.3390/nano8030152","http://dx.doi.org/10.3390/nano8030152")</f>
        <v>http://dx.doi.org/10.3390/nano8030152</v>
      </c>
      <c r="I508" s="2" t="s">
        <v>2696</v>
      </c>
    </row>
    <row r="509" spans="1:11" ht="397">
      <c r="A509">
        <v>543</v>
      </c>
      <c r="B509" t="s">
        <v>2184</v>
      </c>
      <c r="C509" t="s">
        <v>2185</v>
      </c>
      <c r="D509" s="3" t="s">
        <v>2186</v>
      </c>
      <c r="E509" t="s">
        <v>275</v>
      </c>
      <c r="F509" s="3" t="s">
        <v>2187</v>
      </c>
      <c r="G509">
        <v>2018</v>
      </c>
      <c r="H509" s="1" t="str">
        <f>HYPERLINK("http://dx.doi.org/10.25165/j.ijabe.20181102.3420","http://dx.doi.org/10.25165/j.ijabe.20181102.3420")</f>
        <v>http://dx.doi.org/10.25165/j.ijabe.20181102.3420</v>
      </c>
      <c r="I509" s="2" t="s">
        <v>2697</v>
      </c>
    </row>
    <row r="510" spans="1:11" ht="280" hidden="1">
      <c r="A510">
        <v>544</v>
      </c>
      <c r="B510" t="s">
        <v>2188</v>
      </c>
      <c r="C510" t="s">
        <v>2189</v>
      </c>
      <c r="D510" s="3" t="s">
        <v>2190</v>
      </c>
      <c r="E510" t="s">
        <v>1647</v>
      </c>
      <c r="F510" s="3" t="s">
        <v>2191</v>
      </c>
      <c r="G510">
        <v>2018</v>
      </c>
      <c r="H510" s="1" t="str">
        <f>HYPERLINK("http://dx.doi.org/10.1039/c7tc05250b","http://dx.doi.org/10.1039/c7tc05250b")</f>
        <v>http://dx.doi.org/10.1039/c7tc05250b</v>
      </c>
      <c r="I510" s="2" t="s">
        <v>2696</v>
      </c>
    </row>
    <row r="511" spans="1:11" ht="224" hidden="1">
      <c r="A511">
        <v>545</v>
      </c>
      <c r="B511" t="s">
        <v>2192</v>
      </c>
      <c r="C511" t="s">
        <v>2193</v>
      </c>
      <c r="D511" s="3" t="s">
        <v>2194</v>
      </c>
      <c r="E511" t="s">
        <v>2195</v>
      </c>
      <c r="F511" s="3" t="s">
        <v>2196</v>
      </c>
      <c r="G511">
        <v>2018</v>
      </c>
      <c r="H511" s="1" t="str">
        <f>HYPERLINK("http://dx.doi.org/10.1364/OE.26.004135","http://dx.doi.org/10.1364/OE.26.004135")</f>
        <v>http://dx.doi.org/10.1364/OE.26.004135</v>
      </c>
      <c r="I511" s="2" t="s">
        <v>2696</v>
      </c>
      <c r="J511" s="2" t="s">
        <v>2697</v>
      </c>
    </row>
    <row r="512" spans="1:11" ht="293" hidden="1">
      <c r="A512">
        <v>546</v>
      </c>
      <c r="B512" t="s">
        <v>2197</v>
      </c>
      <c r="C512" t="s">
        <v>2198</v>
      </c>
      <c r="D512" s="3" t="s">
        <v>2199</v>
      </c>
      <c r="E512" t="s">
        <v>2200</v>
      </c>
      <c r="F512" s="3" t="s">
        <v>2201</v>
      </c>
      <c r="G512">
        <v>2018</v>
      </c>
      <c r="H512" s="1" t="str">
        <f>HYPERLINK("http://dx.doi.org/10.3390/buildings8020024","http://dx.doi.org/10.3390/buildings8020024")</f>
        <v>http://dx.doi.org/10.3390/buildings8020024</v>
      </c>
      <c r="I512" s="2" t="s">
        <v>2696</v>
      </c>
      <c r="J512" s="2" t="s">
        <v>2699</v>
      </c>
      <c r="K512" s="2" t="s">
        <v>2698</v>
      </c>
    </row>
    <row r="513" spans="1:10" ht="358" hidden="1">
      <c r="A513">
        <v>547</v>
      </c>
      <c r="B513" t="s">
        <v>2202</v>
      </c>
      <c r="C513" t="s">
        <v>2203</v>
      </c>
      <c r="D513" s="3" t="s">
        <v>2204</v>
      </c>
      <c r="E513" t="s">
        <v>2119</v>
      </c>
      <c r="F513" s="3" t="s">
        <v>2205</v>
      </c>
      <c r="G513">
        <v>2018</v>
      </c>
      <c r="H513" s="1" t="str">
        <f>HYPERLINK("http://dx.doi.org/10.1016/j.agsy.2017.11.003","http://dx.doi.org/10.1016/j.agsy.2017.11.003")</f>
        <v>http://dx.doi.org/10.1016/j.agsy.2017.11.003</v>
      </c>
      <c r="I513" s="2" t="s">
        <v>2698</v>
      </c>
    </row>
    <row r="514" spans="1:10" ht="196" hidden="1">
      <c r="A514">
        <v>548</v>
      </c>
      <c r="B514" t="s">
        <v>2206</v>
      </c>
      <c r="C514" t="s">
        <v>2207</v>
      </c>
      <c r="D514" s="3" t="s">
        <v>2208</v>
      </c>
      <c r="E514" t="s">
        <v>74</v>
      </c>
      <c r="F514" s="3" t="s">
        <v>2209</v>
      </c>
      <c r="G514">
        <v>2018</v>
      </c>
      <c r="H514" s="1" t="str">
        <f>HYPERLINK("http://dx.doi.org/10.3390/su10020446","http://dx.doi.org/10.3390/su10020446")</f>
        <v>http://dx.doi.org/10.3390/su10020446</v>
      </c>
      <c r="I514" s="2" t="s">
        <v>2698</v>
      </c>
      <c r="J514" s="2" t="s">
        <v>2699</v>
      </c>
    </row>
    <row r="515" spans="1:10" ht="345" hidden="1">
      <c r="A515">
        <v>550</v>
      </c>
      <c r="B515" t="s">
        <v>2210</v>
      </c>
      <c r="C515" t="s">
        <v>2211</v>
      </c>
      <c r="D515" s="3" t="s">
        <v>2212</v>
      </c>
      <c r="E515" t="s">
        <v>2213</v>
      </c>
      <c r="F515" s="3" t="s">
        <v>2214</v>
      </c>
      <c r="G515">
        <v>2018</v>
      </c>
      <c r="H515" s="1" t="str">
        <f>HYPERLINK("http://dx.doi.org/10.1155/2018/7049208","http://dx.doi.org/10.1155/2018/7049208")</f>
        <v>http://dx.doi.org/10.1155/2018/7049208</v>
      </c>
      <c r="I515" s="2" t="s">
        <v>2696</v>
      </c>
    </row>
    <row r="516" spans="1:10" ht="384">
      <c r="A516">
        <v>551</v>
      </c>
      <c r="B516" t="s">
        <v>2215</v>
      </c>
      <c r="C516" t="s">
        <v>2216</v>
      </c>
      <c r="D516" s="3" t="s">
        <v>2217</v>
      </c>
      <c r="E516" t="s">
        <v>1135</v>
      </c>
      <c r="F516" s="3" t="s">
        <v>2218</v>
      </c>
      <c r="G516">
        <v>2018</v>
      </c>
      <c r="H516" s="1" t="str">
        <f>HYPERLINK("http://dx.doi.org/10.12972/kjhst.20180034","http://dx.doi.org/10.12972/kjhst.20180034")</f>
        <v>http://dx.doi.org/10.12972/kjhst.20180034</v>
      </c>
      <c r="I516" s="2" t="s">
        <v>2697</v>
      </c>
    </row>
    <row r="517" spans="1:10" ht="293">
      <c r="A517">
        <v>552</v>
      </c>
      <c r="B517" t="s">
        <v>2219</v>
      </c>
      <c r="C517" t="s">
        <v>2220</v>
      </c>
      <c r="D517" s="3" t="s">
        <v>2221</v>
      </c>
      <c r="E517" t="s">
        <v>1135</v>
      </c>
      <c r="F517" s="3" t="s">
        <v>2222</v>
      </c>
      <c r="G517">
        <v>2018</v>
      </c>
      <c r="H517" s="1" t="str">
        <f>HYPERLINK("http://dx.doi.org/10.12972/kjhst.20180005","http://dx.doi.org/10.12972/kjhst.20180005")</f>
        <v>http://dx.doi.org/10.12972/kjhst.20180005</v>
      </c>
      <c r="I517" s="2" t="s">
        <v>2697</v>
      </c>
    </row>
    <row r="518" spans="1:10" ht="252">
      <c r="A518">
        <v>553</v>
      </c>
      <c r="B518" t="s">
        <v>2223</v>
      </c>
      <c r="C518" t="s">
        <v>2224</v>
      </c>
      <c r="D518" s="3" t="s">
        <v>2225</v>
      </c>
      <c r="E518" t="s">
        <v>2226</v>
      </c>
      <c r="F518" s="3" t="s">
        <v>2227</v>
      </c>
      <c r="G518">
        <v>2018</v>
      </c>
      <c r="H518" s="1" t="str">
        <f>HYPERLINK("http://dx.doi.org/10.3934/agrfood.2018.2.135","http://dx.doi.org/10.3934/agrfood.2018.2.135")</f>
        <v>http://dx.doi.org/10.3934/agrfood.2018.2.135</v>
      </c>
      <c r="I518" s="2" t="s">
        <v>2697</v>
      </c>
      <c r="J518" s="2" t="s">
        <v>2696</v>
      </c>
    </row>
    <row r="519" spans="1:10" ht="332" hidden="1">
      <c r="A519">
        <v>554</v>
      </c>
      <c r="B519" t="s">
        <v>2228</v>
      </c>
      <c r="C519" t="s">
        <v>2229</v>
      </c>
      <c r="D519" s="3" t="s">
        <v>2230</v>
      </c>
      <c r="E519" t="s">
        <v>473</v>
      </c>
      <c r="F519" s="3" t="s">
        <v>2231</v>
      </c>
      <c r="G519">
        <v>2018</v>
      </c>
      <c r="H519" s="1" t="str">
        <f>HYPERLINK("http://dx.doi.org/10.13031/aea.13013","http://dx.doi.org/10.13031/aea.13013")</f>
        <v>http://dx.doi.org/10.13031/aea.13013</v>
      </c>
      <c r="I519" s="2" t="s">
        <v>2696</v>
      </c>
    </row>
    <row r="520" spans="1:10" ht="409.6">
      <c r="A520">
        <v>555</v>
      </c>
      <c r="B520" t="s">
        <v>2232</v>
      </c>
      <c r="C520" t="s">
        <v>2233</v>
      </c>
      <c r="D520" s="3" t="s">
        <v>2234</v>
      </c>
      <c r="E520" t="s">
        <v>2235</v>
      </c>
      <c r="F520" s="3" t="s">
        <v>2236</v>
      </c>
      <c r="G520">
        <v>2018</v>
      </c>
      <c r="H520" s="1" t="str">
        <f>HYPERLINK("http://dx.doi.org/10.1155/2018/4270279","http://dx.doi.org/10.1155/2018/4270279")</f>
        <v>http://dx.doi.org/10.1155/2018/4270279</v>
      </c>
      <c r="I520" s="2" t="s">
        <v>2697</v>
      </c>
    </row>
    <row r="521" spans="1:10" ht="358" hidden="1">
      <c r="A521">
        <v>556</v>
      </c>
      <c r="B521" s="2" t="s">
        <v>2237</v>
      </c>
      <c r="C521" t="s">
        <v>2238</v>
      </c>
      <c r="D521" s="3" t="s">
        <v>2239</v>
      </c>
      <c r="E521" t="s">
        <v>473</v>
      </c>
      <c r="F521" s="3" t="s">
        <v>2240</v>
      </c>
      <c r="G521">
        <v>2018</v>
      </c>
      <c r="H521" s="1" t="str">
        <f>HYPERLINK("http://dx.doi.org/10.13031/aea.12590","http://dx.doi.org/10.13031/aea.12590")</f>
        <v>http://dx.doi.org/10.13031/aea.12590</v>
      </c>
      <c r="I521" s="2" t="s">
        <v>2696</v>
      </c>
    </row>
    <row r="522" spans="1:10" ht="210">
      <c r="A522">
        <v>558</v>
      </c>
      <c r="B522" t="s">
        <v>2241</v>
      </c>
      <c r="C522" t="s">
        <v>2242</v>
      </c>
      <c r="D522" s="3" t="s">
        <v>2243</v>
      </c>
      <c r="E522" t="s">
        <v>2015</v>
      </c>
      <c r="F522" s="3" t="s">
        <v>2244</v>
      </c>
      <c r="G522">
        <v>2018</v>
      </c>
      <c r="H522" s="1" t="s">
        <v>8</v>
      </c>
      <c r="I522" s="2" t="s">
        <v>2697</v>
      </c>
    </row>
    <row r="523" spans="1:10" ht="224">
      <c r="A523">
        <v>559</v>
      </c>
      <c r="B523" t="s">
        <v>2245</v>
      </c>
      <c r="C523" t="s">
        <v>2246</v>
      </c>
      <c r="D523" s="3" t="s">
        <v>2247</v>
      </c>
      <c r="E523" t="s">
        <v>678</v>
      </c>
      <c r="F523" s="3" t="s">
        <v>2248</v>
      </c>
      <c r="G523">
        <v>2018</v>
      </c>
      <c r="H523" s="1" t="str">
        <f>HYPERLINK("http://dx.doi.org/10.1080/02827581.2018.1492011","http://dx.doi.org/10.1080/02827581.2018.1492011")</f>
        <v>http://dx.doi.org/10.1080/02827581.2018.1492011</v>
      </c>
      <c r="I523" s="2" t="s">
        <v>2697</v>
      </c>
    </row>
    <row r="524" spans="1:10" ht="319" hidden="1">
      <c r="A524">
        <v>560</v>
      </c>
      <c r="B524" t="s">
        <v>2249</v>
      </c>
      <c r="C524" t="s">
        <v>2250</v>
      </c>
      <c r="D524" s="3" t="s">
        <v>2251</v>
      </c>
      <c r="E524" t="s">
        <v>275</v>
      </c>
      <c r="F524" s="3" t="s">
        <v>2252</v>
      </c>
      <c r="G524">
        <v>2018</v>
      </c>
      <c r="H524" s="1" t="str">
        <f>HYPERLINK("http://dx.doi.org/10.25165/j.ijabe.20181101.3210","http://dx.doi.org/10.25165/j.ijabe.20181101.3210")</f>
        <v>http://dx.doi.org/10.25165/j.ijabe.20181101.3210</v>
      </c>
      <c r="I524" s="2" t="s">
        <v>2696</v>
      </c>
    </row>
    <row r="525" spans="1:10" ht="319">
      <c r="A525">
        <v>561</v>
      </c>
      <c r="B525" t="s">
        <v>2253</v>
      </c>
      <c r="C525" t="s">
        <v>2254</v>
      </c>
      <c r="D525" s="3" t="s">
        <v>2255</v>
      </c>
      <c r="E525" t="s">
        <v>1135</v>
      </c>
      <c r="F525" s="3" t="s">
        <v>2256</v>
      </c>
      <c r="G525">
        <v>2018</v>
      </c>
      <c r="H525" s="1" t="str">
        <f>HYPERLINK("http://dx.doi.org/10.12972/kjhst.20180054","http://dx.doi.org/10.12972/kjhst.20180054")</f>
        <v>http://dx.doi.org/10.12972/kjhst.20180054</v>
      </c>
      <c r="I525" s="2" t="s">
        <v>2697</v>
      </c>
    </row>
    <row r="526" spans="1:10" ht="397" hidden="1">
      <c r="A526">
        <v>562</v>
      </c>
      <c r="B526" t="s">
        <v>2257</v>
      </c>
      <c r="C526" t="s">
        <v>2258</v>
      </c>
      <c r="D526" s="3" t="s">
        <v>2259</v>
      </c>
      <c r="E526" t="s">
        <v>993</v>
      </c>
      <c r="F526" s="3" t="s">
        <v>2260</v>
      </c>
      <c r="G526">
        <v>2018</v>
      </c>
      <c r="H526" s="1" t="str">
        <f>HYPERLINK("http://dx.doi.org/10.1016/j.ufug.2017.11.004","http://dx.doi.org/10.1016/j.ufug.2017.11.004")</f>
        <v>http://dx.doi.org/10.1016/j.ufug.2017.11.004</v>
      </c>
      <c r="I526" s="2" t="s">
        <v>2696</v>
      </c>
    </row>
    <row r="527" spans="1:10" ht="319">
      <c r="A527">
        <v>563</v>
      </c>
      <c r="B527" t="s">
        <v>2261</v>
      </c>
      <c r="C527" t="s">
        <v>2262</v>
      </c>
      <c r="D527" s="3" t="s">
        <v>2263</v>
      </c>
      <c r="E527" t="s">
        <v>1135</v>
      </c>
      <c r="F527" s="3" t="s">
        <v>2264</v>
      </c>
      <c r="G527">
        <v>2018</v>
      </c>
      <c r="H527" s="1" t="str">
        <f>HYPERLINK("http://dx.doi.org/10.12972/kjhst.20180080","http://dx.doi.org/10.12972/kjhst.20180080")</f>
        <v>http://dx.doi.org/10.12972/kjhst.20180080</v>
      </c>
      <c r="I527" s="2" t="s">
        <v>2697</v>
      </c>
    </row>
    <row r="528" spans="1:10" ht="293" hidden="1">
      <c r="A528">
        <v>564</v>
      </c>
      <c r="B528" t="s">
        <v>2265</v>
      </c>
      <c r="C528" t="s">
        <v>2266</v>
      </c>
      <c r="D528" s="3" t="s">
        <v>2267</v>
      </c>
      <c r="E528" t="s">
        <v>1947</v>
      </c>
      <c r="F528" s="3" t="s">
        <v>2268</v>
      </c>
      <c r="G528">
        <v>2017</v>
      </c>
      <c r="H528" s="1" t="str">
        <f>HYPERLINK("http://dx.doi.org/10.1016/j.landusepol.2017.09.014","http://dx.doi.org/10.1016/j.landusepol.2017.09.014")</f>
        <v>http://dx.doi.org/10.1016/j.landusepol.2017.09.014</v>
      </c>
      <c r="I528" s="2" t="s">
        <v>2698</v>
      </c>
      <c r="J528" s="2" t="s">
        <v>2699</v>
      </c>
    </row>
    <row r="529" spans="1:10" ht="319">
      <c r="A529">
        <v>566</v>
      </c>
      <c r="B529" t="s">
        <v>2077</v>
      </c>
      <c r="C529" t="s">
        <v>2078</v>
      </c>
      <c r="D529" s="3" t="s">
        <v>2269</v>
      </c>
      <c r="E529" t="s">
        <v>50</v>
      </c>
      <c r="F529" s="3" t="s">
        <v>2270</v>
      </c>
      <c r="G529">
        <v>2017</v>
      </c>
      <c r="H529" s="1" t="str">
        <f>HYPERLINK("http://dx.doi.org/10.1007/s13580-017-0354-3","http://dx.doi.org/10.1007/s13580-017-0354-3")</f>
        <v>http://dx.doi.org/10.1007/s13580-017-0354-3</v>
      </c>
      <c r="I529" s="2" t="s">
        <v>2697</v>
      </c>
    </row>
    <row r="530" spans="1:10" ht="397">
      <c r="A530">
        <v>567</v>
      </c>
      <c r="B530" t="s">
        <v>2271</v>
      </c>
      <c r="C530" t="s">
        <v>2272</v>
      </c>
      <c r="D530" s="3" t="s">
        <v>2273</v>
      </c>
      <c r="E530" t="s">
        <v>183</v>
      </c>
      <c r="F530" s="3" t="s">
        <v>2274</v>
      </c>
      <c r="G530">
        <v>2017</v>
      </c>
      <c r="H530" s="1" t="str">
        <f>HYPERLINK("http://dx.doi.org/10.1016/j.scienta.2017.04.037","http://dx.doi.org/10.1016/j.scienta.2017.04.037")</f>
        <v>http://dx.doi.org/10.1016/j.scienta.2017.04.037</v>
      </c>
      <c r="I530" s="2" t="s">
        <v>2697</v>
      </c>
    </row>
    <row r="531" spans="1:10" ht="397" hidden="1">
      <c r="A531">
        <v>568</v>
      </c>
      <c r="B531" t="s">
        <v>2275</v>
      </c>
      <c r="C531" t="s">
        <v>2276</v>
      </c>
      <c r="D531" s="3" t="s">
        <v>2277</v>
      </c>
      <c r="E531" t="s">
        <v>2278</v>
      </c>
      <c r="F531" s="3" t="s">
        <v>2279</v>
      </c>
      <c r="G531">
        <v>2017</v>
      </c>
      <c r="H531" s="1" t="str">
        <f>HYPERLINK("http://dx.doi.org/10.1007/s11042-015-3092-5","http://dx.doi.org/10.1007/s11042-015-3092-5")</f>
        <v>http://dx.doi.org/10.1007/s11042-015-3092-5</v>
      </c>
      <c r="I531" s="2" t="s">
        <v>2696</v>
      </c>
    </row>
    <row r="532" spans="1:10" ht="397">
      <c r="A532">
        <v>569</v>
      </c>
      <c r="B532" t="s">
        <v>2280</v>
      </c>
      <c r="C532" t="s">
        <v>2281</v>
      </c>
      <c r="D532" s="3" t="s">
        <v>2282</v>
      </c>
      <c r="E532" t="s">
        <v>1556</v>
      </c>
      <c r="F532" s="3" t="s">
        <v>2283</v>
      </c>
      <c r="G532">
        <v>2017</v>
      </c>
      <c r="H532" s="1" t="str">
        <f>HYPERLINK("http://dx.doi.org/10.21273/JASHS04188-17","http://dx.doi.org/10.21273/JASHS04188-17")</f>
        <v>http://dx.doi.org/10.21273/JASHS04188-17</v>
      </c>
      <c r="I532" s="2" t="s">
        <v>2697</v>
      </c>
    </row>
    <row r="533" spans="1:10" ht="397">
      <c r="A533">
        <v>570</v>
      </c>
      <c r="B533" t="s">
        <v>1940</v>
      </c>
      <c r="C533" t="s">
        <v>1941</v>
      </c>
      <c r="D533" s="3" t="s">
        <v>2284</v>
      </c>
      <c r="E533" t="s">
        <v>50</v>
      </c>
      <c r="F533" s="3" t="s">
        <v>2285</v>
      </c>
      <c r="G533">
        <v>2017</v>
      </c>
      <c r="H533" s="1" t="str">
        <f>HYPERLINK("http://dx.doi.org/10.1007/s13580-017-0331-x","http://dx.doi.org/10.1007/s13580-017-0331-x")</f>
        <v>http://dx.doi.org/10.1007/s13580-017-0331-x</v>
      </c>
      <c r="I533" s="2" t="s">
        <v>2697</v>
      </c>
    </row>
    <row r="534" spans="1:10" ht="319">
      <c r="A534">
        <v>571</v>
      </c>
      <c r="B534" t="s">
        <v>1222</v>
      </c>
      <c r="C534" t="s">
        <v>1223</v>
      </c>
      <c r="D534" s="3" t="s">
        <v>2286</v>
      </c>
      <c r="E534" t="s">
        <v>1135</v>
      </c>
      <c r="F534" s="3" t="s">
        <v>2287</v>
      </c>
      <c r="G534">
        <v>2017</v>
      </c>
      <c r="H534" s="1" t="str">
        <f>HYPERLINK("http://dx.doi.org/10.12972/kjhst.20170047","http://dx.doi.org/10.12972/kjhst.20170047")</f>
        <v>http://dx.doi.org/10.12972/kjhst.20170047</v>
      </c>
      <c r="I534" s="2" t="s">
        <v>2697</v>
      </c>
    </row>
    <row r="535" spans="1:10" ht="293" hidden="1">
      <c r="A535">
        <v>573</v>
      </c>
      <c r="B535" t="s">
        <v>2288</v>
      </c>
      <c r="C535" t="s">
        <v>2289</v>
      </c>
      <c r="D535" s="3" t="s">
        <v>2290</v>
      </c>
      <c r="E535" t="s">
        <v>2291</v>
      </c>
      <c r="F535" s="3" t="s">
        <v>2292</v>
      </c>
      <c r="G535">
        <v>2017</v>
      </c>
      <c r="H535" s="1" t="str">
        <f>HYPERLINK("http://dx.doi.org/10.1016/j.resconrec.2017.03.003","http://dx.doi.org/10.1016/j.resconrec.2017.03.003")</f>
        <v>http://dx.doi.org/10.1016/j.resconrec.2017.03.003</v>
      </c>
      <c r="I535" s="2" t="s">
        <v>2698</v>
      </c>
    </row>
    <row r="536" spans="1:10" ht="397">
      <c r="A536">
        <v>574</v>
      </c>
      <c r="B536" t="s">
        <v>2154</v>
      </c>
      <c r="C536" t="s">
        <v>2155</v>
      </c>
      <c r="D536" s="3" t="s">
        <v>2293</v>
      </c>
      <c r="E536" t="s">
        <v>45</v>
      </c>
      <c r="F536" s="3" t="s">
        <v>2294</v>
      </c>
      <c r="G536">
        <v>2017</v>
      </c>
      <c r="H536" s="1" t="str">
        <f>HYPERLINK("http://dx.doi.org/10.3390/horticulturae3020036","http://dx.doi.org/10.3390/horticulturae3020036")</f>
        <v>http://dx.doi.org/10.3390/horticulturae3020036</v>
      </c>
      <c r="I536" s="2" t="s">
        <v>2697</v>
      </c>
    </row>
    <row r="537" spans="1:10" ht="210" hidden="1">
      <c r="A537">
        <v>575</v>
      </c>
      <c r="B537" t="s">
        <v>2295</v>
      </c>
      <c r="C537" t="s">
        <v>2296</v>
      </c>
      <c r="D537" s="3" t="s">
        <v>2297</v>
      </c>
      <c r="E537" t="s">
        <v>413</v>
      </c>
      <c r="F537" s="3" t="s">
        <v>2298</v>
      </c>
      <c r="G537">
        <v>2017</v>
      </c>
      <c r="H537" s="1" t="str">
        <f>HYPERLINK("http://dx.doi.org/10.21273/HORTSCI11822-17","http://dx.doi.org/10.21273/HORTSCI11822-17")</f>
        <v>http://dx.doi.org/10.21273/HORTSCI11822-17</v>
      </c>
      <c r="I537" s="2" t="s">
        <v>2696</v>
      </c>
      <c r="J537" s="2" t="s">
        <v>2697</v>
      </c>
    </row>
    <row r="538" spans="1:10" ht="397">
      <c r="A538">
        <v>576</v>
      </c>
      <c r="B538" t="s">
        <v>2299</v>
      </c>
      <c r="C538" t="s">
        <v>2300</v>
      </c>
      <c r="D538" s="3" t="s">
        <v>2301</v>
      </c>
      <c r="E538" t="s">
        <v>169</v>
      </c>
      <c r="F538" s="3" t="s">
        <v>2302</v>
      </c>
      <c r="G538">
        <v>2017</v>
      </c>
      <c r="H538" s="1" t="str">
        <f>HYPERLINK("http://dx.doi.org/10.3389/fpls.2017.00708","http://dx.doi.org/10.3389/fpls.2017.00708")</f>
        <v>http://dx.doi.org/10.3389/fpls.2017.00708</v>
      </c>
      <c r="I538" s="2" t="s">
        <v>2697</v>
      </c>
    </row>
    <row r="539" spans="1:10" ht="280" hidden="1">
      <c r="A539">
        <v>577</v>
      </c>
      <c r="B539" t="s">
        <v>2303</v>
      </c>
      <c r="C539" t="s">
        <v>2304</v>
      </c>
      <c r="D539" s="3" t="s">
        <v>2305</v>
      </c>
      <c r="E539" t="s">
        <v>2119</v>
      </c>
      <c r="F539" s="3" t="s">
        <v>2306</v>
      </c>
      <c r="G539">
        <v>2017</v>
      </c>
      <c r="H539" s="1" t="str">
        <f>HYPERLINK("http://dx.doi.org/10.1016/j.agsy.2017.01.003","http://dx.doi.org/10.1016/j.agsy.2017.01.003")</f>
        <v>http://dx.doi.org/10.1016/j.agsy.2017.01.003</v>
      </c>
      <c r="I539" s="2" t="s">
        <v>2696</v>
      </c>
    </row>
    <row r="540" spans="1:10" ht="409.6">
      <c r="A540">
        <v>578</v>
      </c>
      <c r="B540" t="s">
        <v>2307</v>
      </c>
      <c r="C540" t="s">
        <v>2308</v>
      </c>
      <c r="D540" s="3" t="s">
        <v>2309</v>
      </c>
      <c r="E540" t="s">
        <v>275</v>
      </c>
      <c r="F540" s="3" t="s">
        <v>2310</v>
      </c>
      <c r="G540">
        <v>2017</v>
      </c>
      <c r="H540" s="1" t="str">
        <f>HYPERLINK("http://dx.doi.org/10.3965/j.ijabe.20171003.2299","http://dx.doi.org/10.3965/j.ijabe.20171003.2299")</f>
        <v>http://dx.doi.org/10.3965/j.ijabe.20171003.2299</v>
      </c>
      <c r="I540" s="2" t="s">
        <v>2697</v>
      </c>
    </row>
    <row r="541" spans="1:10" ht="409.6">
      <c r="A541">
        <v>579</v>
      </c>
      <c r="B541" t="s">
        <v>2311</v>
      </c>
      <c r="C541" t="s">
        <v>2312</v>
      </c>
      <c r="D541" s="3" t="s">
        <v>2313</v>
      </c>
      <c r="E541" t="s">
        <v>50</v>
      </c>
      <c r="F541" s="3" t="s">
        <v>2314</v>
      </c>
      <c r="G541">
        <v>2017</v>
      </c>
      <c r="H541" s="1" t="str">
        <f>HYPERLINK("http://dx.doi.org/10.1007/s13580-017-0154-9","http://dx.doi.org/10.1007/s13580-017-0154-9")</f>
        <v>http://dx.doi.org/10.1007/s13580-017-0154-9</v>
      </c>
      <c r="I541" s="2" t="s">
        <v>2697</v>
      </c>
    </row>
    <row r="542" spans="1:10" ht="345">
      <c r="A542">
        <v>580</v>
      </c>
      <c r="B542" t="s">
        <v>2315</v>
      </c>
      <c r="C542" t="s">
        <v>2316</v>
      </c>
      <c r="D542" s="3" t="s">
        <v>2317</v>
      </c>
      <c r="E542" t="s">
        <v>2318</v>
      </c>
      <c r="F542" s="3" t="s">
        <v>2319</v>
      </c>
      <c r="G542">
        <v>2017</v>
      </c>
      <c r="H542" s="1" t="str">
        <f>HYPERLINK("http://dx.doi.org/10.14295/oh.v23i2.884","http://dx.doi.org/10.14295/oh.v23i2.884")</f>
        <v>http://dx.doi.org/10.14295/oh.v23i2.884</v>
      </c>
      <c r="I542" s="2" t="s">
        <v>2697</v>
      </c>
    </row>
    <row r="543" spans="1:10" ht="384">
      <c r="A543">
        <v>581</v>
      </c>
      <c r="B543" t="s">
        <v>2320</v>
      </c>
      <c r="C543" t="s">
        <v>2321</v>
      </c>
      <c r="D543" s="3" t="s">
        <v>2322</v>
      </c>
      <c r="E543" t="s">
        <v>413</v>
      </c>
      <c r="F543" s="3" t="s">
        <v>2323</v>
      </c>
      <c r="G543">
        <v>2017</v>
      </c>
      <c r="H543" s="1" t="str">
        <f>HYPERLINK("http://dx.doi.org/10.21273/HORTSCI11592-16","http://dx.doi.org/10.21273/HORTSCI11592-16")</f>
        <v>http://dx.doi.org/10.21273/HORTSCI11592-16</v>
      </c>
      <c r="I543" s="2" t="s">
        <v>2697</v>
      </c>
    </row>
    <row r="544" spans="1:10" ht="409.6" hidden="1">
      <c r="A544">
        <v>582</v>
      </c>
      <c r="B544" t="s">
        <v>2324</v>
      </c>
      <c r="C544" t="s">
        <v>2325</v>
      </c>
      <c r="D544" s="3" t="s">
        <v>2326</v>
      </c>
      <c r="E544" t="s">
        <v>30</v>
      </c>
      <c r="F544" s="3" t="s">
        <v>2327</v>
      </c>
      <c r="G544">
        <v>2017</v>
      </c>
      <c r="H544" s="1" t="str">
        <f>HYPERLINK("http://dx.doi.org/10.1016/j.jclepro.2017.01.130","http://dx.doi.org/10.1016/j.jclepro.2017.01.130")</f>
        <v>http://dx.doi.org/10.1016/j.jclepro.2017.01.130</v>
      </c>
      <c r="I544" s="2" t="s">
        <v>2696</v>
      </c>
    </row>
    <row r="545" spans="1:10" ht="384" hidden="1">
      <c r="A545">
        <v>583</v>
      </c>
      <c r="B545" t="s">
        <v>2328</v>
      </c>
      <c r="C545" t="s">
        <v>2329</v>
      </c>
      <c r="D545" s="3" t="s">
        <v>2330</v>
      </c>
      <c r="E545" t="s">
        <v>2331</v>
      </c>
      <c r="F545" s="3" t="s">
        <v>2332</v>
      </c>
      <c r="G545">
        <v>2017</v>
      </c>
      <c r="H545" s="1" t="s">
        <v>8</v>
      </c>
      <c r="I545" s="2" t="s">
        <v>2696</v>
      </c>
    </row>
    <row r="546" spans="1:10" ht="384">
      <c r="A546">
        <v>587</v>
      </c>
      <c r="B546" t="s">
        <v>2333</v>
      </c>
      <c r="C546" t="s">
        <v>2334</v>
      </c>
      <c r="D546" s="3" t="s">
        <v>2335</v>
      </c>
      <c r="E546" t="s">
        <v>1765</v>
      </c>
      <c r="F546" s="3" t="s">
        <v>2336</v>
      </c>
      <c r="G546">
        <v>2017</v>
      </c>
      <c r="H546" s="1" t="str">
        <f>HYPERLINK("http://dx.doi.org/10.1007/s11099-016-0233-7","http://dx.doi.org/10.1007/s11099-016-0233-7")</f>
        <v>http://dx.doi.org/10.1007/s11099-016-0233-7</v>
      </c>
      <c r="I546" s="2" t="s">
        <v>2697</v>
      </c>
    </row>
    <row r="547" spans="1:10" ht="196">
      <c r="A547">
        <v>588</v>
      </c>
      <c r="B547" t="s">
        <v>2337</v>
      </c>
      <c r="C547" t="s">
        <v>2338</v>
      </c>
      <c r="D547" s="3" t="s">
        <v>2339</v>
      </c>
      <c r="E547" t="s">
        <v>788</v>
      </c>
      <c r="F547" s="3" t="s">
        <v>2340</v>
      </c>
      <c r="G547">
        <v>2017</v>
      </c>
      <c r="H547" s="1" t="str">
        <f>HYPERLINK("http://dx.doi.org/10.1016/j.foodchem.2016.09.102","http://dx.doi.org/10.1016/j.foodchem.2016.09.102")</f>
        <v>http://dx.doi.org/10.1016/j.foodchem.2016.09.102</v>
      </c>
      <c r="I547" s="2" t="s">
        <v>2697</v>
      </c>
    </row>
    <row r="548" spans="1:10" ht="371">
      <c r="A548">
        <v>589</v>
      </c>
      <c r="B548" t="s">
        <v>2341</v>
      </c>
      <c r="C548" t="s">
        <v>2342</v>
      </c>
      <c r="D548" s="3" t="s">
        <v>2343</v>
      </c>
      <c r="E548" t="s">
        <v>2344</v>
      </c>
      <c r="F548" s="3" t="s">
        <v>2345</v>
      </c>
      <c r="G548">
        <v>2017</v>
      </c>
      <c r="H548" s="1" t="str">
        <f>HYPERLINK("http://dx.doi.org/10.1515/opag-2017-0004","http://dx.doi.org/10.1515/opag-2017-0004")</f>
        <v>http://dx.doi.org/10.1515/opag-2017-0004</v>
      </c>
      <c r="I548" s="2" t="s">
        <v>2697</v>
      </c>
    </row>
    <row r="549" spans="1:10" ht="238">
      <c r="A549">
        <v>592</v>
      </c>
      <c r="B549" t="s">
        <v>2346</v>
      </c>
      <c r="C549" t="s">
        <v>2347</v>
      </c>
      <c r="D549" s="3" t="s">
        <v>2348</v>
      </c>
      <c r="E549" t="s">
        <v>183</v>
      </c>
      <c r="F549" s="3" t="s">
        <v>2349</v>
      </c>
      <c r="G549">
        <v>2017</v>
      </c>
      <c r="H549" s="1" t="str">
        <f>HYPERLINK("http://dx.doi.org/10.1016/j.scienta.2016.11.020","http://dx.doi.org/10.1016/j.scienta.2016.11.020")</f>
        <v>http://dx.doi.org/10.1016/j.scienta.2016.11.020</v>
      </c>
      <c r="I549" s="2" t="s">
        <v>2697</v>
      </c>
    </row>
    <row r="550" spans="1:10" ht="210" hidden="1">
      <c r="A550">
        <v>593</v>
      </c>
      <c r="B550" t="s">
        <v>2350</v>
      </c>
      <c r="C550" t="s">
        <v>2351</v>
      </c>
      <c r="D550" s="3" t="s">
        <v>2352</v>
      </c>
      <c r="E550" t="s">
        <v>74</v>
      </c>
      <c r="F550" s="3" t="s">
        <v>2353</v>
      </c>
      <c r="G550">
        <v>2017</v>
      </c>
      <c r="H550" s="1" t="str">
        <f>HYPERLINK("http://dx.doi.org/10.3390/su9010140","http://dx.doi.org/10.3390/su9010140")</f>
        <v>http://dx.doi.org/10.3390/su9010140</v>
      </c>
      <c r="I550" s="2" t="s">
        <v>2698</v>
      </c>
    </row>
    <row r="551" spans="1:10" ht="266" hidden="1">
      <c r="A551">
        <v>594</v>
      </c>
      <c r="B551" t="s">
        <v>2354</v>
      </c>
      <c r="C551" t="s">
        <v>2355</v>
      </c>
      <c r="D551" s="3" t="s">
        <v>2356</v>
      </c>
      <c r="E551" t="s">
        <v>2357</v>
      </c>
      <c r="F551" s="3" t="s">
        <v>2358</v>
      </c>
      <c r="G551">
        <v>2017</v>
      </c>
      <c r="H551" s="1" t="str">
        <f>HYPERLINK("http://dx.doi.org/10.1108/F-03-2016-0026","http://dx.doi.org/10.1108/F-03-2016-0026")</f>
        <v>http://dx.doi.org/10.1108/F-03-2016-0026</v>
      </c>
      <c r="I551" s="2" t="s">
        <v>2696</v>
      </c>
    </row>
    <row r="552" spans="1:10" ht="252">
      <c r="A552">
        <v>596</v>
      </c>
      <c r="B552" t="s">
        <v>2359</v>
      </c>
      <c r="C552" t="s">
        <v>2360</v>
      </c>
      <c r="D552" s="3" t="s">
        <v>2361</v>
      </c>
      <c r="E552" t="s">
        <v>1229</v>
      </c>
      <c r="F552" s="3" t="s">
        <v>2362</v>
      </c>
      <c r="G552">
        <v>2017</v>
      </c>
      <c r="H552" s="1" t="str">
        <f>HYPERLINK("http://dx.doi.org/10.1007/s11738-016-2320-6","http://dx.doi.org/10.1007/s11738-016-2320-6")</f>
        <v>http://dx.doi.org/10.1007/s11738-016-2320-6</v>
      </c>
      <c r="I552" s="2" t="s">
        <v>2697</v>
      </c>
    </row>
    <row r="553" spans="1:10" ht="182" hidden="1">
      <c r="A553">
        <v>597</v>
      </c>
      <c r="B553" t="s">
        <v>2363</v>
      </c>
      <c r="C553" t="s">
        <v>2364</v>
      </c>
      <c r="D553" s="3" t="s">
        <v>2365</v>
      </c>
      <c r="E553" t="s">
        <v>864</v>
      </c>
      <c r="F553" s="3" t="s">
        <v>2366</v>
      </c>
      <c r="G553">
        <v>2017</v>
      </c>
      <c r="H553" s="1" t="str">
        <f>HYPERLINK("http://dx.doi.org/10.1039/c7ra00227k","http://dx.doi.org/10.1039/c7ra00227k")</f>
        <v>http://dx.doi.org/10.1039/c7ra00227k</v>
      </c>
      <c r="I553" s="2" t="s">
        <v>2696</v>
      </c>
    </row>
    <row r="554" spans="1:10" ht="306" hidden="1">
      <c r="A554">
        <v>598</v>
      </c>
      <c r="B554" t="s">
        <v>2367</v>
      </c>
      <c r="C554" t="s">
        <v>2368</v>
      </c>
      <c r="D554" s="3" t="s">
        <v>2369</v>
      </c>
      <c r="E554" t="s">
        <v>2370</v>
      </c>
      <c r="F554" s="3" t="s">
        <v>2371</v>
      </c>
      <c r="G554">
        <v>2016</v>
      </c>
      <c r="H554" s="1" t="str">
        <f>HYPERLINK("http://dx.doi.org/10.12972/kjhst.20160088","http://dx.doi.org/10.12972/kjhst.20160088")</f>
        <v>http://dx.doi.org/10.12972/kjhst.20160088</v>
      </c>
      <c r="I554" s="2" t="s">
        <v>2696</v>
      </c>
      <c r="J554" s="2" t="s">
        <v>2697</v>
      </c>
    </row>
    <row r="555" spans="1:10" ht="319">
      <c r="A555">
        <v>599</v>
      </c>
      <c r="B555" t="s">
        <v>2372</v>
      </c>
      <c r="C555" t="s">
        <v>2373</v>
      </c>
      <c r="D555" s="3" t="s">
        <v>2374</v>
      </c>
      <c r="E555" t="s">
        <v>50</v>
      </c>
      <c r="F555" s="3" t="s">
        <v>2375</v>
      </c>
      <c r="G555">
        <v>2016</v>
      </c>
      <c r="H555" s="1" t="str">
        <f>HYPERLINK("http://dx.doi.org/10.1007/s13580-016-0093-x","http://dx.doi.org/10.1007/s13580-016-0093-x")</f>
        <v>http://dx.doi.org/10.1007/s13580-016-0093-x</v>
      </c>
      <c r="I555" s="2" t="s">
        <v>2697</v>
      </c>
    </row>
    <row r="556" spans="1:10" ht="409.6">
      <c r="A556">
        <v>600</v>
      </c>
      <c r="B556" t="s">
        <v>2376</v>
      </c>
      <c r="C556" t="s">
        <v>2377</v>
      </c>
      <c r="D556" s="3" t="s">
        <v>2378</v>
      </c>
      <c r="E556" t="s">
        <v>50</v>
      </c>
      <c r="F556" s="3" t="s">
        <v>2379</v>
      </c>
      <c r="G556">
        <v>2016</v>
      </c>
      <c r="H556" s="1" t="str">
        <f>HYPERLINK("http://dx.doi.org/10.1007/s13580-016-0068-y","http://dx.doi.org/10.1007/s13580-016-0068-y")</f>
        <v>http://dx.doi.org/10.1007/s13580-016-0068-y</v>
      </c>
      <c r="I556" s="2" t="s">
        <v>2697</v>
      </c>
    </row>
    <row r="557" spans="1:10" ht="224">
      <c r="A557">
        <v>601</v>
      </c>
      <c r="B557" t="s">
        <v>2380</v>
      </c>
      <c r="C557" t="s">
        <v>2381</v>
      </c>
      <c r="D557" s="3" t="s">
        <v>2382</v>
      </c>
      <c r="E557" t="s">
        <v>183</v>
      </c>
      <c r="F557" s="3" t="s">
        <v>2383</v>
      </c>
      <c r="G557">
        <v>2016</v>
      </c>
      <c r="H557" s="1" t="str">
        <f>HYPERLINK("http://dx.doi.org/10.1016/j.scienta.2016.07.001","http://dx.doi.org/10.1016/j.scienta.2016.07.001")</f>
        <v>http://dx.doi.org/10.1016/j.scienta.2016.07.001</v>
      </c>
      <c r="I557" s="2" t="s">
        <v>2697</v>
      </c>
    </row>
    <row r="558" spans="1:10" ht="332">
      <c r="A558">
        <v>602</v>
      </c>
      <c r="B558" t="s">
        <v>2384</v>
      </c>
      <c r="C558" t="s">
        <v>2385</v>
      </c>
      <c r="D558" s="3" t="s">
        <v>2386</v>
      </c>
      <c r="E558" t="s">
        <v>50</v>
      </c>
      <c r="F558" s="3" t="s">
        <v>2387</v>
      </c>
      <c r="G558">
        <v>2016</v>
      </c>
      <c r="H558" s="1" t="str">
        <f>HYPERLINK("http://dx.doi.org/10.1007/s13580-016-0103-z","http://dx.doi.org/10.1007/s13580-016-0103-z")</f>
        <v>http://dx.doi.org/10.1007/s13580-016-0103-z</v>
      </c>
      <c r="I558" s="2" t="s">
        <v>2697</v>
      </c>
    </row>
    <row r="559" spans="1:10" ht="384">
      <c r="A559">
        <v>603</v>
      </c>
      <c r="B559" t="s">
        <v>2388</v>
      </c>
      <c r="C559" t="s">
        <v>2389</v>
      </c>
      <c r="D559" s="3" t="s">
        <v>2390</v>
      </c>
      <c r="E559" t="s">
        <v>50</v>
      </c>
      <c r="F559" s="3" t="s">
        <v>2391</v>
      </c>
      <c r="G559">
        <v>2016</v>
      </c>
      <c r="H559" s="1" t="str">
        <f>HYPERLINK("http://dx.doi.org/10.1007/s13580-016-1060-2","http://dx.doi.org/10.1007/s13580-016-1060-2")</f>
        <v>http://dx.doi.org/10.1007/s13580-016-1060-2</v>
      </c>
      <c r="I559" s="2" t="s">
        <v>2697</v>
      </c>
    </row>
    <row r="560" spans="1:10" ht="280" hidden="1">
      <c r="A560">
        <v>604</v>
      </c>
      <c r="B560" t="s">
        <v>2392</v>
      </c>
      <c r="C560" t="s">
        <v>2393</v>
      </c>
      <c r="D560" s="3" t="s">
        <v>2394</v>
      </c>
      <c r="E560" t="s">
        <v>11</v>
      </c>
      <c r="F560" s="3" t="s">
        <v>2395</v>
      </c>
      <c r="G560">
        <v>2016</v>
      </c>
      <c r="H560" s="1" t="str">
        <f>HYPERLINK("http://dx.doi.org/10.1016/j.biosystemseng.2016.07.008","http://dx.doi.org/10.1016/j.biosystemseng.2016.07.008")</f>
        <v>http://dx.doi.org/10.1016/j.biosystemseng.2016.07.008</v>
      </c>
      <c r="I560" s="2" t="s">
        <v>2696</v>
      </c>
    </row>
    <row r="561" spans="1:10" ht="252">
      <c r="A561">
        <v>605</v>
      </c>
      <c r="B561" t="s">
        <v>2396</v>
      </c>
      <c r="C561" t="s">
        <v>2397</v>
      </c>
      <c r="D561" s="3" t="s">
        <v>2398</v>
      </c>
      <c r="E561" t="s">
        <v>413</v>
      </c>
      <c r="F561" s="3" t="s">
        <v>2399</v>
      </c>
      <c r="G561">
        <v>2016</v>
      </c>
      <c r="H561" s="1" t="str">
        <f>HYPERLINK("http://dx.doi.org/10.21273/HORTSCI10668-16","http://dx.doi.org/10.21273/HORTSCI10668-16")</f>
        <v>http://dx.doi.org/10.21273/HORTSCI10668-16</v>
      </c>
      <c r="I561" s="2" t="s">
        <v>2697</v>
      </c>
    </row>
    <row r="562" spans="1:10" ht="319">
      <c r="A562">
        <v>606</v>
      </c>
      <c r="B562" t="s">
        <v>2400</v>
      </c>
      <c r="C562" t="s">
        <v>2401</v>
      </c>
      <c r="D562" s="3" t="s">
        <v>2402</v>
      </c>
      <c r="E562" t="s">
        <v>2403</v>
      </c>
      <c r="F562" s="3" t="s">
        <v>2404</v>
      </c>
      <c r="G562">
        <v>2016</v>
      </c>
      <c r="H562" s="1" t="str">
        <f>HYPERLINK("http://dx.doi.org/10.5511/plantbiotechnology.16.0216a","http://dx.doi.org/10.5511/plantbiotechnology.16.0216a")</f>
        <v>http://dx.doi.org/10.5511/plantbiotechnology.16.0216a</v>
      </c>
      <c r="I562" s="2" t="s">
        <v>2697</v>
      </c>
    </row>
    <row r="563" spans="1:10" ht="210">
      <c r="A563">
        <v>607</v>
      </c>
      <c r="B563" t="s">
        <v>2405</v>
      </c>
      <c r="C563" t="s">
        <v>2406</v>
      </c>
      <c r="D563" s="3" t="s">
        <v>2407</v>
      </c>
      <c r="E563" t="s">
        <v>50</v>
      </c>
      <c r="F563" s="3" t="s">
        <v>2408</v>
      </c>
      <c r="G563">
        <v>2016</v>
      </c>
      <c r="H563" s="1" t="str">
        <f>HYPERLINK("http://dx.doi.org/10.1007/s13580-016-0071-3","http://dx.doi.org/10.1007/s13580-016-0071-3")</f>
        <v>http://dx.doi.org/10.1007/s13580-016-0071-3</v>
      </c>
      <c r="I563" s="2" t="s">
        <v>2697</v>
      </c>
    </row>
    <row r="564" spans="1:10" ht="252">
      <c r="A564">
        <v>608</v>
      </c>
      <c r="B564" t="s">
        <v>2409</v>
      </c>
      <c r="C564" t="s">
        <v>2410</v>
      </c>
      <c r="D564" s="3" t="s">
        <v>2411</v>
      </c>
      <c r="E564" t="s">
        <v>178</v>
      </c>
      <c r="F564" s="3" t="s">
        <v>2412</v>
      </c>
      <c r="G564">
        <v>2016</v>
      </c>
      <c r="H564" s="1" t="str">
        <f>HYPERLINK("http://dx.doi.org/10.1002/fes3.83","http://dx.doi.org/10.1002/fes3.83")</f>
        <v>http://dx.doi.org/10.1002/fes3.83</v>
      </c>
      <c r="I564" s="2" t="s">
        <v>2697</v>
      </c>
    </row>
    <row r="565" spans="1:10" ht="140" hidden="1">
      <c r="A565">
        <v>609</v>
      </c>
      <c r="B565" t="s">
        <v>2413</v>
      </c>
      <c r="C565" t="s">
        <v>2414</v>
      </c>
      <c r="D565" s="3" t="s">
        <v>2415</v>
      </c>
      <c r="E565" t="s">
        <v>2416</v>
      </c>
      <c r="F565" s="3" t="s">
        <v>2417</v>
      </c>
      <c r="G565">
        <v>2016</v>
      </c>
      <c r="H565" s="1" t="str">
        <f>HYPERLINK("http://dx.doi.org/10.7567/JJAP.55.08RF02","http://dx.doi.org/10.7567/JJAP.55.08RF02")</f>
        <v>http://dx.doi.org/10.7567/JJAP.55.08RF02</v>
      </c>
      <c r="I565" s="2" t="s">
        <v>2696</v>
      </c>
    </row>
    <row r="566" spans="1:10" ht="345">
      <c r="A566">
        <v>612</v>
      </c>
      <c r="B566" t="s">
        <v>2418</v>
      </c>
      <c r="C566" t="s">
        <v>2419</v>
      </c>
      <c r="D566" s="3" t="s">
        <v>2420</v>
      </c>
      <c r="E566" t="s">
        <v>169</v>
      </c>
      <c r="F566" s="3" t="s">
        <v>2421</v>
      </c>
      <c r="G566">
        <v>2016</v>
      </c>
      <c r="H566" s="1" t="str">
        <f>HYPERLINK("http://dx.doi.org/10.3389/fpls.2015.01114","http://dx.doi.org/10.3389/fpls.2015.01114")</f>
        <v>http://dx.doi.org/10.3389/fpls.2015.01114</v>
      </c>
      <c r="I566" s="2" t="s">
        <v>2697</v>
      </c>
    </row>
    <row r="567" spans="1:10" ht="306" hidden="1">
      <c r="A567">
        <v>613</v>
      </c>
      <c r="B567" t="s">
        <v>2422</v>
      </c>
      <c r="C567" t="s">
        <v>2423</v>
      </c>
      <c r="D567" s="3" t="s">
        <v>2424</v>
      </c>
      <c r="E567" t="s">
        <v>11</v>
      </c>
      <c r="F567" s="3" t="s">
        <v>2425</v>
      </c>
      <c r="G567">
        <v>2016</v>
      </c>
      <c r="H567" s="1" t="str">
        <f>HYPERLINK("http://dx.doi.org/10.1016/j.biosystemseng.2016.04.012","http://dx.doi.org/10.1016/j.biosystemseng.2016.04.012")</f>
        <v>http://dx.doi.org/10.1016/j.biosystemseng.2016.04.012</v>
      </c>
      <c r="I567" s="2" t="s">
        <v>2696</v>
      </c>
    </row>
    <row r="568" spans="1:10" ht="319">
      <c r="A568">
        <v>614</v>
      </c>
      <c r="B568" t="s">
        <v>2426</v>
      </c>
      <c r="C568" t="s">
        <v>2427</v>
      </c>
      <c r="D568" s="3" t="s">
        <v>2428</v>
      </c>
      <c r="E568" t="s">
        <v>2370</v>
      </c>
      <c r="F568" s="3" t="s">
        <v>2429</v>
      </c>
      <c r="G568">
        <v>2016</v>
      </c>
      <c r="H568" s="1" t="str">
        <f>HYPERLINK("http://dx.doi.org/10.12972/kjhst.20160041","http://dx.doi.org/10.12972/kjhst.20160041")</f>
        <v>http://dx.doi.org/10.12972/kjhst.20160041</v>
      </c>
      <c r="I568" s="2" t="s">
        <v>2697</v>
      </c>
    </row>
    <row r="569" spans="1:10" ht="306">
      <c r="A569">
        <v>615</v>
      </c>
      <c r="B569" t="s">
        <v>2430</v>
      </c>
      <c r="C569" t="s">
        <v>2431</v>
      </c>
      <c r="D569" s="3" t="s">
        <v>2432</v>
      </c>
      <c r="E569" t="s">
        <v>50</v>
      </c>
      <c r="F569" s="3" t="s">
        <v>2433</v>
      </c>
      <c r="G569">
        <v>2016</v>
      </c>
      <c r="H569" s="1" t="str">
        <f>HYPERLINK("http://dx.doi.org/10.1007/s13580-016-0008-x","http://dx.doi.org/10.1007/s13580-016-0008-x")</f>
        <v>http://dx.doi.org/10.1007/s13580-016-0008-x</v>
      </c>
      <c r="I569" s="2" t="s">
        <v>2697</v>
      </c>
    </row>
    <row r="570" spans="1:10" ht="266" hidden="1">
      <c r="A570">
        <v>616</v>
      </c>
      <c r="B570" t="s">
        <v>2434</v>
      </c>
      <c r="C570" t="s">
        <v>2435</v>
      </c>
      <c r="D570" s="3" t="s">
        <v>2436</v>
      </c>
      <c r="E570" t="s">
        <v>712</v>
      </c>
      <c r="F570" s="3" t="s">
        <v>2437</v>
      </c>
      <c r="G570">
        <v>2016</v>
      </c>
      <c r="H570" s="1" t="str">
        <f>HYPERLINK("http://dx.doi.org/10.1016/j.scitotenv.2016.02.174","http://dx.doi.org/10.1016/j.scitotenv.2016.02.174")</f>
        <v>http://dx.doi.org/10.1016/j.scitotenv.2016.02.174</v>
      </c>
      <c r="I570" s="2" t="s">
        <v>2696</v>
      </c>
      <c r="J570" s="2" t="s">
        <v>2699</v>
      </c>
    </row>
    <row r="571" spans="1:10" ht="140">
      <c r="A571">
        <v>617</v>
      </c>
      <c r="B571" t="s">
        <v>2438</v>
      </c>
      <c r="C571" t="s">
        <v>2439</v>
      </c>
      <c r="D571" s="3" t="s">
        <v>2440</v>
      </c>
      <c r="E571" t="s">
        <v>2441</v>
      </c>
      <c r="F571" s="3" t="s">
        <v>2442</v>
      </c>
      <c r="G571">
        <v>2016</v>
      </c>
      <c r="H571" s="1" t="str">
        <f>HYPERLINK("http://dx.doi.org/10.5958/0974-0112.2016.00066.9","http://dx.doi.org/10.5958/0974-0112.2016.00066.9")</f>
        <v>http://dx.doi.org/10.5958/0974-0112.2016.00066.9</v>
      </c>
      <c r="I571" s="2" t="s">
        <v>2697</v>
      </c>
    </row>
    <row r="572" spans="1:10" ht="266">
      <c r="A572">
        <v>619</v>
      </c>
      <c r="B572" t="s">
        <v>2443</v>
      </c>
      <c r="C572" t="s">
        <v>2444</v>
      </c>
      <c r="D572" s="3" t="s">
        <v>2445</v>
      </c>
      <c r="E572" t="s">
        <v>169</v>
      </c>
      <c r="F572" s="3" t="s">
        <v>2446</v>
      </c>
      <c r="G572">
        <v>2016</v>
      </c>
      <c r="H572" s="1" t="str">
        <f>HYPERLINK("http://dx.doi.org/10.3389/fpls.2016.00539","http://dx.doi.org/10.3389/fpls.2016.00539")</f>
        <v>http://dx.doi.org/10.3389/fpls.2016.00539</v>
      </c>
      <c r="I572" s="2" t="s">
        <v>2697</v>
      </c>
    </row>
    <row r="573" spans="1:10" ht="384">
      <c r="A573">
        <v>621</v>
      </c>
      <c r="B573" t="s">
        <v>2447</v>
      </c>
      <c r="C573" t="s">
        <v>2448</v>
      </c>
      <c r="D573" s="3" t="s">
        <v>2449</v>
      </c>
      <c r="E573" t="s">
        <v>2370</v>
      </c>
      <c r="F573" s="3" t="s">
        <v>2450</v>
      </c>
      <c r="G573">
        <v>2016</v>
      </c>
      <c r="H573" s="1" t="str">
        <f>HYPERLINK("http://dx.doi.org/10.12972/kjhst.20160024","http://dx.doi.org/10.12972/kjhst.20160024")</f>
        <v>http://dx.doi.org/10.12972/kjhst.20160024</v>
      </c>
      <c r="I573" s="2" t="s">
        <v>2697</v>
      </c>
    </row>
    <row r="574" spans="1:10" ht="409.6" hidden="1">
      <c r="A574">
        <v>622</v>
      </c>
      <c r="B574" t="s">
        <v>2451</v>
      </c>
      <c r="C574" t="s">
        <v>2452</v>
      </c>
      <c r="D574" s="3" t="s">
        <v>2453</v>
      </c>
      <c r="E574" t="s">
        <v>1252</v>
      </c>
      <c r="F574" s="3" t="s">
        <v>2454</v>
      </c>
      <c r="G574">
        <v>2016</v>
      </c>
      <c r="H574" s="1" t="str">
        <f>HYPERLINK("http://dx.doi.org/10.6090/jarq.50.101","http://dx.doi.org/10.6090/jarq.50.101")</f>
        <v>http://dx.doi.org/10.6090/jarq.50.101</v>
      </c>
      <c r="I574" s="2" t="s">
        <v>2696</v>
      </c>
    </row>
    <row r="575" spans="1:10" ht="345" hidden="1">
      <c r="A575">
        <v>623</v>
      </c>
      <c r="B575" t="s">
        <v>2455</v>
      </c>
      <c r="C575" t="s">
        <v>2456</v>
      </c>
      <c r="D575" s="3" t="s">
        <v>2457</v>
      </c>
      <c r="E575" t="s">
        <v>169</v>
      </c>
      <c r="F575" s="3" t="s">
        <v>2458</v>
      </c>
      <c r="G575">
        <v>2016</v>
      </c>
      <c r="H575" s="1" t="str">
        <f>HYPERLINK("http://dx.doi.org/10.3389/fpls.2016.00392","http://dx.doi.org/10.3389/fpls.2016.00392")</f>
        <v>http://dx.doi.org/10.3389/fpls.2016.00392</v>
      </c>
      <c r="I575" s="2" t="s">
        <v>2696</v>
      </c>
    </row>
    <row r="576" spans="1:10" ht="238">
      <c r="A576">
        <v>624</v>
      </c>
      <c r="B576" t="s">
        <v>2459</v>
      </c>
      <c r="C576" t="s">
        <v>2460</v>
      </c>
      <c r="D576" s="3" t="s">
        <v>2461</v>
      </c>
      <c r="E576" t="s">
        <v>169</v>
      </c>
      <c r="F576" s="3" t="s">
        <v>2462</v>
      </c>
      <c r="G576">
        <v>2016</v>
      </c>
      <c r="H576" s="1" t="str">
        <f>HYPERLINK("http://dx.doi.org/10.3389/fpls.2016.00394","http://dx.doi.org/10.3389/fpls.2016.00394")</f>
        <v>http://dx.doi.org/10.3389/fpls.2016.00394</v>
      </c>
      <c r="I576" s="2" t="s">
        <v>2697</v>
      </c>
      <c r="J576" s="2" t="s">
        <v>2696</v>
      </c>
    </row>
    <row r="577" spans="1:10" ht="397" hidden="1">
      <c r="A577">
        <v>625</v>
      </c>
      <c r="B577" t="s">
        <v>2463</v>
      </c>
      <c r="C577" t="s">
        <v>2464</v>
      </c>
      <c r="D577" s="3" t="s">
        <v>2465</v>
      </c>
      <c r="E577" t="s">
        <v>169</v>
      </c>
      <c r="F577" s="3" t="s">
        <v>2466</v>
      </c>
      <c r="G577">
        <v>2016</v>
      </c>
      <c r="H577" s="1" t="str">
        <f>HYPERLINK("http://dx.doi.org/10.3389/fpls.2016.00270","http://dx.doi.org/10.3389/fpls.2016.00270")</f>
        <v>http://dx.doi.org/10.3389/fpls.2016.00270</v>
      </c>
      <c r="I577" s="2" t="s">
        <v>2696</v>
      </c>
    </row>
    <row r="578" spans="1:10" ht="293" hidden="1">
      <c r="A578">
        <v>626</v>
      </c>
      <c r="B578" t="s">
        <v>2467</v>
      </c>
      <c r="C578" t="s">
        <v>2468</v>
      </c>
      <c r="D578" s="3" t="s">
        <v>2469</v>
      </c>
      <c r="E578" t="s">
        <v>84</v>
      </c>
      <c r="F578" s="3" t="s">
        <v>2470</v>
      </c>
      <c r="G578">
        <v>2016</v>
      </c>
      <c r="H578" s="1" t="str">
        <f>HYPERLINK("http://dx.doi.org/10.1016/j.compag.2016.01.031","http://dx.doi.org/10.1016/j.compag.2016.01.031")</f>
        <v>http://dx.doi.org/10.1016/j.compag.2016.01.031</v>
      </c>
      <c r="I578" s="2" t="s">
        <v>2696</v>
      </c>
    </row>
    <row r="579" spans="1:10" ht="319">
      <c r="A579">
        <v>627</v>
      </c>
      <c r="B579" t="s">
        <v>2471</v>
      </c>
      <c r="C579" t="s">
        <v>2472</v>
      </c>
      <c r="D579" s="3" t="s">
        <v>2473</v>
      </c>
      <c r="E579" t="s">
        <v>959</v>
      </c>
      <c r="F579" s="3" t="s">
        <v>2474</v>
      </c>
      <c r="G579">
        <v>2016</v>
      </c>
      <c r="H579" s="1" t="str">
        <f>HYPERLINK("http://dx.doi.org/10.1111/pbi.12437","http://dx.doi.org/10.1111/pbi.12437")</f>
        <v>http://dx.doi.org/10.1111/pbi.12437</v>
      </c>
      <c r="I579" s="2" t="s">
        <v>2697</v>
      </c>
    </row>
    <row r="580" spans="1:10" ht="280" hidden="1">
      <c r="A580">
        <v>628</v>
      </c>
      <c r="B580" t="s">
        <v>2475</v>
      </c>
      <c r="C580" t="s">
        <v>2476</v>
      </c>
      <c r="D580" s="3" t="s">
        <v>2477</v>
      </c>
      <c r="E580" t="s">
        <v>2478</v>
      </c>
      <c r="F580" s="3" t="s">
        <v>2479</v>
      </c>
      <c r="G580">
        <v>2016</v>
      </c>
      <c r="H580" s="1" t="str">
        <f>HYPERLINK("http://dx.doi.org/10.1589/jpts.28.881","http://dx.doi.org/10.1589/jpts.28.881")</f>
        <v>http://dx.doi.org/10.1589/jpts.28.881</v>
      </c>
      <c r="I580" s="2" t="s">
        <v>2699</v>
      </c>
    </row>
    <row r="581" spans="1:10" ht="409.6" hidden="1">
      <c r="A581">
        <v>629</v>
      </c>
      <c r="B581" t="s">
        <v>2480</v>
      </c>
      <c r="C581" t="s">
        <v>2481</v>
      </c>
      <c r="D581" s="3" t="s">
        <v>2482</v>
      </c>
      <c r="E581" t="s">
        <v>1556</v>
      </c>
      <c r="F581" s="3" t="s">
        <v>2483</v>
      </c>
      <c r="G581">
        <v>2016</v>
      </c>
      <c r="H581" s="1" t="str">
        <f>HYPERLINK("http://dx.doi.org/10.21273/JASHS.141.2.169","http://dx.doi.org/10.21273/JASHS.141.2.169")</f>
        <v>http://dx.doi.org/10.21273/JASHS.141.2.169</v>
      </c>
      <c r="I581" s="2" t="s">
        <v>2696</v>
      </c>
    </row>
    <row r="582" spans="1:10" ht="266" hidden="1">
      <c r="A582">
        <v>630</v>
      </c>
      <c r="B582" t="s">
        <v>2484</v>
      </c>
      <c r="C582" t="s">
        <v>2485</v>
      </c>
      <c r="D582" s="3" t="s">
        <v>2486</v>
      </c>
      <c r="E582" t="s">
        <v>169</v>
      </c>
      <c r="F582" s="3" t="s">
        <v>2487</v>
      </c>
      <c r="G582">
        <v>2016</v>
      </c>
      <c r="H582" s="1" t="str">
        <f>HYPERLINK("http://dx.doi.org/10.3389/fpls.2016.00092","http://dx.doi.org/10.3389/fpls.2016.00092")</f>
        <v>http://dx.doi.org/10.3389/fpls.2016.00092</v>
      </c>
      <c r="I582" s="2" t="s">
        <v>2696</v>
      </c>
    </row>
    <row r="583" spans="1:10" ht="397">
      <c r="A583">
        <v>631</v>
      </c>
      <c r="B583" t="s">
        <v>2488</v>
      </c>
      <c r="C583" t="s">
        <v>2489</v>
      </c>
      <c r="D583" s="3" t="s">
        <v>2490</v>
      </c>
      <c r="E583" t="s">
        <v>169</v>
      </c>
      <c r="F583" s="3" t="s">
        <v>2491</v>
      </c>
      <c r="G583">
        <v>2016</v>
      </c>
      <c r="H583" s="1" t="str">
        <f>HYPERLINK("http://dx.doi.org/10.3389/fpls.2016.00087","http://dx.doi.org/10.3389/fpls.2016.00087")</f>
        <v>http://dx.doi.org/10.3389/fpls.2016.00087</v>
      </c>
      <c r="I583" s="2" t="s">
        <v>2697</v>
      </c>
    </row>
    <row r="584" spans="1:10" ht="384">
      <c r="A584">
        <v>632</v>
      </c>
      <c r="B584" t="s">
        <v>2492</v>
      </c>
      <c r="C584" t="s">
        <v>2493</v>
      </c>
      <c r="D584" s="3" t="s">
        <v>2494</v>
      </c>
      <c r="E584" t="s">
        <v>50</v>
      </c>
      <c r="F584" s="3" t="s">
        <v>2495</v>
      </c>
      <c r="G584">
        <v>2016</v>
      </c>
      <c r="H584" s="1" t="str">
        <f>HYPERLINK("http://dx.doi.org/10.1007/s13580-016-0019-7","http://dx.doi.org/10.1007/s13580-016-0019-7")</f>
        <v>http://dx.doi.org/10.1007/s13580-016-0019-7</v>
      </c>
      <c r="I584" s="2" t="s">
        <v>2697</v>
      </c>
    </row>
    <row r="585" spans="1:10" ht="182" hidden="1">
      <c r="A585">
        <v>633</v>
      </c>
      <c r="B585" t="s">
        <v>2496</v>
      </c>
      <c r="C585" t="s">
        <v>2497</v>
      </c>
      <c r="D585" s="3" t="s">
        <v>2498</v>
      </c>
      <c r="E585" t="s">
        <v>2499</v>
      </c>
      <c r="F585" s="3" t="s">
        <v>2500</v>
      </c>
      <c r="G585">
        <v>2016</v>
      </c>
      <c r="H585" s="1" t="str">
        <f>HYPERLINK("http://dx.doi.org/10.1177/1477153515622681","http://dx.doi.org/10.1177/1477153515622681")</f>
        <v>http://dx.doi.org/10.1177/1477153515622681</v>
      </c>
      <c r="I585" s="2" t="s">
        <v>2696</v>
      </c>
    </row>
    <row r="586" spans="1:10" ht="293" hidden="1">
      <c r="A586">
        <v>634</v>
      </c>
      <c r="B586" t="s">
        <v>2501</v>
      </c>
      <c r="C586" t="s">
        <v>2502</v>
      </c>
      <c r="D586" s="3" t="s">
        <v>2503</v>
      </c>
      <c r="E586" t="s">
        <v>810</v>
      </c>
      <c r="F586" s="3" t="s">
        <v>2504</v>
      </c>
      <c r="G586">
        <v>2016</v>
      </c>
      <c r="H586" s="1" t="str">
        <f>HYPERLINK("http://dx.doi.org/10.1109/JSEN.2015.2480887","http://dx.doi.org/10.1109/JSEN.2015.2480887")</f>
        <v>http://dx.doi.org/10.1109/JSEN.2015.2480887</v>
      </c>
      <c r="I586" s="2" t="s">
        <v>2696</v>
      </c>
    </row>
    <row r="587" spans="1:10" ht="210" hidden="1">
      <c r="A587">
        <v>635</v>
      </c>
      <c r="B587" t="s">
        <v>2505</v>
      </c>
      <c r="C587" t="s">
        <v>2506</v>
      </c>
      <c r="D587" s="3" t="s">
        <v>2507</v>
      </c>
      <c r="E587" t="s">
        <v>473</v>
      </c>
      <c r="F587" s="3" t="s">
        <v>2508</v>
      </c>
      <c r="G587">
        <v>2016</v>
      </c>
      <c r="H587" s="1" t="str">
        <f>HYPERLINK("http://dx.doi.org/10.13031/aea.32.11003","http://dx.doi.org/10.13031/aea.32.11003")</f>
        <v>http://dx.doi.org/10.13031/aea.32.11003</v>
      </c>
      <c r="I587" s="2" t="s">
        <v>2696</v>
      </c>
    </row>
    <row r="588" spans="1:10" ht="252">
      <c r="A588">
        <v>636</v>
      </c>
      <c r="B588" t="s">
        <v>2509</v>
      </c>
      <c r="C588" t="s">
        <v>2510</v>
      </c>
      <c r="D588" s="3" t="s">
        <v>2511</v>
      </c>
      <c r="E588" t="s">
        <v>169</v>
      </c>
      <c r="F588" s="3" t="s">
        <v>2512</v>
      </c>
      <c r="G588">
        <v>2015</v>
      </c>
      <c r="H588" s="1" t="str">
        <f>HYPERLINK("http://dx.doi.org/10.3389/fpls.2015.01110","http://dx.doi.org/10.3389/fpls.2015.01110")</f>
        <v>http://dx.doi.org/10.3389/fpls.2015.01110</v>
      </c>
      <c r="I588" s="2" t="s">
        <v>2697</v>
      </c>
    </row>
    <row r="589" spans="1:10" ht="266" hidden="1">
      <c r="A589">
        <v>637</v>
      </c>
      <c r="B589" t="s">
        <v>2513</v>
      </c>
      <c r="C589" t="s">
        <v>2514</v>
      </c>
      <c r="D589" s="3" t="s">
        <v>2515</v>
      </c>
      <c r="E589" t="s">
        <v>2516</v>
      </c>
      <c r="F589" s="3" t="s">
        <v>2517</v>
      </c>
      <c r="G589">
        <v>2015</v>
      </c>
      <c r="H589" s="1" t="str">
        <f>HYPERLINK("http://dx.doi.org/10.1007/s11771-015-3021-9","http://dx.doi.org/10.1007/s11771-015-3021-9")</f>
        <v>http://dx.doi.org/10.1007/s11771-015-3021-9</v>
      </c>
      <c r="I589" s="2" t="s">
        <v>2696</v>
      </c>
      <c r="J589" s="2" t="s">
        <v>2697</v>
      </c>
    </row>
    <row r="590" spans="1:10" ht="280">
      <c r="A590">
        <v>638</v>
      </c>
      <c r="B590" t="s">
        <v>2518</v>
      </c>
      <c r="C590" t="s">
        <v>2519</v>
      </c>
      <c r="D590" s="3" t="s">
        <v>2520</v>
      </c>
      <c r="E590" t="s">
        <v>40</v>
      </c>
      <c r="F590" s="3" t="s">
        <v>2521</v>
      </c>
      <c r="G590">
        <v>2015</v>
      </c>
      <c r="H590" s="1" t="str">
        <f>HYPERLINK("http://dx.doi.org/10.1371/journal.pone.0143412","http://dx.doi.org/10.1371/journal.pone.0143412")</f>
        <v>http://dx.doi.org/10.1371/journal.pone.0143412</v>
      </c>
      <c r="I590" s="2" t="s">
        <v>2697</v>
      </c>
    </row>
    <row r="591" spans="1:10" ht="306" hidden="1">
      <c r="A591">
        <v>639</v>
      </c>
      <c r="B591" t="s">
        <v>2522</v>
      </c>
      <c r="C591" t="s">
        <v>2523</v>
      </c>
      <c r="D591" s="3" t="s">
        <v>2524</v>
      </c>
      <c r="E591" t="s">
        <v>2525</v>
      </c>
      <c r="F591" s="3" t="s">
        <v>2526</v>
      </c>
      <c r="G591">
        <v>2015</v>
      </c>
      <c r="H591" s="1" t="str">
        <f>HYPERLINK("http://dx.doi.org/10.1016/j.scs.2015.06.003","http://dx.doi.org/10.1016/j.scs.2015.06.003")</f>
        <v>http://dx.doi.org/10.1016/j.scs.2015.06.003</v>
      </c>
      <c r="I591" s="2" t="s">
        <v>2698</v>
      </c>
      <c r="J591" s="2" t="s">
        <v>2699</v>
      </c>
    </row>
    <row r="592" spans="1:10" ht="266" hidden="1">
      <c r="A592">
        <v>640</v>
      </c>
      <c r="B592" t="s">
        <v>2527</v>
      </c>
      <c r="C592" t="s">
        <v>2528</v>
      </c>
      <c r="D592" s="3" t="s">
        <v>2529</v>
      </c>
      <c r="E592" t="s">
        <v>413</v>
      </c>
      <c r="F592" s="3" t="s">
        <v>2530</v>
      </c>
      <c r="G592">
        <v>2015</v>
      </c>
      <c r="H592" s="1" t="str">
        <f>HYPERLINK("http://dx.doi.org/10.21273/HORTSCI.50.9.1297","http://dx.doi.org/10.21273/HORTSCI.50.9.1297")</f>
        <v>http://dx.doi.org/10.21273/HORTSCI.50.9.1297</v>
      </c>
      <c r="I592" s="2" t="s">
        <v>2696</v>
      </c>
    </row>
    <row r="593" spans="1:10" ht="210" hidden="1">
      <c r="A593">
        <v>641</v>
      </c>
      <c r="B593" t="s">
        <v>2531</v>
      </c>
      <c r="C593" t="s">
        <v>2532</v>
      </c>
      <c r="D593" s="3" t="s">
        <v>2533</v>
      </c>
      <c r="E593" t="s">
        <v>2534</v>
      </c>
      <c r="F593" s="3" t="s">
        <v>2535</v>
      </c>
      <c r="G593">
        <v>2015</v>
      </c>
      <c r="H593" s="1" t="str">
        <f>HYPERLINK("http://dx.doi.org/10.3390/ma8085240","http://dx.doi.org/10.3390/ma8085240")</f>
        <v>http://dx.doi.org/10.3390/ma8085240</v>
      </c>
      <c r="I593" s="2" t="s">
        <v>2696</v>
      </c>
    </row>
    <row r="594" spans="1:10" ht="397">
      <c r="A594">
        <v>642</v>
      </c>
      <c r="B594" t="s">
        <v>2536</v>
      </c>
      <c r="C594" t="s">
        <v>2537</v>
      </c>
      <c r="D594" s="3" t="s">
        <v>2538</v>
      </c>
      <c r="E594" t="s">
        <v>50</v>
      </c>
      <c r="F594" s="3" t="s">
        <v>2539</v>
      </c>
      <c r="G594">
        <v>2015</v>
      </c>
      <c r="H594" s="1" t="str">
        <f>HYPERLINK("http://dx.doi.org/10.1007/s13580-015-0035-z","http://dx.doi.org/10.1007/s13580-015-0035-z")</f>
        <v>http://dx.doi.org/10.1007/s13580-015-0035-z</v>
      </c>
      <c r="I594" s="2" t="s">
        <v>2697</v>
      </c>
      <c r="J594" s="2"/>
    </row>
    <row r="595" spans="1:10" ht="384">
      <c r="A595">
        <v>643</v>
      </c>
      <c r="B595" t="s">
        <v>2540</v>
      </c>
      <c r="C595" t="s">
        <v>2541</v>
      </c>
      <c r="D595" s="3" t="s">
        <v>2542</v>
      </c>
      <c r="E595" t="s">
        <v>183</v>
      </c>
      <c r="F595" s="3" t="s">
        <v>2543</v>
      </c>
      <c r="G595">
        <v>2015</v>
      </c>
      <c r="H595" s="1" t="str">
        <f>HYPERLINK("http://dx.doi.org/10.1016/j.scienta.2015.04.026","http://dx.doi.org/10.1016/j.scienta.2015.04.026")</f>
        <v>http://dx.doi.org/10.1016/j.scienta.2015.04.026</v>
      </c>
      <c r="I595" s="2" t="s">
        <v>2697</v>
      </c>
    </row>
    <row r="596" spans="1:10" ht="306">
      <c r="A596">
        <v>644</v>
      </c>
      <c r="B596" t="s">
        <v>2544</v>
      </c>
      <c r="C596" t="s">
        <v>2545</v>
      </c>
      <c r="D596" s="3" t="s">
        <v>2546</v>
      </c>
      <c r="E596" t="s">
        <v>183</v>
      </c>
      <c r="F596" s="3" t="s">
        <v>2547</v>
      </c>
      <c r="G596">
        <v>2015</v>
      </c>
      <c r="H596" s="1" t="str">
        <f>HYPERLINK("http://dx.doi.org/10.1016/j.scienta.2015.03.022","http://dx.doi.org/10.1016/j.scienta.2015.03.022")</f>
        <v>http://dx.doi.org/10.1016/j.scienta.2015.03.022</v>
      </c>
      <c r="I596" s="2" t="s">
        <v>2697</v>
      </c>
    </row>
    <row r="597" spans="1:10" ht="332">
      <c r="A597">
        <v>645</v>
      </c>
      <c r="B597" t="s">
        <v>2548</v>
      </c>
      <c r="C597" t="s">
        <v>2549</v>
      </c>
      <c r="D597" s="3" t="s">
        <v>2550</v>
      </c>
      <c r="E597" t="s">
        <v>1332</v>
      </c>
      <c r="F597" s="3" t="s">
        <v>2551</v>
      </c>
      <c r="G597">
        <v>2015</v>
      </c>
      <c r="H597" s="1" t="str">
        <f>HYPERLINK("http://dx.doi.org/10.1016/j.actaastro.2015.02.021","http://dx.doi.org/10.1016/j.actaastro.2015.02.021")</f>
        <v>http://dx.doi.org/10.1016/j.actaastro.2015.02.021</v>
      </c>
      <c r="I597" s="2" t="s">
        <v>2697</v>
      </c>
    </row>
    <row r="598" spans="1:10" ht="210" hidden="1">
      <c r="A598">
        <v>646</v>
      </c>
      <c r="B598" t="s">
        <v>2552</v>
      </c>
      <c r="C598" t="s">
        <v>2553</v>
      </c>
      <c r="D598" s="3" t="s">
        <v>2554</v>
      </c>
      <c r="E598" t="s">
        <v>2555</v>
      </c>
      <c r="F598" s="3" t="s">
        <v>2556</v>
      </c>
      <c r="G598">
        <v>2015</v>
      </c>
      <c r="H598" s="1" t="str">
        <f>HYPERLINK("http://dx.doi.org/10.1002/ep.12048","http://dx.doi.org/10.1002/ep.12048")</f>
        <v>http://dx.doi.org/10.1002/ep.12048</v>
      </c>
      <c r="I598" s="2" t="s">
        <v>2698</v>
      </c>
    </row>
    <row r="599" spans="1:10" ht="384" hidden="1">
      <c r="A599">
        <v>647</v>
      </c>
      <c r="B599" t="s">
        <v>2557</v>
      </c>
      <c r="C599" t="s">
        <v>2558</v>
      </c>
      <c r="D599" s="3" t="s">
        <v>2559</v>
      </c>
      <c r="E599" t="s">
        <v>2560</v>
      </c>
      <c r="F599" s="3" t="s">
        <v>2561</v>
      </c>
      <c r="G599">
        <v>2015</v>
      </c>
      <c r="H599" s="1" t="str">
        <f>HYPERLINK("http://dx.doi.org/10.1007/s13593-014-0273-y","http://dx.doi.org/10.1007/s13593-014-0273-y")</f>
        <v>http://dx.doi.org/10.1007/s13593-014-0273-y</v>
      </c>
      <c r="I599" s="2" t="s">
        <v>2699</v>
      </c>
      <c r="J599" s="2" t="s">
        <v>2698</v>
      </c>
    </row>
    <row r="600" spans="1:10" ht="332">
      <c r="A600">
        <v>648</v>
      </c>
      <c r="B600" t="s">
        <v>2562</v>
      </c>
      <c r="C600" t="s">
        <v>2563</v>
      </c>
      <c r="D600" s="3" t="s">
        <v>2564</v>
      </c>
      <c r="E600" t="s">
        <v>50</v>
      </c>
      <c r="F600" s="3" t="s">
        <v>2565</v>
      </c>
      <c r="G600">
        <v>2015</v>
      </c>
      <c r="H600" s="1" t="str">
        <f>HYPERLINK("http://dx.doi.org/10.1007/s13580-015-0130-1","http://dx.doi.org/10.1007/s13580-015-0130-1")</f>
        <v>http://dx.doi.org/10.1007/s13580-015-0130-1</v>
      </c>
      <c r="I600" s="2" t="s">
        <v>2697</v>
      </c>
    </row>
    <row r="601" spans="1:10" ht="319">
      <c r="A601">
        <v>649</v>
      </c>
      <c r="B601" t="s">
        <v>2566</v>
      </c>
      <c r="C601" t="s">
        <v>2567</v>
      </c>
      <c r="D601" s="3" t="s">
        <v>2568</v>
      </c>
      <c r="E601" t="s">
        <v>2403</v>
      </c>
      <c r="F601" s="3" t="s">
        <v>2569</v>
      </c>
      <c r="G601">
        <v>2015</v>
      </c>
      <c r="H601" s="1" t="str">
        <f>HYPERLINK("http://dx.doi.org/10.5511/plantbiotechnology.14.1210a","http://dx.doi.org/10.5511/plantbiotechnology.14.1210a")</f>
        <v>http://dx.doi.org/10.5511/plantbiotechnology.14.1210a</v>
      </c>
      <c r="I601" s="2" t="s">
        <v>2697</v>
      </c>
    </row>
    <row r="602" spans="1:10" ht="266" hidden="1">
      <c r="A602">
        <v>651</v>
      </c>
      <c r="B602" t="s">
        <v>2570</v>
      </c>
      <c r="C602" t="s">
        <v>2571</v>
      </c>
      <c r="D602" s="3" t="s">
        <v>2572</v>
      </c>
      <c r="E602" t="s">
        <v>2516</v>
      </c>
      <c r="F602" s="3" t="s">
        <v>2573</v>
      </c>
      <c r="G602">
        <v>2014</v>
      </c>
      <c r="H602" s="1" t="str">
        <f>HYPERLINK("http://dx.doi.org/10.1007/s11771-014-2430-5","http://dx.doi.org/10.1007/s11771-014-2430-5")</f>
        <v>http://dx.doi.org/10.1007/s11771-014-2430-5</v>
      </c>
      <c r="I602" s="2" t="s">
        <v>2696</v>
      </c>
    </row>
    <row r="603" spans="1:10" ht="196" hidden="1">
      <c r="A603">
        <v>652</v>
      </c>
      <c r="B603" t="s">
        <v>2574</v>
      </c>
      <c r="C603" t="s">
        <v>2575</v>
      </c>
      <c r="D603" s="3" t="s">
        <v>2576</v>
      </c>
      <c r="E603" t="s">
        <v>2577</v>
      </c>
      <c r="F603" s="3" t="s">
        <v>2578</v>
      </c>
      <c r="G603">
        <v>2014</v>
      </c>
      <c r="H603" s="1" t="str">
        <f>HYPERLINK("http://dx.doi.org/10.1016/j.cosust.2014.07.006","http://dx.doi.org/10.1016/j.cosust.2014.07.006")</f>
        <v>http://dx.doi.org/10.1016/j.cosust.2014.07.006</v>
      </c>
      <c r="I603" s="2" t="s">
        <v>2698</v>
      </c>
    </row>
    <row r="604" spans="1:10" ht="332" hidden="1">
      <c r="A604">
        <v>654</v>
      </c>
      <c r="B604" t="s">
        <v>2579</v>
      </c>
      <c r="C604" t="s">
        <v>2580</v>
      </c>
      <c r="D604" s="3" t="s">
        <v>2581</v>
      </c>
      <c r="E604" t="s">
        <v>30</v>
      </c>
      <c r="F604" s="3" t="s">
        <v>2582</v>
      </c>
      <c r="G604">
        <v>2014</v>
      </c>
      <c r="H604" s="1" t="str">
        <f>HYPERLINK("http://dx.doi.org/10.1016/j.jclepro.2014.06.010","http://dx.doi.org/10.1016/j.jclepro.2014.06.010")</f>
        <v>http://dx.doi.org/10.1016/j.jclepro.2014.06.010</v>
      </c>
      <c r="I604" s="2" t="s">
        <v>2698</v>
      </c>
      <c r="J604" s="2" t="s">
        <v>2696</v>
      </c>
    </row>
    <row r="605" spans="1:10" ht="266" hidden="1">
      <c r="A605">
        <v>655</v>
      </c>
      <c r="B605" t="s">
        <v>2583</v>
      </c>
      <c r="C605" t="s">
        <v>2584</v>
      </c>
      <c r="D605" s="3" t="s">
        <v>2585</v>
      </c>
      <c r="E605" t="s">
        <v>1949</v>
      </c>
      <c r="F605" s="3" t="s">
        <v>2586</v>
      </c>
      <c r="G605">
        <v>2014</v>
      </c>
      <c r="H605" s="1" t="str">
        <f>HYPERLINK("http://dx.doi.org/10.21273/HORTTECH.24.5.546","http://dx.doi.org/10.21273/HORTTECH.24.5.546")</f>
        <v>http://dx.doi.org/10.21273/HORTTECH.24.5.546</v>
      </c>
      <c r="I605" s="2" t="s">
        <v>2696</v>
      </c>
    </row>
    <row r="606" spans="1:10" ht="280" hidden="1">
      <c r="A606">
        <v>656</v>
      </c>
      <c r="B606" t="s">
        <v>2587</v>
      </c>
      <c r="C606" t="s">
        <v>2588</v>
      </c>
      <c r="D606" s="3" t="s">
        <v>2589</v>
      </c>
      <c r="E606" t="s">
        <v>2590</v>
      </c>
      <c r="F606" s="3" t="s">
        <v>2591</v>
      </c>
      <c r="G606">
        <v>2014</v>
      </c>
      <c r="H606" s="1" t="str">
        <f>HYPERLINK("http://dx.doi.org/10.1109/TPS.2014.2326599","http://dx.doi.org/10.1109/TPS.2014.2326599")</f>
        <v>http://dx.doi.org/10.1109/TPS.2014.2326599</v>
      </c>
      <c r="I606" s="2" t="s">
        <v>2696</v>
      </c>
    </row>
    <row r="607" spans="1:10" ht="319">
      <c r="A607">
        <v>657</v>
      </c>
      <c r="B607" t="s">
        <v>2592</v>
      </c>
      <c r="C607" t="s">
        <v>2593</v>
      </c>
      <c r="D607" s="3" t="s">
        <v>2594</v>
      </c>
      <c r="E607" t="s">
        <v>50</v>
      </c>
      <c r="F607" s="3" t="s">
        <v>2595</v>
      </c>
      <c r="G607">
        <v>2014</v>
      </c>
      <c r="H607" s="1" t="str">
        <f>HYPERLINK("http://dx.doi.org/10.1007/s13580-014-1016-3","http://dx.doi.org/10.1007/s13580-014-1016-3")</f>
        <v>http://dx.doi.org/10.1007/s13580-014-1016-3</v>
      </c>
      <c r="I607" s="2" t="s">
        <v>2697</v>
      </c>
    </row>
    <row r="608" spans="1:10" ht="371" hidden="1">
      <c r="A608">
        <v>658</v>
      </c>
      <c r="B608" t="s">
        <v>2596</v>
      </c>
      <c r="C608" t="s">
        <v>2597</v>
      </c>
      <c r="D608" s="3" t="s">
        <v>2598</v>
      </c>
      <c r="E608" t="s">
        <v>16</v>
      </c>
      <c r="F608" s="3" t="s">
        <v>2599</v>
      </c>
      <c r="G608">
        <v>2014</v>
      </c>
      <c r="H608" s="1" t="str">
        <f>HYPERLINK("http://dx.doi.org/10.1016/j.apenergy.2014.03.017","http://dx.doi.org/10.1016/j.apenergy.2014.03.017")</f>
        <v>http://dx.doi.org/10.1016/j.apenergy.2014.03.017</v>
      </c>
      <c r="I608" s="2" t="s">
        <v>2696</v>
      </c>
    </row>
    <row r="609" spans="1:10" ht="224" hidden="1">
      <c r="A609">
        <v>661</v>
      </c>
      <c r="B609" t="s">
        <v>2600</v>
      </c>
      <c r="C609" t="s">
        <v>2601</v>
      </c>
      <c r="D609" s="3" t="s">
        <v>2602</v>
      </c>
      <c r="E609" t="s">
        <v>2603</v>
      </c>
      <c r="F609" s="3" t="s">
        <v>2604</v>
      </c>
      <c r="G609">
        <v>2014</v>
      </c>
      <c r="H609" s="1" t="str">
        <f>HYPERLINK("http://dx.doi.org/10.1049/iet-com.2013.0995","http://dx.doi.org/10.1049/iet-com.2013.0995")</f>
        <v>http://dx.doi.org/10.1049/iet-com.2013.0995</v>
      </c>
      <c r="I609" s="2" t="s">
        <v>2696</v>
      </c>
    </row>
    <row r="610" spans="1:10" ht="293">
      <c r="A610">
        <v>662</v>
      </c>
      <c r="B610" t="s">
        <v>2605</v>
      </c>
      <c r="C610" t="s">
        <v>2606</v>
      </c>
      <c r="D610" s="3" t="s">
        <v>2607</v>
      </c>
      <c r="E610" t="s">
        <v>749</v>
      </c>
      <c r="F610" s="3" t="s">
        <v>2608</v>
      </c>
      <c r="G610">
        <v>2014</v>
      </c>
      <c r="H610" s="1" t="str">
        <f>HYPERLINK("http://dx.doi.org/10.1002/jsfa.6227","http://dx.doi.org/10.1002/jsfa.6227")</f>
        <v>http://dx.doi.org/10.1002/jsfa.6227</v>
      </c>
      <c r="I610" s="2" t="s">
        <v>2697</v>
      </c>
    </row>
    <row r="611" spans="1:10" ht="293" hidden="1">
      <c r="A611">
        <v>663</v>
      </c>
      <c r="B611" t="s">
        <v>2609</v>
      </c>
      <c r="C611" t="s">
        <v>2610</v>
      </c>
      <c r="D611" s="3" t="s">
        <v>2611</v>
      </c>
      <c r="E611" t="s">
        <v>2612</v>
      </c>
      <c r="F611" s="3" t="s">
        <v>2613</v>
      </c>
      <c r="G611">
        <v>2014</v>
      </c>
      <c r="H611" s="1" t="s">
        <v>8</v>
      </c>
      <c r="I611" s="2" t="s">
        <v>2696</v>
      </c>
      <c r="J611" s="2" t="s">
        <v>2698</v>
      </c>
    </row>
    <row r="612" spans="1:10" ht="224" hidden="1">
      <c r="A612">
        <v>664</v>
      </c>
      <c r="B612" t="s">
        <v>2614</v>
      </c>
      <c r="C612" t="s">
        <v>2615</v>
      </c>
      <c r="D612" s="3" t="s">
        <v>2616</v>
      </c>
      <c r="E612" t="s">
        <v>2617</v>
      </c>
      <c r="F612" s="3" t="s">
        <v>2618</v>
      </c>
      <c r="G612">
        <v>2014</v>
      </c>
      <c r="H612" s="1" t="str">
        <f>HYPERLINK("http://dx.doi.org/10.1155/2014/801590","http://dx.doi.org/10.1155/2014/801590")</f>
        <v>http://dx.doi.org/10.1155/2014/801590</v>
      </c>
      <c r="I612" s="2" t="s">
        <v>2696</v>
      </c>
    </row>
    <row r="613" spans="1:10" ht="280" hidden="1">
      <c r="A613">
        <v>665</v>
      </c>
      <c r="B613" t="s">
        <v>2619</v>
      </c>
      <c r="C613" t="s">
        <v>2620</v>
      </c>
      <c r="D613" s="3" t="s">
        <v>2621</v>
      </c>
      <c r="E613" t="s">
        <v>11</v>
      </c>
      <c r="F613" s="3" t="s">
        <v>2622</v>
      </c>
      <c r="G613">
        <v>2014</v>
      </c>
      <c r="H613" s="1" t="str">
        <f>HYPERLINK("http://dx.doi.org/10.1016/j.biosystemseng.2013.08.011","http://dx.doi.org/10.1016/j.biosystemseng.2013.08.011")</f>
        <v>http://dx.doi.org/10.1016/j.biosystemseng.2013.08.011</v>
      </c>
      <c r="I613" s="2" t="s">
        <v>2696</v>
      </c>
    </row>
    <row r="614" spans="1:10" ht="293">
      <c r="A614">
        <v>666</v>
      </c>
      <c r="B614" t="s">
        <v>2623</v>
      </c>
      <c r="C614" t="s">
        <v>2624</v>
      </c>
      <c r="D614" s="3" t="s">
        <v>2625</v>
      </c>
      <c r="E614" t="s">
        <v>50</v>
      </c>
      <c r="F614" s="3" t="s">
        <v>2626</v>
      </c>
      <c r="G614">
        <v>2013</v>
      </c>
      <c r="H614" s="1" t="str">
        <f>HYPERLINK("http://dx.doi.org/10.1007/s13580-013-0109-8","http://dx.doi.org/10.1007/s13580-013-0109-8")</f>
        <v>http://dx.doi.org/10.1007/s13580-013-0109-8</v>
      </c>
      <c r="I614" s="2" t="s">
        <v>2697</v>
      </c>
    </row>
    <row r="615" spans="1:10" ht="210" hidden="1">
      <c r="A615">
        <v>667</v>
      </c>
      <c r="B615" t="s">
        <v>1849</v>
      </c>
      <c r="C615" t="s">
        <v>1850</v>
      </c>
      <c r="D615" s="3" t="s">
        <v>2627</v>
      </c>
      <c r="E615" t="s">
        <v>2628</v>
      </c>
      <c r="F615" s="3" t="s">
        <v>2629</v>
      </c>
      <c r="G615">
        <v>2013</v>
      </c>
      <c r="H615" s="1" t="str">
        <f>HYPERLINK("http://dx.doi.org/10.2183/pjab.89.447","http://dx.doi.org/10.2183/pjab.89.447")</f>
        <v>http://dx.doi.org/10.2183/pjab.89.447</v>
      </c>
      <c r="I615" s="2" t="s">
        <v>2698</v>
      </c>
      <c r="J615" s="2" t="s">
        <v>2696</v>
      </c>
    </row>
    <row r="616" spans="1:10" ht="358">
      <c r="A616">
        <v>668</v>
      </c>
      <c r="B616" t="s">
        <v>2630</v>
      </c>
      <c r="C616" t="s">
        <v>2631</v>
      </c>
      <c r="D616" s="3" t="s">
        <v>2632</v>
      </c>
      <c r="E616" t="s">
        <v>50</v>
      </c>
      <c r="F616" s="3" t="s">
        <v>2633</v>
      </c>
      <c r="G616">
        <v>2013</v>
      </c>
      <c r="H616" s="1" t="str">
        <f>HYPERLINK("http://dx.doi.org/10.1007/s13580-013-0095-x","http://dx.doi.org/10.1007/s13580-013-0095-x")</f>
        <v>http://dx.doi.org/10.1007/s13580-013-0095-x</v>
      </c>
      <c r="I616" s="2" t="s">
        <v>2697</v>
      </c>
    </row>
    <row r="617" spans="1:10" ht="397">
      <c r="A617">
        <v>669</v>
      </c>
      <c r="B617" t="s">
        <v>2634</v>
      </c>
      <c r="C617" t="s">
        <v>2635</v>
      </c>
      <c r="D617" s="3" t="s">
        <v>2636</v>
      </c>
      <c r="E617" t="s">
        <v>50</v>
      </c>
      <c r="F617" s="3" t="s">
        <v>2637</v>
      </c>
      <c r="G617">
        <v>2013</v>
      </c>
      <c r="H617" s="1" t="str">
        <f>HYPERLINK("http://dx.doi.org/10.1007/s13580-013-0031-0","http://dx.doi.org/10.1007/s13580-013-0031-0")</f>
        <v>http://dx.doi.org/10.1007/s13580-013-0031-0</v>
      </c>
      <c r="I617" s="2" t="s">
        <v>2697</v>
      </c>
    </row>
    <row r="618" spans="1:10" ht="409.6">
      <c r="A618">
        <v>670</v>
      </c>
      <c r="B618" t="s">
        <v>2638</v>
      </c>
      <c r="C618" t="s">
        <v>2639</v>
      </c>
      <c r="D618" s="3" t="s">
        <v>2640</v>
      </c>
      <c r="E618" t="s">
        <v>413</v>
      </c>
      <c r="F618" s="3" t="s">
        <v>2641</v>
      </c>
      <c r="G618">
        <v>2013</v>
      </c>
      <c r="H618" s="1" t="s">
        <v>8</v>
      </c>
      <c r="I618" s="2" t="s">
        <v>2697</v>
      </c>
    </row>
    <row r="619" spans="1:10" ht="140" hidden="1">
      <c r="A619">
        <v>672</v>
      </c>
      <c r="B619" t="s">
        <v>2642</v>
      </c>
      <c r="C619" t="s">
        <v>2643</v>
      </c>
      <c r="D619" s="3" t="s">
        <v>2644</v>
      </c>
      <c r="E619" t="s">
        <v>2645</v>
      </c>
      <c r="F619" s="3" t="s">
        <v>2646</v>
      </c>
      <c r="G619">
        <v>2013</v>
      </c>
      <c r="H619" s="1" t="str">
        <f>HYPERLINK("http://dx.doi.org/10.1080/0312407X.2012.716448","http://dx.doi.org/10.1080/0312407X.2012.716448")</f>
        <v>http://dx.doi.org/10.1080/0312407X.2012.716448</v>
      </c>
      <c r="I619" s="2" t="s">
        <v>2699</v>
      </c>
      <c r="J619" s="2" t="s">
        <v>2698</v>
      </c>
    </row>
    <row r="620" spans="1:10" ht="266">
      <c r="A620">
        <v>673</v>
      </c>
      <c r="B620" t="s">
        <v>2647</v>
      </c>
      <c r="C620" t="s">
        <v>2648</v>
      </c>
      <c r="D620" s="3" t="s">
        <v>2649</v>
      </c>
      <c r="E620" t="s">
        <v>2403</v>
      </c>
      <c r="F620" s="3" t="s">
        <v>2650</v>
      </c>
      <c r="G620">
        <v>2013</v>
      </c>
      <c r="H620" s="1" t="str">
        <f>HYPERLINK("http://dx.doi.org/10.5511/plantbiotechnology.12.1021a","http://dx.doi.org/10.5511/plantbiotechnology.12.1021a")</f>
        <v>http://dx.doi.org/10.5511/plantbiotechnology.12.1021a</v>
      </c>
      <c r="I620" s="2" t="s">
        <v>2697</v>
      </c>
    </row>
    <row r="621" spans="1:10" ht="280" hidden="1">
      <c r="A621">
        <v>675</v>
      </c>
      <c r="B621" t="s">
        <v>2651</v>
      </c>
      <c r="C621" t="s">
        <v>2652</v>
      </c>
      <c r="D621" s="3" t="s">
        <v>2653</v>
      </c>
      <c r="E621" t="s">
        <v>544</v>
      </c>
      <c r="F621" s="3" t="s">
        <v>2654</v>
      </c>
      <c r="G621">
        <v>2012</v>
      </c>
      <c r="H621" s="1" t="str">
        <f>HYPERLINK("http://dx.doi.org/10.3390/s121013349","http://dx.doi.org/10.3390/s121013349")</f>
        <v>http://dx.doi.org/10.3390/s121013349</v>
      </c>
      <c r="I621" s="2" t="s">
        <v>2696</v>
      </c>
    </row>
    <row r="622" spans="1:10" ht="293">
      <c r="A622">
        <v>676</v>
      </c>
      <c r="B622" t="s">
        <v>2655</v>
      </c>
      <c r="C622" t="s">
        <v>2656</v>
      </c>
      <c r="D622" s="3" t="s">
        <v>2657</v>
      </c>
      <c r="E622" t="s">
        <v>50</v>
      </c>
      <c r="F622" s="3" t="s">
        <v>2658</v>
      </c>
      <c r="G622">
        <v>2012</v>
      </c>
      <c r="H622" s="1" t="str">
        <f>HYPERLINK("http://dx.doi.org/10.1007/s13580-012-0691-1","http://dx.doi.org/10.1007/s13580-012-0691-1")</f>
        <v>http://dx.doi.org/10.1007/s13580-012-0691-1</v>
      </c>
      <c r="I622" s="2" t="s">
        <v>2697</v>
      </c>
    </row>
    <row r="623" spans="1:10" ht="280">
      <c r="A623">
        <v>677</v>
      </c>
      <c r="B623" t="s">
        <v>2659</v>
      </c>
      <c r="C623" t="s">
        <v>2660</v>
      </c>
      <c r="D623" s="3" t="s">
        <v>2661</v>
      </c>
      <c r="E623" t="s">
        <v>2662</v>
      </c>
      <c r="F623" s="3" t="s">
        <v>2663</v>
      </c>
      <c r="G623">
        <v>2012</v>
      </c>
      <c r="H623" s="1" t="str">
        <f>HYPERLINK("http://dx.doi.org/10.1016/j.jplph.2011.11.002","http://dx.doi.org/10.1016/j.jplph.2011.11.002")</f>
        <v>http://dx.doi.org/10.1016/j.jplph.2011.11.002</v>
      </c>
      <c r="I623" s="2" t="s">
        <v>2697</v>
      </c>
    </row>
    <row r="624" spans="1:10" ht="196">
      <c r="A624">
        <v>678</v>
      </c>
      <c r="B624" t="s">
        <v>2664</v>
      </c>
      <c r="C624" t="s">
        <v>2665</v>
      </c>
      <c r="D624" s="3" t="s">
        <v>2666</v>
      </c>
      <c r="E624" t="s">
        <v>1949</v>
      </c>
      <c r="F624" s="3" t="s">
        <v>2667</v>
      </c>
      <c r="G624">
        <v>2012</v>
      </c>
      <c r="H624" s="1" t="str">
        <f>HYPERLINK("http://dx.doi.org/10.21273/HORTTECH.22.1.121","http://dx.doi.org/10.21273/HORTTECH.22.1.121")</f>
        <v>http://dx.doi.org/10.21273/HORTTECH.22.1.121</v>
      </c>
      <c r="I624" s="2" t="s">
        <v>2697</v>
      </c>
    </row>
    <row r="625" spans="1:11" ht="266">
      <c r="A625">
        <v>679</v>
      </c>
      <c r="B625" t="s">
        <v>2668</v>
      </c>
      <c r="C625" t="s">
        <v>2669</v>
      </c>
      <c r="D625" s="3" t="s">
        <v>2670</v>
      </c>
      <c r="E625" t="s">
        <v>2110</v>
      </c>
      <c r="F625" s="3" t="s">
        <v>2671</v>
      </c>
      <c r="G625">
        <v>2012</v>
      </c>
      <c r="H625" s="1" t="str">
        <f>HYPERLINK("http://dx.doi.org/10.1007/s11240-011-0033-5","http://dx.doi.org/10.1007/s11240-011-0033-5")</f>
        <v>http://dx.doi.org/10.1007/s11240-011-0033-5</v>
      </c>
      <c r="I625" s="2" t="s">
        <v>2697</v>
      </c>
    </row>
    <row r="626" spans="1:11" ht="409.6" hidden="1">
      <c r="A626">
        <v>682</v>
      </c>
      <c r="B626" t="s">
        <v>2672</v>
      </c>
      <c r="C626" t="s">
        <v>2673</v>
      </c>
      <c r="D626" s="3" t="s">
        <v>2674</v>
      </c>
      <c r="E626" t="s">
        <v>2675</v>
      </c>
      <c r="F626" s="3" t="s">
        <v>2676</v>
      </c>
      <c r="G626">
        <v>2011</v>
      </c>
      <c r="H626" s="1" t="str">
        <f>HYPERLINK("http://dx.doi.org/10.1007/s00003-010-0654-3","http://dx.doi.org/10.1007/s00003-010-0654-3")</f>
        <v>http://dx.doi.org/10.1007/s00003-010-0654-3</v>
      </c>
      <c r="I626" s="2" t="s">
        <v>2698</v>
      </c>
      <c r="J626" s="2" t="s">
        <v>2696</v>
      </c>
      <c r="K626" s="2" t="s">
        <v>2699</v>
      </c>
    </row>
    <row r="627" spans="1:11" ht="332" hidden="1">
      <c r="A627">
        <v>683</v>
      </c>
      <c r="B627" t="s">
        <v>2677</v>
      </c>
      <c r="C627" t="s">
        <v>2678</v>
      </c>
      <c r="D627" s="3" t="s">
        <v>2679</v>
      </c>
      <c r="E627" t="s">
        <v>2675</v>
      </c>
      <c r="F627" s="3" t="s">
        <v>2680</v>
      </c>
      <c r="G627">
        <v>2011</v>
      </c>
      <c r="H627" s="1" t="str">
        <f>HYPERLINK("http://dx.doi.org/10.1007/s00003-011-0691-6","http://dx.doi.org/10.1007/s00003-011-0691-6")</f>
        <v>http://dx.doi.org/10.1007/s00003-011-0691-6</v>
      </c>
      <c r="I627" s="2" t="s">
        <v>2698</v>
      </c>
      <c r="J627" s="2" t="s">
        <v>2696</v>
      </c>
      <c r="K627" s="2" t="s">
        <v>2699</v>
      </c>
    </row>
    <row r="628" spans="1:11" ht="332">
      <c r="A628">
        <v>684</v>
      </c>
      <c r="B628" t="s">
        <v>2681</v>
      </c>
      <c r="C628" t="s">
        <v>2682</v>
      </c>
      <c r="D628" s="3" t="s">
        <v>2683</v>
      </c>
      <c r="E628" t="s">
        <v>2370</v>
      </c>
      <c r="F628" s="3" t="s">
        <v>2684</v>
      </c>
      <c r="G628">
        <v>2010</v>
      </c>
      <c r="H628" s="1" t="s">
        <v>8</v>
      </c>
      <c r="I628" s="2" t="s">
        <v>2697</v>
      </c>
    </row>
    <row r="629" spans="1:11" ht="182">
      <c r="A629">
        <v>685</v>
      </c>
      <c r="B629" t="s">
        <v>2685</v>
      </c>
      <c r="C629" t="s">
        <v>2686</v>
      </c>
      <c r="D629" s="3" t="s">
        <v>2687</v>
      </c>
      <c r="E629" t="s">
        <v>1349</v>
      </c>
      <c r="F629" s="3" t="s">
        <v>2688</v>
      </c>
      <c r="G629">
        <v>2010</v>
      </c>
      <c r="H629" s="1" t="str">
        <f>HYPERLINK("http://dx.doi.org/10.1021/jf101874b","http://dx.doi.org/10.1021/jf101874b")</f>
        <v>http://dx.doi.org/10.1021/jf101874b</v>
      </c>
      <c r="I629" s="2" t="s">
        <v>2697</v>
      </c>
    </row>
    <row r="630" spans="1:11" ht="293">
      <c r="A630">
        <v>686</v>
      </c>
      <c r="B630" t="s">
        <v>2689</v>
      </c>
      <c r="C630" t="s">
        <v>2690</v>
      </c>
      <c r="D630" s="3" t="s">
        <v>2691</v>
      </c>
      <c r="E630" t="s">
        <v>2692</v>
      </c>
      <c r="F630" s="3" t="s">
        <v>2693</v>
      </c>
      <c r="G630">
        <v>2010</v>
      </c>
      <c r="H630" s="1" t="s">
        <v>8</v>
      </c>
      <c r="I630" s="2" t="s">
        <v>2697</v>
      </c>
    </row>
  </sheetData>
  <autoFilter ref="I1:K630" xr:uid="{C27E9930-7E61-124C-AF76-77E110225134}">
    <filterColumn colId="0">
      <filters>
        <filter val="Biological"/>
      </filters>
    </filterColumn>
  </autoFilter>
  <phoneticPr fontId="1" type="noConversion"/>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C113423A-393D-E84A-847C-9743E43053DE}">
          <x14:formula1>
            <xm:f>Sheet1!$A$2:$A$5</xm:f>
          </x14:formula1>
          <xm:sqref>I2:K1048576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sqref="A1:A1048576"/>
    </sheetView>
  </sheetViews>
  <sheetFormatPr baseColWidth="10" defaultRowHeight="13"/>
  <cols>
    <col min="1" max="1" width="21" customWidth="1"/>
  </cols>
  <sheetData>
    <row r="1" spans="1:1">
      <c r="A1" s="2" t="s">
        <v>2695</v>
      </c>
    </row>
    <row r="2" spans="1:1">
      <c r="A2" s="2" t="s">
        <v>2696</v>
      </c>
    </row>
    <row r="3" spans="1:1">
      <c r="A3" s="2" t="s">
        <v>2697</v>
      </c>
    </row>
    <row r="4" spans="1:1">
      <c r="A4" s="2" t="s">
        <v>2698</v>
      </c>
    </row>
    <row r="5" spans="1:1">
      <c r="A5" s="2" t="s">
        <v>2699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2022-11-14T16:11:54Z</dcterms:created>
  <dcterms:modified xsi:type="dcterms:W3CDTF">2022-11-18T02:38:35Z</dcterms:modified>
</cp:coreProperties>
</file>