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1.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9" codeName="{86775576-380E-6D1A-C2AD-4B01C3CC8BE0}"/>
  <workbookPr codeName="ThisWorkbook" defaultThemeVersion="166925"/>
  <mc:AlternateContent xmlns:mc="http://schemas.openxmlformats.org/markup-compatibility/2006">
    <mc:Choice Requires="x15">
      <x15ac:absPath xmlns:x15ac="http://schemas.microsoft.com/office/spreadsheetml/2010/11/ac" url="/Users/lshab10/Dropbox/Occam Research US/Avalon Health Economics LLC/Projects/AHE0337 - Idorsia Daridorexant/Avalon INTERNAL Daridorexant Data/CEM manuscript/"/>
    </mc:Choice>
  </mc:AlternateContent>
  <xr:revisionPtr revIDLastSave="0" documentId="13_ncr:1_{7E655C3D-1CA7-5742-99A6-21BFB46FB03B}" xr6:coauthVersionLast="47" xr6:coauthVersionMax="47" xr10:uidLastSave="{00000000-0000-0000-0000-000000000000}"/>
  <bookViews>
    <workbookView xWindow="1440" yWindow="1580" windowWidth="28800" windowHeight="15840" xr2:uid="{2BFCA66B-FF14-7D43-8105-5B87C454B10A}"/>
  </bookViews>
  <sheets>
    <sheet name="Title" sheetId="17" r:id="rId1"/>
    <sheet name="Background" sheetId="18" r:id="rId2"/>
    <sheet name="Guide" sheetId="19" r:id="rId3"/>
    <sheet name="Model | Parameters" sheetId="3" r:id="rId4"/>
    <sheet name="Model | ISI analysis (live)" sheetId="5" r:id="rId5"/>
    <sheet name="Model | 1 Year" sheetId="23" r:id="rId6"/>
    <sheet name="Model | Lifetime" sheetId="28" r:id="rId7"/>
    <sheet name="Model | Simulation" sheetId="26" r:id="rId8"/>
    <sheet name="Ref | NHWS utility" sheetId="30" r:id="rId9"/>
    <sheet name="Ref | NHWS utility2" sheetId="46" r:id="rId10"/>
    <sheet name="Ref | NHWS RU" sheetId="15" r:id="rId11"/>
    <sheet name="Ref | SDS" sheetId="33" r:id="rId12"/>
    <sheet name="Ref | AEs" sheetId="48" r:id="rId13"/>
    <sheet name="Ref | Study 303" sheetId="29" r:id="rId14"/>
    <sheet name="Ref | ONS Lifetable" sheetId="27" r:id="rId15"/>
    <sheet name="Ref | DSA" sheetId="39" r:id="rId16"/>
    <sheet name="Ref | Mixed Model" sheetId="50" r:id="rId17"/>
    <sheet name="GRAPH | 1 year ISI" sheetId="24" r:id="rId18"/>
    <sheet name="GRAPH | 1 year QALY" sheetId="25" r:id="rId19"/>
    <sheet name="GRAPH | HCRU" sheetId="37" r:id="rId20"/>
    <sheet name="GRAPH | HCRU Δ" sheetId="38" r:id="rId21"/>
    <sheet name="GRAPH | WPAI" sheetId="44" r:id="rId22"/>
    <sheet name="GRAPH | WPAI Δ" sheetId="43" r:id="rId23"/>
    <sheet name="GRAPH | CE Plane" sheetId="32" r:id="rId24"/>
    <sheet name="GRAPH | Tornado" sheetId="42" r:id="rId25"/>
    <sheet name="GRAPH | SDS" sheetId="49" r:id="rId26"/>
    <sheet name="GRAPH | Waning" sheetId="47" r:id="rId27"/>
  </sheets>
  <definedNames>
    <definedName name="_303ISI12m">'Model | Parameters'!$C$24</definedName>
    <definedName name="_303ISI12m2">'Model | Parameters'!#REF!</definedName>
    <definedName name="_303ISI12mPLA">'Model | Parameters'!$C$27</definedName>
    <definedName name="_303ISI6m">'Model | Parameters'!$C$22</definedName>
    <definedName name="_303ISI6m2">'Model | Parameters'!#REF!</definedName>
    <definedName name="_303ISI6mPLA">'Model | Parameters'!$C$25</definedName>
    <definedName name="_303ISI9m">'Model | Parameters'!$C$23</definedName>
    <definedName name="_303ISI9m2">'Model | Parameters'!#REF!</definedName>
    <definedName name="_303ISI9mPLA">'Model | Parameters'!$C$26</definedName>
    <definedName name="Age">'Ref | ONS Lifetable'!$B$30:$C$40</definedName>
    <definedName name="ALDVMM">'Ref | NHWS utility2'!$U$8:$W$29</definedName>
    <definedName name="annualWR">'Model | Parameters'!$C$64</definedName>
    <definedName name="baseISI">'Model | Parameters'!$C$9</definedName>
    <definedName name="baseISI2">'Model | Parameters'!#REF!</definedName>
    <definedName name="baseISIadj">'Model | Parameters'!$C$18</definedName>
    <definedName name="baseISIadjM1">'Model | Parameters'!$C$13</definedName>
    <definedName name="Beta1">'Ref | NHWS utility2'!$C$31:$C$50</definedName>
    <definedName name="Beta2">'Ref | NHWS utility2'!$C$51:$C$70</definedName>
    <definedName name="Beta3">'Ref | NHWS utility2'!$C$71:$C$90</definedName>
    <definedName name="blw6hrs">'Model | Parameters'!$C$71</definedName>
    <definedName name="btw67_">'Model | Parameters'!$C$70</definedName>
    <definedName name="cAE">'Model | Parameters'!$C$56</definedName>
    <definedName name="cDR">'Model | Parameters'!$C$79</definedName>
    <definedName name="challenge">'Model | Lifetime'!$G$4</definedName>
    <definedName name="cons">'Model | Parameters'!$C$17</definedName>
    <definedName name="consAbsent">'Model | Parameters'!$C$60</definedName>
    <definedName name="consER">'Model | Parameters'!$C$44</definedName>
    <definedName name="consGP">'Model | Parameters'!$C$42</definedName>
    <definedName name="consIP">'Model | Parameters'!$C$46</definedName>
    <definedName name="consM1">'Model | Parameters'!$C$12</definedName>
    <definedName name="consPresent">'Model | Parameters'!$C$62</definedName>
    <definedName name="consU">'Model | Parameters'!$C$37</definedName>
    <definedName name="covarsC">'Ref | NHWS utility2'!$C$6:$C$25</definedName>
    <definedName name="covarsP">'Ref | NHWS utility2'!$C$6:$C$25</definedName>
    <definedName name="D50mg">'Model | Parameters'!$C$19</definedName>
    <definedName name="D50mgM1">'Model | Parameters'!$C$14</definedName>
    <definedName name="D67_">'Model | Parameters'!$C$76</definedName>
    <definedName name="D7plus">'Model | Parameters'!$C$75</definedName>
    <definedName name="Dblw6">'Model | Parameters'!$C$77</definedName>
    <definedName name="delta1">'Ref | NHWS utility2'!$C$91:$C$110</definedName>
    <definedName name="delta2">'Ref | NHWS utility2'!$C$111:$C$130</definedName>
    <definedName name="dom1_">'Model | Parameters'!$C$30</definedName>
    <definedName name="dom12_">'Model | Parameters'!$C$34</definedName>
    <definedName name="dom3_">'Model | Parameters'!$C$31</definedName>
    <definedName name="dom6_">'Model | Parameters'!$C$32</definedName>
    <definedName name="dom9_">'Model | Parameters'!$C$33</definedName>
    <definedName name="doRate">'Model | Parameters'!$C$68</definedName>
    <definedName name="hourlyWR">'Model | Parameters'!$C$65</definedName>
    <definedName name="hrsTrain">'Model | Parameters'!$C$52</definedName>
    <definedName name="IDX" localSheetId="16">'Ref | Mixed Model'!$B$3</definedName>
    <definedName name="ISItotAbsent">'Model | Parameters'!$C$61</definedName>
    <definedName name="ISItotER">'Model | Parameters'!$C$45</definedName>
    <definedName name="ISItotGP">'Model | Parameters'!$C$43</definedName>
    <definedName name="ISItotIP">'Model | Parameters'!$C$47</definedName>
    <definedName name="ISItotPresent">'Model | Parameters'!$C$63</definedName>
    <definedName name="ISItotU">'Model | Parameters'!$C$38</definedName>
    <definedName name="Lifetable" comment="Averaged over men and women">'Ref | ONS Lifetable'!$B$30:$D$40</definedName>
    <definedName name="mnAge">'Model | Parameters'!$C$78</definedName>
    <definedName name="NT67_">'Model | Parameters'!$C$73</definedName>
    <definedName name="NT7plus">'Model | Parameters'!$C$72</definedName>
    <definedName name="NTblw6">'Model | Parameters'!$C$74</definedName>
    <definedName name="oDR">'Model | Parameters'!$C$80</definedName>
    <definedName name="perTot">'Model | Parameters'!$C$51</definedName>
    <definedName name="ps1.1">'Ref | NHWS utility2'!$J$7</definedName>
    <definedName name="psi.2">'Ref | NHWS utility2'!$K$7</definedName>
    <definedName name="ptsAnnum">'Model | Parameters'!$C$53</definedName>
    <definedName name="qAE">'Model | Parameters'!$C$57</definedName>
    <definedName name="sgME">'Model | Parameters'!#REF!</definedName>
    <definedName name="sgMEM1">'Model | Parameters'!#REF!</definedName>
    <definedName name="sgTxint">'Model | Parameters'!#REF!</definedName>
    <definedName name="sgTxintM1">'Model | Parameters'!#REF!</definedName>
    <definedName name="sigma1">'Ref | NHWS utility2'!$C$134</definedName>
    <definedName name="sigma2">'Ref | NHWS utility2'!$C$135</definedName>
    <definedName name="sigma3">'Ref | NHWS utility2'!$C$136</definedName>
    <definedName name="TxC">'Model | Parameters'!$C$41</definedName>
    <definedName name="ucER">'Model | Parameters'!$C$49</definedName>
    <definedName name="ucGP">'Model | Parameters'!$C$48</definedName>
    <definedName name="ucIP">'Model | Parameters'!$C$50</definedName>
    <definedName name="waning" localSheetId="3">'Model | Parameters'!$C$69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 i="50" l="1"/>
  <c r="C39" i="50"/>
  <c r="C38" i="50"/>
  <c r="C37" i="50"/>
  <c r="C36" i="50"/>
  <c r="K1016" i="26"/>
  <c r="J1016" i="26"/>
  <c r="M1010" i="26" l="1"/>
  <c r="N1010" i="26"/>
  <c r="M1011" i="26"/>
  <c r="N1011" i="26"/>
  <c r="M1012" i="26"/>
  <c r="N1012" i="26"/>
  <c r="M1013" i="26"/>
  <c r="N1013" i="26"/>
  <c r="L1013" i="26"/>
  <c r="L1012" i="26"/>
  <c r="L1011" i="26"/>
  <c r="L1010" i="26"/>
  <c r="H90" i="33"/>
  <c r="C80" i="33"/>
  <c r="L110" i="33"/>
  <c r="L109" i="33"/>
  <c r="L108" i="33"/>
  <c r="L105" i="33"/>
  <c r="L104" i="33"/>
  <c r="L103" i="33"/>
  <c r="L100" i="33"/>
  <c r="L99" i="33"/>
  <c r="L98" i="33"/>
  <c r="L95" i="33"/>
  <c r="L94" i="33"/>
  <c r="L93" i="33"/>
  <c r="L89" i="33"/>
  <c r="L90" i="33"/>
  <c r="L88" i="33"/>
  <c r="D90" i="33"/>
  <c r="E90" i="33"/>
  <c r="F90" i="33"/>
  <c r="G90" i="33"/>
  <c r="C90" i="33"/>
  <c r="D85" i="33"/>
  <c r="E85" i="33"/>
  <c r="F85" i="33"/>
  <c r="G85" i="33"/>
  <c r="H85" i="33"/>
  <c r="C85" i="33"/>
  <c r="D80" i="33"/>
  <c r="E80" i="33"/>
  <c r="F80" i="33"/>
  <c r="G80" i="33"/>
  <c r="H80" i="33"/>
  <c r="C77" i="33"/>
  <c r="C58" i="33"/>
  <c r="A53" i="3" l="1"/>
  <c r="M3" i="26"/>
  <c r="M5" i="26"/>
  <c r="A9" i="3" l="1"/>
  <c r="A12" i="3"/>
  <c r="A13" i="3"/>
  <c r="A14" i="3"/>
  <c r="A17" i="3"/>
  <c r="A18" i="3"/>
  <c r="A19" i="3"/>
  <c r="A22" i="3"/>
  <c r="A23" i="3"/>
  <c r="A24" i="3"/>
  <c r="A25" i="3"/>
  <c r="A26" i="3"/>
  <c r="A27" i="3"/>
  <c r="A30" i="3"/>
  <c r="A31" i="3"/>
  <c r="A32" i="3"/>
  <c r="A33" i="3"/>
  <c r="A34" i="3"/>
  <c r="A37" i="3"/>
  <c r="A38" i="3"/>
  <c r="A42" i="3"/>
  <c r="A43" i="3"/>
  <c r="A44" i="3"/>
  <c r="A45" i="3"/>
  <c r="A46" i="3"/>
  <c r="A47" i="3"/>
  <c r="A48" i="3"/>
  <c r="A49" i="3"/>
  <c r="A50" i="3"/>
  <c r="A51" i="3"/>
  <c r="A56" i="3"/>
  <c r="A57" i="3"/>
  <c r="I12" i="39"/>
  <c r="H12" i="39"/>
  <c r="C12" i="39"/>
  <c r="C5" i="39"/>
  <c r="G53" i="3" l="1"/>
  <c r="C53" i="3" s="1"/>
  <c r="G52" i="3"/>
  <c r="C52" i="3" s="1"/>
  <c r="C21" i="46" l="1"/>
  <c r="K1010" i="26"/>
  <c r="K1011" i="26"/>
  <c r="K1012" i="26"/>
  <c r="K1013" i="26"/>
  <c r="E21" i="19"/>
  <c r="I6" i="39"/>
  <c r="I7" i="39"/>
  <c r="H6" i="39"/>
  <c r="C6" i="39"/>
  <c r="G69" i="3" l="1"/>
  <c r="E71" i="3"/>
  <c r="E70" i="3"/>
  <c r="G68" i="3"/>
  <c r="E49" i="3"/>
  <c r="G13" i="48" l="1"/>
  <c r="F13" i="48"/>
  <c r="C12" i="23"/>
  <c r="P18" i="29" l="1"/>
  <c r="O18" i="29"/>
  <c r="Q18" i="29" s="1"/>
  <c r="N18" i="29"/>
  <c r="L18" i="29"/>
  <c r="K18" i="29"/>
  <c r="Q17" i="29"/>
  <c r="P17" i="29"/>
  <c r="O17" i="29"/>
  <c r="N17" i="29"/>
  <c r="L17" i="29"/>
  <c r="K17" i="29"/>
  <c r="P16" i="29"/>
  <c r="O16" i="29"/>
  <c r="Q16" i="29" s="1"/>
  <c r="N16" i="29"/>
  <c r="L16" i="29"/>
  <c r="K16" i="29"/>
  <c r="M16" i="29" s="1"/>
  <c r="M17" i="29" l="1"/>
  <c r="M18" i="29"/>
  <c r="E50" i="3"/>
  <c r="K29" i="48"/>
  <c r="J29" i="48"/>
  <c r="O29" i="48" s="1"/>
  <c r="F7" i="48"/>
  <c r="J30" i="48" s="1"/>
  <c r="O30" i="48" s="1"/>
  <c r="F11" i="48"/>
  <c r="J34" i="48" s="1"/>
  <c r="F10" i="48"/>
  <c r="F9" i="48"/>
  <c r="F8" i="48"/>
  <c r="E38" i="48"/>
  <c r="N29" i="48" l="1"/>
  <c r="P29" i="48"/>
  <c r="J50" i="48"/>
  <c r="P50" i="48" s="1"/>
  <c r="H58" i="48"/>
  <c r="G58" i="48"/>
  <c r="G59" i="48" s="1"/>
  <c r="F58" i="48"/>
  <c r="E58" i="48"/>
  <c r="D58" i="48"/>
  <c r="U57" i="48"/>
  <c r="K57" i="48"/>
  <c r="W57" i="48" s="1"/>
  <c r="K56" i="48"/>
  <c r="W56" i="48" s="1"/>
  <c r="K55" i="48"/>
  <c r="W55" i="48" s="1"/>
  <c r="J54" i="48"/>
  <c r="Q54" i="48" s="1"/>
  <c r="J52" i="48"/>
  <c r="P52" i="48" s="1"/>
  <c r="K51" i="48"/>
  <c r="W51" i="48" s="1"/>
  <c r="K49" i="48"/>
  <c r="S49" i="48" s="1"/>
  <c r="K48" i="48"/>
  <c r="U48" i="48" s="1"/>
  <c r="K46" i="48"/>
  <c r="W46" i="48" s="1"/>
  <c r="K45" i="48"/>
  <c r="W45" i="48" s="1"/>
  <c r="K44" i="48"/>
  <c r="S44" i="48" s="1"/>
  <c r="J44" i="48"/>
  <c r="Q44" i="48" s="1"/>
  <c r="B44" i="48"/>
  <c r="Q43" i="48"/>
  <c r="W43" i="48" s="1"/>
  <c r="P43" i="48"/>
  <c r="V43" i="48" s="1"/>
  <c r="O43" i="48"/>
  <c r="U43" i="48" s="1"/>
  <c r="N43" i="48"/>
  <c r="T43" i="48" s="1"/>
  <c r="M43" i="48"/>
  <c r="S43" i="48" s="1"/>
  <c r="Q42" i="48"/>
  <c r="P42" i="48"/>
  <c r="V42" i="48" s="1"/>
  <c r="O42" i="48"/>
  <c r="U42" i="48" s="1"/>
  <c r="N42" i="48"/>
  <c r="T42" i="48" s="1"/>
  <c r="M42" i="48"/>
  <c r="S42" i="48" s="1"/>
  <c r="G38" i="48"/>
  <c r="G39" i="48" s="1"/>
  <c r="F38" i="48"/>
  <c r="K35" i="48"/>
  <c r="T35" i="48" s="1"/>
  <c r="K33" i="48"/>
  <c r="V33" i="48" s="1"/>
  <c r="J33" i="48"/>
  <c r="P33" i="48" s="1"/>
  <c r="K32" i="48"/>
  <c r="U32" i="48" s="1"/>
  <c r="K31" i="48"/>
  <c r="T31" i="48" s="1"/>
  <c r="J31" i="48"/>
  <c r="P30" i="48"/>
  <c r="K30" i="48"/>
  <c r="U30" i="48" s="1"/>
  <c r="N30" i="48"/>
  <c r="V29" i="48"/>
  <c r="U29" i="48"/>
  <c r="T29" i="48"/>
  <c r="Q28" i="48"/>
  <c r="W28" i="48" s="1"/>
  <c r="P28" i="48"/>
  <c r="V28" i="48" s="1"/>
  <c r="O28" i="48"/>
  <c r="U28" i="48" s="1"/>
  <c r="N28" i="48"/>
  <c r="T28" i="48" s="1"/>
  <c r="M28" i="48"/>
  <c r="S28" i="48" s="1"/>
  <c r="P27" i="48"/>
  <c r="V27" i="48" s="1"/>
  <c r="O27" i="48"/>
  <c r="U27" i="48" s="1"/>
  <c r="N27" i="48"/>
  <c r="T27" i="48" s="1"/>
  <c r="H22" i="48"/>
  <c r="F22" i="48"/>
  <c r="J57" i="48" s="1"/>
  <c r="F21" i="48"/>
  <c r="J56" i="48" s="1"/>
  <c r="F20" i="48"/>
  <c r="J55" i="48" s="1"/>
  <c r="H19" i="48"/>
  <c r="H17" i="48"/>
  <c r="H20" i="48" s="1"/>
  <c r="H21" i="48" s="1"/>
  <c r="F17" i="48"/>
  <c r="J51" i="48" s="1"/>
  <c r="F15" i="48"/>
  <c r="J49" i="48" s="1"/>
  <c r="Q49" i="48" s="1"/>
  <c r="G14" i="48"/>
  <c r="G19" i="48" s="1"/>
  <c r="K54" i="48" s="1"/>
  <c r="J53" i="48"/>
  <c r="K47" i="48"/>
  <c r="J47" i="48"/>
  <c r="F12" i="48"/>
  <c r="J35" i="48" s="1"/>
  <c r="G11" i="48"/>
  <c r="K34" i="48" s="1"/>
  <c r="J45" i="48"/>
  <c r="G51" i="3"/>
  <c r="C51" i="3" s="1"/>
  <c r="M52" i="48" l="1"/>
  <c r="D59" i="48"/>
  <c r="O52" i="48"/>
  <c r="F39" i="48"/>
  <c r="S45" i="48"/>
  <c r="Q52" i="48"/>
  <c r="F59" i="48"/>
  <c r="V31" i="48"/>
  <c r="U45" i="48"/>
  <c r="U49" i="48"/>
  <c r="S55" i="48"/>
  <c r="K37" i="48"/>
  <c r="U37" i="48" s="1"/>
  <c r="T55" i="48"/>
  <c r="U55" i="48"/>
  <c r="V57" i="48"/>
  <c r="T30" i="48"/>
  <c r="U35" i="48"/>
  <c r="G16" i="48"/>
  <c r="K50" i="48" s="1"/>
  <c r="S50" i="48" s="1"/>
  <c r="V30" i="48"/>
  <c r="G18" i="48"/>
  <c r="K52" i="48" s="1"/>
  <c r="U31" i="48"/>
  <c r="V35" i="48"/>
  <c r="U44" i="48"/>
  <c r="T45" i="48"/>
  <c r="S46" i="48"/>
  <c r="S51" i="48"/>
  <c r="N52" i="48"/>
  <c r="K53" i="48"/>
  <c r="U53" i="48" s="1"/>
  <c r="S56" i="48"/>
  <c r="V44" i="48"/>
  <c r="T46" i="48"/>
  <c r="T51" i="48"/>
  <c r="T56" i="48"/>
  <c r="H59" i="48"/>
  <c r="P31" i="48"/>
  <c r="O31" i="48"/>
  <c r="E39" i="48"/>
  <c r="V45" i="48"/>
  <c r="V49" i="48"/>
  <c r="V55" i="48"/>
  <c r="E59" i="48"/>
  <c r="J37" i="48"/>
  <c r="P37" i="48" s="1"/>
  <c r="W50" i="48"/>
  <c r="T50" i="48"/>
  <c r="O57" i="48"/>
  <c r="Q57" i="48"/>
  <c r="N57" i="48"/>
  <c r="P57" i="48"/>
  <c r="M57" i="48"/>
  <c r="N51" i="48"/>
  <c r="P51" i="48"/>
  <c r="M51" i="48"/>
  <c r="Q51" i="48"/>
  <c r="O51" i="48"/>
  <c r="N34" i="48"/>
  <c r="O34" i="48"/>
  <c r="P34" i="48"/>
  <c r="W52" i="48"/>
  <c r="V52" i="48"/>
  <c r="U52" i="48"/>
  <c r="T52" i="48"/>
  <c r="S52" i="48"/>
  <c r="V34" i="48"/>
  <c r="U34" i="48"/>
  <c r="T34" i="48"/>
  <c r="P45" i="48"/>
  <c r="O45" i="48"/>
  <c r="N45" i="48"/>
  <c r="M45" i="48"/>
  <c r="Q45" i="48"/>
  <c r="S54" i="48"/>
  <c r="V54" i="48"/>
  <c r="W54" i="48"/>
  <c r="T54" i="48"/>
  <c r="U54" i="48"/>
  <c r="O47" i="48"/>
  <c r="Q47" i="48"/>
  <c r="P47" i="48"/>
  <c r="M47" i="48"/>
  <c r="N47" i="48"/>
  <c r="P55" i="48"/>
  <c r="O55" i="48"/>
  <c r="N55" i="48"/>
  <c r="M55" i="48"/>
  <c r="Q55" i="48"/>
  <c r="Q53" i="48"/>
  <c r="P53" i="48"/>
  <c r="O53" i="48"/>
  <c r="N53" i="48"/>
  <c r="M53" i="48"/>
  <c r="N35" i="48"/>
  <c r="P35" i="48"/>
  <c r="O35" i="48"/>
  <c r="W47" i="48"/>
  <c r="V47" i="48"/>
  <c r="U47" i="48"/>
  <c r="T47" i="48"/>
  <c r="S47" i="48"/>
  <c r="N56" i="48"/>
  <c r="M56" i="48"/>
  <c r="Q56" i="48"/>
  <c r="P56" i="48"/>
  <c r="O56" i="48"/>
  <c r="V32" i="48"/>
  <c r="V37" i="48"/>
  <c r="W42" i="48"/>
  <c r="T44" i="48"/>
  <c r="J48" i="48"/>
  <c r="V48" i="48"/>
  <c r="T49" i="48"/>
  <c r="Q50" i="48"/>
  <c r="V53" i="48"/>
  <c r="J32" i="48"/>
  <c r="N33" i="48"/>
  <c r="W44" i="48"/>
  <c r="W49" i="48"/>
  <c r="O33" i="48"/>
  <c r="M44" i="48"/>
  <c r="M49" i="48"/>
  <c r="M54" i="48"/>
  <c r="W48" i="48"/>
  <c r="J36" i="48"/>
  <c r="O36" i="48" s="1"/>
  <c r="N44" i="48"/>
  <c r="U46" i="48"/>
  <c r="N49" i="48"/>
  <c r="U51" i="48"/>
  <c r="N54" i="48"/>
  <c r="U56" i="48"/>
  <c r="S57" i="48"/>
  <c r="T33" i="48"/>
  <c r="K36" i="48"/>
  <c r="O37" i="48"/>
  <c r="O44" i="48"/>
  <c r="J46" i="48"/>
  <c r="V46" i="48"/>
  <c r="O49" i="48"/>
  <c r="M50" i="48"/>
  <c r="V51" i="48"/>
  <c r="O54" i="48"/>
  <c r="V56" i="48"/>
  <c r="T57" i="48"/>
  <c r="N31" i="48"/>
  <c r="U33" i="48"/>
  <c r="P44" i="48"/>
  <c r="S48" i="48"/>
  <c r="P49" i="48"/>
  <c r="N50" i="48"/>
  <c r="S53" i="48"/>
  <c r="P54" i="48"/>
  <c r="W53" i="48"/>
  <c r="T32" i="48"/>
  <c r="T37" i="48"/>
  <c r="T48" i="48"/>
  <c r="O50" i="48"/>
  <c r="T53" i="48"/>
  <c r="E18" i="19"/>
  <c r="C136" i="46"/>
  <c r="C135" i="46"/>
  <c r="C134" i="46"/>
  <c r="V50" i="48" l="1"/>
  <c r="V58" i="48" s="1"/>
  <c r="U50" i="48"/>
  <c r="U58" i="48" s="1"/>
  <c r="T58" i="48"/>
  <c r="S58" i="48"/>
  <c r="N37" i="48"/>
  <c r="Q48" i="48"/>
  <c r="P48" i="48"/>
  <c r="O48" i="48"/>
  <c r="M48" i="48"/>
  <c r="N48" i="48"/>
  <c r="U36" i="48"/>
  <c r="U38" i="48" s="1"/>
  <c r="V36" i="48"/>
  <c r="V38" i="48" s="1"/>
  <c r="V39" i="48" s="1"/>
  <c r="T36" i="48"/>
  <c r="T38" i="48" s="1"/>
  <c r="W58" i="48"/>
  <c r="P32" i="48"/>
  <c r="O32" i="48"/>
  <c r="O38" i="48" s="1"/>
  <c r="N32" i="48"/>
  <c r="P36" i="48"/>
  <c r="P38" i="48" s="1"/>
  <c r="N36" i="48"/>
  <c r="N46" i="48"/>
  <c r="M46" i="48"/>
  <c r="M58" i="48" s="1"/>
  <c r="P46" i="48"/>
  <c r="Q46" i="48"/>
  <c r="O46" i="48"/>
  <c r="O58" i="48" s="1"/>
  <c r="C5" i="30"/>
  <c r="H32" i="30" s="1"/>
  <c r="C32" i="30"/>
  <c r="K6" i="30"/>
  <c r="E32" i="30"/>
  <c r="H33" i="30"/>
  <c r="C6" i="30"/>
  <c r="H10" i="30"/>
  <c r="H60" i="30"/>
  <c r="H11" i="30"/>
  <c r="I10" i="30"/>
  <c r="K28" i="30"/>
  <c r="K29" i="30"/>
  <c r="F29" i="30"/>
  <c r="U59" i="48" l="1"/>
  <c r="V59" i="48"/>
  <c r="T59" i="48"/>
  <c r="S59" i="48"/>
  <c r="W59" i="48"/>
  <c r="N58" i="48"/>
  <c r="O39" i="48"/>
  <c r="P58" i="48"/>
  <c r="O59" i="48" s="1"/>
  <c r="Q58" i="48"/>
  <c r="N38" i="48"/>
  <c r="N39" i="48" s="1"/>
  <c r="U39" i="48"/>
  <c r="T39" i="48"/>
  <c r="P39" i="48"/>
  <c r="H52" i="30"/>
  <c r="H51" i="30"/>
  <c r="H42" i="30"/>
  <c r="H40" i="30"/>
  <c r="H50" i="30"/>
  <c r="H41" i="30"/>
  <c r="H59" i="30"/>
  <c r="H49" i="30"/>
  <c r="H39" i="30"/>
  <c r="H58" i="30"/>
  <c r="H38" i="30"/>
  <c r="H47" i="30"/>
  <c r="H56" i="30"/>
  <c r="H36" i="30"/>
  <c r="H55" i="30"/>
  <c r="H35" i="30"/>
  <c r="H54" i="30"/>
  <c r="H44" i="30"/>
  <c r="H34" i="30"/>
  <c r="H48" i="30"/>
  <c r="H57" i="30"/>
  <c r="H37" i="30"/>
  <c r="H46" i="30"/>
  <c r="H45" i="30"/>
  <c r="H53" i="30"/>
  <c r="H43" i="30"/>
  <c r="D56" i="3" l="1"/>
  <c r="N59" i="48"/>
  <c r="M59" i="48"/>
  <c r="P59" i="48"/>
  <c r="D57" i="3"/>
  <c r="Q59" i="48"/>
  <c r="E56" i="3"/>
  <c r="G56" i="3" s="1"/>
  <c r="C56" i="3" s="1"/>
  <c r="Q7" i="46"/>
  <c r="Q6" i="46"/>
  <c r="V7" i="46" s="1"/>
  <c r="E57" i="3" l="1"/>
  <c r="G57" i="3" s="1"/>
  <c r="C57" i="3" s="1"/>
  <c r="V32" i="46"/>
  <c r="V35" i="46"/>
  <c r="V31" i="46"/>
  <c r="V34" i="46"/>
  <c r="V30" i="46"/>
  <c r="V33" i="46"/>
  <c r="H10" i="46"/>
  <c r="I11" i="46"/>
  <c r="H11" i="46"/>
  <c r="I12" i="46"/>
  <c r="I10" i="46"/>
  <c r="H12" i="46"/>
  <c r="J10" i="46" l="1"/>
  <c r="K10" i="46"/>
  <c r="K12" i="46"/>
  <c r="J12" i="46"/>
  <c r="J11" i="46"/>
  <c r="K11" i="46"/>
  <c r="C64" i="3"/>
  <c r="C15" i="39"/>
  <c r="I15" i="39"/>
  <c r="H15" i="39"/>
  <c r="E11" i="19"/>
  <c r="AD10" i="15"/>
  <c r="AD11" i="15"/>
  <c r="AD12" i="15"/>
  <c r="AD13" i="15"/>
  <c r="AD14" i="15"/>
  <c r="AD15" i="15"/>
  <c r="AD16" i="15"/>
  <c r="AD17" i="15"/>
  <c r="AD18" i="15"/>
  <c r="AD19" i="15"/>
  <c r="AD20" i="15"/>
  <c r="AD21" i="15"/>
  <c r="AD22" i="15"/>
  <c r="AD23" i="15"/>
  <c r="AD24" i="15"/>
  <c r="AD25" i="15"/>
  <c r="AD26" i="15"/>
  <c r="AD27" i="15"/>
  <c r="AD28" i="15"/>
  <c r="AD29" i="15"/>
  <c r="AD30" i="15"/>
  <c r="AD31" i="15"/>
  <c r="AD32" i="15"/>
  <c r="AD33" i="15"/>
  <c r="AD34" i="15"/>
  <c r="AD35" i="15"/>
  <c r="AD36" i="15"/>
  <c r="AD37" i="15"/>
  <c r="AD38" i="15"/>
  <c r="AD9" i="15"/>
  <c r="D9" i="3"/>
  <c r="G64" i="3"/>
  <c r="A73" i="3"/>
  <c r="A68" i="3"/>
  <c r="E24" i="19"/>
  <c r="H7" i="39"/>
  <c r="H8" i="39"/>
  <c r="I8" i="39"/>
  <c r="H11" i="39"/>
  <c r="I11" i="39"/>
  <c r="H10" i="39"/>
  <c r="I10" i="39"/>
  <c r="H9" i="39"/>
  <c r="I9" i="39"/>
  <c r="H13" i="39"/>
  <c r="I13" i="39"/>
  <c r="H14" i="39"/>
  <c r="I14" i="39"/>
  <c r="I5" i="39"/>
  <c r="H5" i="39"/>
  <c r="C9" i="39"/>
  <c r="C13" i="39"/>
  <c r="C8" i="39"/>
  <c r="C7" i="39"/>
  <c r="C10" i="39"/>
  <c r="C11" i="39"/>
  <c r="C14" i="39"/>
  <c r="E47" i="3"/>
  <c r="E46" i="3"/>
  <c r="E45" i="3"/>
  <c r="E44" i="3"/>
  <c r="E43" i="3"/>
  <c r="E42" i="3"/>
  <c r="E37" i="3"/>
  <c r="E38" i="3"/>
  <c r="AA9" i="15"/>
  <c r="Z9" i="15"/>
  <c r="Y9" i="15"/>
  <c r="L12" i="46" l="1"/>
  <c r="L11" i="46"/>
  <c r="L10" i="46"/>
  <c r="A71" i="3"/>
  <c r="A70" i="3"/>
  <c r="D71" i="3"/>
  <c r="D70" i="3"/>
  <c r="G48" i="3"/>
  <c r="C48" i="3" s="1"/>
  <c r="D65" i="3"/>
  <c r="C65" i="3" s="1"/>
  <c r="J1013" i="26"/>
  <c r="A80" i="3"/>
  <c r="A79" i="3"/>
  <c r="A78" i="3"/>
  <c r="A77" i="3"/>
  <c r="A76" i="3"/>
  <c r="A75" i="3"/>
  <c r="A74" i="3"/>
  <c r="A72" i="3"/>
  <c r="D79" i="3"/>
  <c r="C79" i="3" s="1"/>
  <c r="D80" i="3"/>
  <c r="C80" i="3" s="1"/>
  <c r="D78" i="3"/>
  <c r="C78" i="3" s="1"/>
  <c r="A65" i="3"/>
  <c r="A64" i="3"/>
  <c r="A63" i="3"/>
  <c r="A62" i="3"/>
  <c r="A61" i="3"/>
  <c r="A60" i="3"/>
  <c r="A59" i="3"/>
  <c r="D1010" i="26"/>
  <c r="E1010" i="26"/>
  <c r="F1010" i="26"/>
  <c r="G1010" i="26"/>
  <c r="D1011" i="26"/>
  <c r="E1011" i="26"/>
  <c r="F1011" i="26"/>
  <c r="G1011" i="26"/>
  <c r="D1012" i="26"/>
  <c r="E1012" i="26"/>
  <c r="F1012" i="26"/>
  <c r="G1012" i="26"/>
  <c r="D1013" i="26"/>
  <c r="E1013" i="26"/>
  <c r="F1013" i="26"/>
  <c r="G1013" i="26"/>
  <c r="F82" i="33"/>
  <c r="H82" i="33"/>
  <c r="C62" i="33"/>
  <c r="E62" i="33" s="1"/>
  <c r="C66" i="33"/>
  <c r="G66" i="33" s="1"/>
  <c r="C68" i="33"/>
  <c r="H67" i="33"/>
  <c r="G67" i="33"/>
  <c r="F67" i="33"/>
  <c r="E67" i="33"/>
  <c r="D67" i="33"/>
  <c r="C67" i="33"/>
  <c r="C64" i="33"/>
  <c r="H63" i="33"/>
  <c r="G63" i="33"/>
  <c r="F63" i="33"/>
  <c r="D63" i="33"/>
  <c r="E63" i="33"/>
  <c r="C63" i="33"/>
  <c r="F109" i="33" l="1"/>
  <c r="P100" i="33" s="1"/>
  <c r="F99" i="33"/>
  <c r="P98" i="33" s="1"/>
  <c r="D104" i="33"/>
  <c r="P89" i="33" s="1"/>
  <c r="H99" i="33"/>
  <c r="P108" i="33" s="1"/>
  <c r="F104" i="33"/>
  <c r="P99" i="33" s="1"/>
  <c r="G104" i="33"/>
  <c r="P104" i="33" s="1"/>
  <c r="H104" i="33"/>
  <c r="P109" i="33" s="1"/>
  <c r="D109" i="33"/>
  <c r="P90" i="33" s="1"/>
  <c r="D99" i="33"/>
  <c r="P88" i="33" s="1"/>
  <c r="E109" i="33"/>
  <c r="P95" i="33" s="1"/>
  <c r="G99" i="33"/>
  <c r="P103" i="33" s="1"/>
  <c r="E104" i="33"/>
  <c r="P94" i="33" s="1"/>
  <c r="C99" i="33"/>
  <c r="P83" i="33" s="1"/>
  <c r="C104" i="33"/>
  <c r="P84" i="33" s="1"/>
  <c r="E99" i="33"/>
  <c r="P93" i="33" s="1"/>
  <c r="G109" i="33"/>
  <c r="P105" i="33" s="1"/>
  <c r="C109" i="33"/>
  <c r="P85" i="33" s="1"/>
  <c r="H109" i="33"/>
  <c r="P110" i="33" s="1"/>
  <c r="C96" i="33"/>
  <c r="M83" i="33" s="1"/>
  <c r="G70" i="3"/>
  <c r="C70" i="3" s="1"/>
  <c r="G71" i="3"/>
  <c r="C71" i="3" s="1"/>
  <c r="G49" i="3"/>
  <c r="C49" i="3" s="1"/>
  <c r="L14" i="46"/>
  <c r="W7" i="46" s="1"/>
  <c r="E66" i="33"/>
  <c r="F62" i="33"/>
  <c r="H66" i="33"/>
  <c r="D66" i="33"/>
  <c r="G62" i="33"/>
  <c r="C69" i="33"/>
  <c r="D62" i="33"/>
  <c r="H62" i="33"/>
  <c r="F66" i="33"/>
  <c r="C65" i="33"/>
  <c r="H53" i="33"/>
  <c r="G53" i="33"/>
  <c r="F53" i="33"/>
  <c r="E53" i="33"/>
  <c r="D53" i="33"/>
  <c r="C53" i="33"/>
  <c r="C55" i="33" s="1"/>
  <c r="C52" i="33"/>
  <c r="C83" i="33" s="1"/>
  <c r="C49" i="33"/>
  <c r="C51" i="33" s="1"/>
  <c r="H49" i="33"/>
  <c r="G49" i="33"/>
  <c r="F49" i="33"/>
  <c r="E49" i="33"/>
  <c r="D49" i="33"/>
  <c r="C48" i="33"/>
  <c r="C78" i="33" s="1"/>
  <c r="H39" i="33"/>
  <c r="F39" i="33"/>
  <c r="G39" i="33"/>
  <c r="E39" i="33"/>
  <c r="D39" i="33"/>
  <c r="H35" i="33"/>
  <c r="G35" i="33"/>
  <c r="F35" i="33"/>
  <c r="E35" i="33"/>
  <c r="D35" i="33"/>
  <c r="C39" i="33"/>
  <c r="C41" i="33" s="1"/>
  <c r="C38" i="33"/>
  <c r="C82" i="33" s="1"/>
  <c r="C35" i="33"/>
  <c r="C37" i="33" s="1"/>
  <c r="C34" i="33"/>
  <c r="R110" i="33" l="1"/>
  <c r="Q110" i="33"/>
  <c r="Q88" i="33"/>
  <c r="R88" i="33"/>
  <c r="R90" i="33"/>
  <c r="Q90" i="33"/>
  <c r="Q85" i="33"/>
  <c r="R85" i="33"/>
  <c r="Q104" i="33"/>
  <c r="R104" i="33"/>
  <c r="Q93" i="33"/>
  <c r="R93" i="33"/>
  <c r="Q99" i="33"/>
  <c r="R99" i="33"/>
  <c r="R95" i="33"/>
  <c r="Q95" i="33"/>
  <c r="R109" i="33"/>
  <c r="Q109" i="33"/>
  <c r="R105" i="33"/>
  <c r="Q105" i="33"/>
  <c r="Q84" i="33"/>
  <c r="R84" i="33"/>
  <c r="R108" i="33"/>
  <c r="Q108" i="33"/>
  <c r="Q83" i="33"/>
  <c r="R83" i="33"/>
  <c r="R89" i="33"/>
  <c r="Q89" i="33"/>
  <c r="Q94" i="33"/>
  <c r="R94" i="33"/>
  <c r="R98" i="33"/>
  <c r="Q98" i="33"/>
  <c r="Q103" i="33"/>
  <c r="R103" i="33"/>
  <c r="Q100" i="33"/>
  <c r="R100" i="33"/>
  <c r="G50" i="3"/>
  <c r="C50" i="3" s="1"/>
  <c r="C72" i="33"/>
  <c r="C88" i="33"/>
  <c r="F71" i="33"/>
  <c r="E71" i="33"/>
  <c r="H34" i="33"/>
  <c r="H77" i="33" s="1"/>
  <c r="G71" i="33"/>
  <c r="C71" i="33"/>
  <c r="G52" i="33"/>
  <c r="G83" i="33" s="1"/>
  <c r="D71" i="33"/>
  <c r="H71" i="33"/>
  <c r="F48" i="33"/>
  <c r="F78" i="33" s="1"/>
  <c r="C43" i="33"/>
  <c r="D52" i="33"/>
  <c r="D83" i="33" s="1"/>
  <c r="E48" i="33"/>
  <c r="E78" i="33" s="1"/>
  <c r="H52" i="33"/>
  <c r="G48" i="33"/>
  <c r="G78" i="33" s="1"/>
  <c r="F52" i="33"/>
  <c r="F83" i="33" s="1"/>
  <c r="C44" i="33"/>
  <c r="E38" i="33"/>
  <c r="E82" i="33" s="1"/>
  <c r="E34" i="33"/>
  <c r="G34" i="33"/>
  <c r="G77" i="33" s="1"/>
  <c r="D38" i="33"/>
  <c r="D82" i="33" s="1"/>
  <c r="D101" i="33" s="1"/>
  <c r="G38" i="33"/>
  <c r="G82" i="33" s="1"/>
  <c r="D48" i="33"/>
  <c r="D78" i="33" s="1"/>
  <c r="H48" i="33"/>
  <c r="H78" i="33" s="1"/>
  <c r="D34" i="33"/>
  <c r="D77" i="33" s="1"/>
  <c r="F34" i="33"/>
  <c r="F77" i="33" s="1"/>
  <c r="E52" i="33"/>
  <c r="E83" i="33" s="1"/>
  <c r="H41" i="33"/>
  <c r="G41" i="33"/>
  <c r="F41" i="33"/>
  <c r="E41" i="33"/>
  <c r="D41" i="33"/>
  <c r="E37" i="33"/>
  <c r="F37" i="33"/>
  <c r="G37" i="33"/>
  <c r="H37" i="33"/>
  <c r="H44" i="33" s="1"/>
  <c r="D37" i="33"/>
  <c r="E54" i="33"/>
  <c r="F54" i="33"/>
  <c r="G54" i="33"/>
  <c r="H54" i="33"/>
  <c r="D54" i="33"/>
  <c r="E50" i="33"/>
  <c r="F50" i="33"/>
  <c r="G50" i="33"/>
  <c r="H50" i="33"/>
  <c r="D50" i="33"/>
  <c r="C57" i="33"/>
  <c r="E20" i="19"/>
  <c r="E23" i="19"/>
  <c r="E22" i="19"/>
  <c r="E19" i="19"/>
  <c r="E17" i="19"/>
  <c r="E14" i="19"/>
  <c r="E13" i="19"/>
  <c r="E12" i="19"/>
  <c r="C102" i="33"/>
  <c r="I1013" i="26"/>
  <c r="H1013" i="26"/>
  <c r="E10" i="19"/>
  <c r="I11" i="30"/>
  <c r="D38" i="3"/>
  <c r="K11" i="30"/>
  <c r="K12" i="30"/>
  <c r="K13" i="30"/>
  <c r="K14" i="30"/>
  <c r="K15" i="30"/>
  <c r="K16" i="30"/>
  <c r="K17" i="30"/>
  <c r="K18" i="30"/>
  <c r="K19" i="30"/>
  <c r="K20" i="30"/>
  <c r="K21" i="30"/>
  <c r="K22" i="30"/>
  <c r="K23" i="30"/>
  <c r="K24" i="30"/>
  <c r="K25" i="30"/>
  <c r="K26" i="30"/>
  <c r="K27" i="30"/>
  <c r="K10" i="30"/>
  <c r="F31" i="30"/>
  <c r="E31" i="30"/>
  <c r="M89" i="33" l="1"/>
  <c r="N84" i="33"/>
  <c r="J1014" i="26"/>
  <c r="L10" i="30" a="1"/>
  <c r="L10" i="30" s="1"/>
  <c r="G101" i="33"/>
  <c r="M104" i="33" s="1"/>
  <c r="G102" i="33"/>
  <c r="N104" i="33" s="1"/>
  <c r="F96" i="33"/>
  <c r="M98" i="33" s="1"/>
  <c r="F97" i="33"/>
  <c r="N98" i="33" s="1"/>
  <c r="H97" i="33"/>
  <c r="N108" i="33" s="1"/>
  <c r="D96" i="33"/>
  <c r="E101" i="33"/>
  <c r="M94" i="33" s="1"/>
  <c r="F102" i="33"/>
  <c r="N99" i="33" s="1"/>
  <c r="D97" i="33"/>
  <c r="N88" i="33" s="1"/>
  <c r="G97" i="33"/>
  <c r="N103" i="33" s="1"/>
  <c r="C97" i="33"/>
  <c r="N83" i="33" s="1"/>
  <c r="F101" i="33"/>
  <c r="M99" i="33" s="1"/>
  <c r="H101" i="33"/>
  <c r="M109" i="33" s="1"/>
  <c r="G96" i="33"/>
  <c r="M103" i="33" s="1"/>
  <c r="E97" i="33"/>
  <c r="N93" i="33" s="1"/>
  <c r="E102" i="33"/>
  <c r="N94" i="33" s="1"/>
  <c r="D102" i="33"/>
  <c r="H96" i="33"/>
  <c r="M108" i="33" s="1"/>
  <c r="C101" i="33"/>
  <c r="F44" i="33"/>
  <c r="E77" i="33"/>
  <c r="H83" i="33"/>
  <c r="D79" i="33"/>
  <c r="D87" i="33"/>
  <c r="D84" i="33"/>
  <c r="G79" i="33"/>
  <c r="C79" i="33"/>
  <c r="H79" i="33"/>
  <c r="H87" i="33"/>
  <c r="F79" i="33"/>
  <c r="F87" i="33"/>
  <c r="G87" i="33"/>
  <c r="G84" i="33"/>
  <c r="E84" i="33"/>
  <c r="C84" i="33"/>
  <c r="C87" i="33"/>
  <c r="C89" i="33" s="1"/>
  <c r="E88" i="33"/>
  <c r="F57" i="33"/>
  <c r="D88" i="33"/>
  <c r="G88" i="33"/>
  <c r="D51" i="33"/>
  <c r="D64" i="33"/>
  <c r="D65" i="33" s="1"/>
  <c r="E51" i="33"/>
  <c r="E64" i="33"/>
  <c r="E65" i="33" s="1"/>
  <c r="F55" i="33"/>
  <c r="F68" i="33"/>
  <c r="F69" i="33" s="1"/>
  <c r="F51" i="33"/>
  <c r="F64" i="33"/>
  <c r="F65" i="33" s="1"/>
  <c r="H51" i="33"/>
  <c r="H64" i="33"/>
  <c r="H65" i="33" s="1"/>
  <c r="D55" i="33"/>
  <c r="D68" i="33"/>
  <c r="D69" i="33" s="1"/>
  <c r="E55" i="33"/>
  <c r="E68" i="33"/>
  <c r="E69" i="33" s="1"/>
  <c r="G57" i="33"/>
  <c r="H43" i="33"/>
  <c r="G55" i="33"/>
  <c r="G68" i="33"/>
  <c r="G69" i="33" s="1"/>
  <c r="G51" i="33"/>
  <c r="G64" i="33"/>
  <c r="G65" i="33" s="1"/>
  <c r="H55" i="33"/>
  <c r="H68" i="33"/>
  <c r="H69" i="33" s="1"/>
  <c r="F43" i="33"/>
  <c r="E44" i="33"/>
  <c r="G43" i="33"/>
  <c r="D57" i="33"/>
  <c r="E57" i="33"/>
  <c r="D44" i="33"/>
  <c r="E43" i="33"/>
  <c r="H57" i="33"/>
  <c r="G44" i="33"/>
  <c r="D43" i="33"/>
  <c r="H58" i="33"/>
  <c r="G65" i="3"/>
  <c r="D23" i="3"/>
  <c r="D22" i="3"/>
  <c r="D24" i="3"/>
  <c r="N89" i="33" l="1"/>
  <c r="M84" i="33"/>
  <c r="E30" i="23"/>
  <c r="M88" i="33"/>
  <c r="M14" i="30"/>
  <c r="M29" i="30"/>
  <c r="M28" i="30"/>
  <c r="F58" i="33"/>
  <c r="I97" i="33"/>
  <c r="I101" i="33"/>
  <c r="H88" i="33"/>
  <c r="H89" i="33" s="1"/>
  <c r="H102" i="33"/>
  <c r="N109" i="33" s="1"/>
  <c r="E79" i="33"/>
  <c r="E96" i="33"/>
  <c r="M93" i="33" s="1"/>
  <c r="E87" i="33"/>
  <c r="E89" i="33" s="1"/>
  <c r="H84" i="33"/>
  <c r="G89" i="33"/>
  <c r="D58" i="33"/>
  <c r="F88" i="33"/>
  <c r="F89" i="33" s="1"/>
  <c r="F84" i="33"/>
  <c r="D89" i="33"/>
  <c r="G58" i="33"/>
  <c r="E58" i="33"/>
  <c r="G72" i="33"/>
  <c r="F72" i="33"/>
  <c r="H72" i="33"/>
  <c r="D72" i="33"/>
  <c r="E72" i="33"/>
  <c r="M27" i="30"/>
  <c r="M11" i="30"/>
  <c r="M13" i="30"/>
  <c r="M26" i="30"/>
  <c r="M10" i="30"/>
  <c r="M23" i="30"/>
  <c r="M25" i="30"/>
  <c r="D6" i="30" s="1"/>
  <c r="M20" i="30"/>
  <c r="M22" i="30"/>
  <c r="M19" i="30"/>
  <c r="M21" i="30"/>
  <c r="M16" i="30"/>
  <c r="M18" i="30"/>
  <c r="M24" i="30"/>
  <c r="M15" i="30"/>
  <c r="M17" i="30"/>
  <c r="M12" i="30"/>
  <c r="I102" i="33" l="1"/>
  <c r="D5" i="30"/>
  <c r="H15" i="30"/>
  <c r="I96" i="33"/>
  <c r="C106" i="33"/>
  <c r="M85" i="33" s="1"/>
  <c r="F106" i="33"/>
  <c r="M100" i="33" s="1"/>
  <c r="D106" i="33"/>
  <c r="M90" i="33" s="1"/>
  <c r="H98" i="33"/>
  <c r="O108" i="33" s="1"/>
  <c r="E107" i="33"/>
  <c r="N95" i="33" s="1"/>
  <c r="F98" i="33"/>
  <c r="O98" i="33" s="1"/>
  <c r="E98" i="33"/>
  <c r="O93" i="33" s="1"/>
  <c r="H107" i="33"/>
  <c r="N110" i="33" s="1"/>
  <c r="D103" i="33"/>
  <c r="D107" i="33"/>
  <c r="N90" i="33" s="1"/>
  <c r="C103" i="33"/>
  <c r="C107" i="33"/>
  <c r="N85" i="33" s="1"/>
  <c r="G107" i="33"/>
  <c r="N105" i="33" s="1"/>
  <c r="D98" i="33"/>
  <c r="G98" i="33"/>
  <c r="C98" i="33"/>
  <c r="O83" i="33" s="1"/>
  <c r="H106" i="33"/>
  <c r="M110" i="33" s="1"/>
  <c r="H103" i="33"/>
  <c r="O109" i="33" s="1"/>
  <c r="G103" i="33"/>
  <c r="O104" i="33" s="1"/>
  <c r="G106" i="33"/>
  <c r="M105" i="33" s="1"/>
  <c r="F107" i="33"/>
  <c r="N100" i="33" s="1"/>
  <c r="E103" i="33"/>
  <c r="O94" i="33" s="1"/>
  <c r="E106" i="33"/>
  <c r="M95" i="33" s="1"/>
  <c r="F103" i="33"/>
  <c r="O99" i="33" s="1"/>
  <c r="H16" i="30"/>
  <c r="G38" i="3" s="1"/>
  <c r="C38" i="3" s="1"/>
  <c r="I16" i="30"/>
  <c r="I15" i="30"/>
  <c r="U109" i="33" l="1"/>
  <c r="T109" i="33"/>
  <c r="U108" i="33"/>
  <c r="T108" i="33"/>
  <c r="T104" i="33"/>
  <c r="U104" i="33"/>
  <c r="O89" i="33"/>
  <c r="O84" i="33"/>
  <c r="O103" i="33"/>
  <c r="O88" i="33"/>
  <c r="I106" i="33"/>
  <c r="I107" i="33"/>
  <c r="I103" i="33"/>
  <c r="I98" i="33"/>
  <c r="H108" i="33"/>
  <c r="O110" i="33" s="1"/>
  <c r="F108" i="33"/>
  <c r="O100" i="33" s="1"/>
  <c r="E108" i="33"/>
  <c r="O95" i="33" s="1"/>
  <c r="C108" i="33"/>
  <c r="O85" i="33" s="1"/>
  <c r="D108" i="33"/>
  <c r="O90" i="33" s="1"/>
  <c r="G108" i="33"/>
  <c r="O105" i="33" s="1"/>
  <c r="G37" i="3"/>
  <c r="C37" i="3" s="1"/>
  <c r="C33" i="30"/>
  <c r="C34" i="30"/>
  <c r="C35" i="30"/>
  <c r="C36" i="30"/>
  <c r="C37" i="30"/>
  <c r="C38" i="30"/>
  <c r="C39" i="30"/>
  <c r="F39" i="30" s="1"/>
  <c r="C40" i="30"/>
  <c r="C41" i="30"/>
  <c r="C42" i="30"/>
  <c r="C43" i="30"/>
  <c r="C44" i="30"/>
  <c r="C45" i="30"/>
  <c r="C46" i="30"/>
  <c r="C47" i="30"/>
  <c r="C48" i="30"/>
  <c r="C49" i="30"/>
  <c r="C50" i="30"/>
  <c r="C51" i="30"/>
  <c r="C52" i="30"/>
  <c r="C53" i="30"/>
  <c r="C54" i="30"/>
  <c r="C55" i="30"/>
  <c r="C56" i="30"/>
  <c r="C57" i="30"/>
  <c r="C58" i="30"/>
  <c r="C59" i="30"/>
  <c r="C60" i="30"/>
  <c r="U110" i="33" l="1"/>
  <c r="T110" i="33"/>
  <c r="U105" i="33"/>
  <c r="T105" i="33"/>
  <c r="U103" i="33"/>
  <c r="T103" i="33"/>
  <c r="T100" i="33"/>
  <c r="U100" i="33"/>
  <c r="I108" i="33"/>
  <c r="E33" i="30"/>
  <c r="F56" i="30"/>
  <c r="F48" i="30"/>
  <c r="F40" i="30"/>
  <c r="F54" i="30"/>
  <c r="F46" i="30"/>
  <c r="F38" i="30"/>
  <c r="F32" i="30"/>
  <c r="F53" i="30"/>
  <c r="F45" i="30"/>
  <c r="F37" i="30"/>
  <c r="F60" i="30"/>
  <c r="F52" i="30"/>
  <c r="F44" i="30"/>
  <c r="F36" i="30"/>
  <c r="F59" i="30"/>
  <c r="F51" i="30"/>
  <c r="F43" i="30"/>
  <c r="F35" i="30"/>
  <c r="F58" i="30"/>
  <c r="F50" i="30"/>
  <c r="F42" i="30"/>
  <c r="F34" i="30"/>
  <c r="F57" i="30"/>
  <c r="F49" i="30"/>
  <c r="F41" i="30"/>
  <c r="F33" i="30"/>
  <c r="F55" i="30"/>
  <c r="F47" i="30"/>
  <c r="E60" i="30"/>
  <c r="E56" i="30"/>
  <c r="E52" i="30"/>
  <c r="E48" i="30"/>
  <c r="E44" i="30"/>
  <c r="E40" i="30"/>
  <c r="E36" i="30"/>
  <c r="E59" i="30"/>
  <c r="E55" i="30"/>
  <c r="E51" i="30"/>
  <c r="E47" i="30"/>
  <c r="E43" i="30"/>
  <c r="E39" i="30"/>
  <c r="E35" i="30"/>
  <c r="E58" i="30"/>
  <c r="E54" i="30"/>
  <c r="E50" i="30"/>
  <c r="E46" i="30"/>
  <c r="E42" i="30"/>
  <c r="E38" i="30"/>
  <c r="E34" i="30"/>
  <c r="D37" i="3"/>
  <c r="E57" i="30"/>
  <c r="E53" i="30"/>
  <c r="E49" i="30"/>
  <c r="E45" i="30"/>
  <c r="E41" i="30"/>
  <c r="E37" i="30"/>
  <c r="E23" i="3" l="1"/>
  <c r="E24" i="3"/>
  <c r="E22" i="3"/>
  <c r="G22" i="3" s="1"/>
  <c r="C22" i="3" s="1"/>
  <c r="D31" i="27"/>
  <c r="D32" i="27"/>
  <c r="D33" i="27"/>
  <c r="D34" i="27"/>
  <c r="D35" i="27"/>
  <c r="D36" i="27"/>
  <c r="D37" i="27"/>
  <c r="D38" i="27"/>
  <c r="D39" i="27"/>
  <c r="D40" i="27"/>
  <c r="D30" i="27"/>
  <c r="D29" i="27"/>
  <c r="C8" i="28" a="1"/>
  <c r="C8" i="28" s="1"/>
  <c r="C9" i="28" s="1"/>
  <c r="D76" i="3"/>
  <c r="D77" i="3"/>
  <c r="D75" i="3"/>
  <c r="D73" i="3"/>
  <c r="D74" i="3"/>
  <c r="D72" i="3"/>
  <c r="F73" i="3"/>
  <c r="F74" i="3"/>
  <c r="F75" i="3"/>
  <c r="F76" i="3"/>
  <c r="F77" i="3"/>
  <c r="F72" i="3"/>
  <c r="D31" i="3"/>
  <c r="D32" i="3"/>
  <c r="D33" i="3"/>
  <c r="D34" i="3"/>
  <c r="D30" i="3"/>
  <c r="G31" i="3"/>
  <c r="C31" i="3" s="1"/>
  <c r="G32" i="3"/>
  <c r="C32" i="3" s="1"/>
  <c r="G33" i="3"/>
  <c r="C33" i="3" s="1"/>
  <c r="G34" i="3"/>
  <c r="C34" i="3" s="1"/>
  <c r="G30" i="3"/>
  <c r="C30" i="3" s="1"/>
  <c r="B39" i="27"/>
  <c r="C39" i="27"/>
  <c r="B40" i="27"/>
  <c r="C40" i="27"/>
  <c r="B31" i="27"/>
  <c r="C31" i="27"/>
  <c r="B32" i="27"/>
  <c r="C32" i="27"/>
  <c r="B33" i="27"/>
  <c r="C33" i="27"/>
  <c r="B34" i="27"/>
  <c r="C34" i="27"/>
  <c r="B35" i="27"/>
  <c r="C35" i="27"/>
  <c r="B36" i="27"/>
  <c r="C36" i="27"/>
  <c r="B37" i="27"/>
  <c r="C37" i="27"/>
  <c r="B38" i="27"/>
  <c r="C38" i="27"/>
  <c r="C30" i="27"/>
  <c r="C29" i="27"/>
  <c r="B30" i="27"/>
  <c r="G42" i="23"/>
  <c r="G56" i="23" s="1"/>
  <c r="F42" i="23"/>
  <c r="F56" i="23" s="1"/>
  <c r="E42" i="23"/>
  <c r="H42" i="23"/>
  <c r="H56" i="23" s="1"/>
  <c r="I42" i="23"/>
  <c r="I56" i="23" s="1"/>
  <c r="E17" i="3"/>
  <c r="E18" i="3"/>
  <c r="E19" i="3"/>
  <c r="D19" i="3"/>
  <c r="D18" i="3"/>
  <c r="E12" i="3"/>
  <c r="E13" i="3"/>
  <c r="E14" i="3"/>
  <c r="D13" i="3"/>
  <c r="D12" i="3"/>
  <c r="D17" i="3"/>
  <c r="D14" i="3"/>
  <c r="E66" i="23" l="1"/>
  <c r="G77" i="3"/>
  <c r="C77" i="3" s="1"/>
  <c r="E56" i="23"/>
  <c r="G24" i="3"/>
  <c r="C24" i="3" s="1"/>
  <c r="G23" i="3"/>
  <c r="C23" i="3" s="1"/>
  <c r="C10" i="28"/>
  <c r="G74" i="3"/>
  <c r="C74" i="3" s="1"/>
  <c r="G76" i="3"/>
  <c r="C76" i="3" s="1"/>
  <c r="G75" i="3"/>
  <c r="C75" i="3" s="1"/>
  <c r="G73" i="3"/>
  <c r="C73" i="3" s="1"/>
  <c r="G72" i="3"/>
  <c r="C72" i="3" s="1"/>
  <c r="E68" i="23" l="1"/>
  <c r="J56" i="23"/>
  <c r="F66" i="23"/>
  <c r="F68" i="23"/>
  <c r="C11" i="28"/>
  <c r="M38" i="5"/>
  <c r="C10" i="15"/>
  <c r="D61" i="3" s="1"/>
  <c r="C12" i="15"/>
  <c r="I12" i="15"/>
  <c r="I10" i="15"/>
  <c r="D43" i="3" s="1"/>
  <c r="BA211" i="15"/>
  <c r="BA210" i="15"/>
  <c r="BA209" i="15"/>
  <c r="BA208" i="15"/>
  <c r="BA207" i="15"/>
  <c r="BA206" i="15"/>
  <c r="BA205" i="15"/>
  <c r="BA204" i="15"/>
  <c r="BA203" i="15"/>
  <c r="BA202" i="15"/>
  <c r="BA201" i="15"/>
  <c r="BA200" i="15"/>
  <c r="BA199" i="15"/>
  <c r="BA198" i="15"/>
  <c r="BA197" i="15"/>
  <c r="BA196" i="15"/>
  <c r="BA195" i="15"/>
  <c r="BA194" i="15"/>
  <c r="BA193" i="15"/>
  <c r="BA192" i="15"/>
  <c r="BA191" i="15"/>
  <c r="BA190" i="15"/>
  <c r="H12" i="15"/>
  <c r="H10" i="15"/>
  <c r="BA182" i="15"/>
  <c r="BA181" i="15"/>
  <c r="BA180" i="15"/>
  <c r="BA179" i="15"/>
  <c r="BA178" i="15"/>
  <c r="BA177" i="15"/>
  <c r="BA176" i="15"/>
  <c r="BA175" i="15"/>
  <c r="BA174" i="15"/>
  <c r="BA173" i="15"/>
  <c r="BA172" i="15"/>
  <c r="BA171" i="15"/>
  <c r="BA170" i="15"/>
  <c r="BA169" i="15"/>
  <c r="BA168" i="15"/>
  <c r="BA167" i="15"/>
  <c r="BA166" i="15"/>
  <c r="BA165" i="15"/>
  <c r="BA164" i="15"/>
  <c r="BA163" i="15"/>
  <c r="BA162" i="15"/>
  <c r="BA161" i="15"/>
  <c r="G12" i="15"/>
  <c r="O28" i="15"/>
  <c r="H11" i="15" s="1"/>
  <c r="H9" i="15" s="1"/>
  <c r="G10" i="15"/>
  <c r="D47" i="3" s="1"/>
  <c r="BA133" i="15"/>
  <c r="BA134" i="15"/>
  <c r="BA135" i="15"/>
  <c r="BA136" i="15"/>
  <c r="BA137" i="15"/>
  <c r="BA138" i="15"/>
  <c r="BA139" i="15"/>
  <c r="BA140" i="15"/>
  <c r="BA141" i="15"/>
  <c r="BA142" i="15"/>
  <c r="BA143" i="15"/>
  <c r="BA144" i="15"/>
  <c r="BA145" i="15"/>
  <c r="BA146" i="15"/>
  <c r="BA147" i="15"/>
  <c r="BA148" i="15"/>
  <c r="BA149" i="15"/>
  <c r="BA150" i="15"/>
  <c r="BA151" i="15"/>
  <c r="BA152" i="15"/>
  <c r="BA153" i="15"/>
  <c r="BA132" i="15"/>
  <c r="E12" i="15"/>
  <c r="E10" i="15"/>
  <c r="D12" i="15"/>
  <c r="D10" i="15"/>
  <c r="D63" i="3"/>
  <c r="G28" i="15"/>
  <c r="D11" i="15" s="1"/>
  <c r="AW52" i="15"/>
  <c r="AW53" i="15"/>
  <c r="AW54" i="15"/>
  <c r="AW55" i="15"/>
  <c r="AW56" i="15"/>
  <c r="AW57" i="15"/>
  <c r="AW58" i="15"/>
  <c r="AW59" i="15"/>
  <c r="AW60" i="15"/>
  <c r="AW61" i="15"/>
  <c r="AW62" i="15"/>
  <c r="AW63" i="15"/>
  <c r="AW64" i="15"/>
  <c r="AW65" i="15"/>
  <c r="AW66" i="15"/>
  <c r="AW67" i="15"/>
  <c r="AW68" i="15"/>
  <c r="AW69" i="15"/>
  <c r="AW70" i="15"/>
  <c r="AW51" i="15"/>
  <c r="AW78" i="15"/>
  <c r="AW79" i="15"/>
  <c r="AW80" i="15"/>
  <c r="AW81" i="15"/>
  <c r="AW82" i="15"/>
  <c r="AW83" i="15"/>
  <c r="AW84" i="15"/>
  <c r="AW85" i="15"/>
  <c r="AW86" i="15"/>
  <c r="AW87" i="15"/>
  <c r="AW88" i="15"/>
  <c r="AW89" i="15"/>
  <c r="AW90" i="15"/>
  <c r="AW91" i="15"/>
  <c r="AW92" i="15"/>
  <c r="AW93" i="15"/>
  <c r="AW94" i="15"/>
  <c r="AW95" i="15"/>
  <c r="AW96" i="15"/>
  <c r="AW97" i="15"/>
  <c r="AW106" i="15"/>
  <c r="AW107" i="15"/>
  <c r="AW108" i="15"/>
  <c r="AW109" i="15"/>
  <c r="AW110" i="15"/>
  <c r="AW111" i="15"/>
  <c r="AW112" i="15"/>
  <c r="AW113" i="15"/>
  <c r="AW114" i="15"/>
  <c r="AW115" i="15"/>
  <c r="AW116" i="15"/>
  <c r="AW117" i="15"/>
  <c r="AW118" i="15"/>
  <c r="AW119" i="15"/>
  <c r="AW120" i="15"/>
  <c r="AW121" i="15"/>
  <c r="AW122" i="15"/>
  <c r="AW123" i="15"/>
  <c r="AW124" i="15"/>
  <c r="AW105" i="15"/>
  <c r="M33" i="5"/>
  <c r="M34" i="5"/>
  <c r="M35" i="5"/>
  <c r="M36" i="5"/>
  <c r="M37" i="5"/>
  <c r="E9" i="3"/>
  <c r="G9" i="3" s="1"/>
  <c r="C9" i="3" s="1"/>
  <c r="I11" i="15"/>
  <c r="I9" i="15" s="1"/>
  <c r="D42" i="3" s="1"/>
  <c r="D18" i="23" l="1"/>
  <c r="N33" i="5" a="1"/>
  <c r="G11" i="15"/>
  <c r="G9" i="15" s="1"/>
  <c r="D46" i="3" s="1"/>
  <c r="D9" i="15"/>
  <c r="D62" i="3" s="1"/>
  <c r="C12" i="28"/>
  <c r="C11" i="15"/>
  <c r="C9" i="15" s="1"/>
  <c r="D60" i="3" s="1"/>
  <c r="E11" i="15"/>
  <c r="E9" i="15" s="1"/>
  <c r="BC161" i="15" a="1"/>
  <c r="BC190" i="15" a="1"/>
  <c r="AY51" i="15" a="1"/>
  <c r="AY105" i="15" a="1"/>
  <c r="AY78" i="15" a="1"/>
  <c r="AY78" i="15" s="1"/>
  <c r="D20" i="15" s="1"/>
  <c r="BC132" i="15" a="1"/>
  <c r="D16" i="23" l="1"/>
  <c r="E16" i="23" s="1"/>
  <c r="F16" i="23" s="1"/>
  <c r="G16" i="23" s="1"/>
  <c r="H16" i="23" s="1"/>
  <c r="I16" i="23" s="1"/>
  <c r="D17" i="23"/>
  <c r="O36" i="5"/>
  <c r="O37" i="5"/>
  <c r="G19" i="3" s="1"/>
  <c r="C19" i="3" s="1"/>
  <c r="O38" i="5"/>
  <c r="N33" i="5"/>
  <c r="O33" i="5" s="1"/>
  <c r="O34" i="5"/>
  <c r="G14" i="3" s="1"/>
  <c r="C14" i="3" s="1"/>
  <c r="O35" i="5"/>
  <c r="C13" i="28"/>
  <c r="G66" i="23"/>
  <c r="G68" i="23"/>
  <c r="D35" i="23"/>
  <c r="AY105" i="15"/>
  <c r="E20" i="15" s="1"/>
  <c r="BC161" i="15"/>
  <c r="H20" i="15" s="1"/>
  <c r="AY51" i="15"/>
  <c r="C20" i="15" s="1"/>
  <c r="BC190" i="15"/>
  <c r="I20" i="15" s="1"/>
  <c r="BC132" i="15"/>
  <c r="G20" i="15" s="1"/>
  <c r="G18" i="3" l="1"/>
  <c r="C18" i="3" s="1"/>
  <c r="G13" i="3"/>
  <c r="C13" i="3" s="1"/>
  <c r="G17" i="3"/>
  <c r="C17" i="3" s="1"/>
  <c r="G12" i="3"/>
  <c r="C12" i="3" s="1"/>
  <c r="U14" i="46"/>
  <c r="V14" i="46" s="1"/>
  <c r="U8" i="46"/>
  <c r="V8" i="46" s="1"/>
  <c r="C14" i="28"/>
  <c r="H66" i="23"/>
  <c r="H68" i="23"/>
  <c r="D52" i="23"/>
  <c r="E18" i="23" l="1"/>
  <c r="E17" i="23" s="1"/>
  <c r="F18" i="23"/>
  <c r="E35" i="23"/>
  <c r="U15" i="46" s="1"/>
  <c r="V15" i="46" s="1"/>
  <c r="F35" i="23"/>
  <c r="G35" i="23" s="1"/>
  <c r="D19" i="23"/>
  <c r="D36" i="23"/>
  <c r="C15" i="28"/>
  <c r="I66" i="23"/>
  <c r="I8" i="28" s="1"/>
  <c r="I68" i="23"/>
  <c r="I17" i="23" l="1"/>
  <c r="H17" i="23"/>
  <c r="G17" i="23"/>
  <c r="G18" i="23" s="1"/>
  <c r="F17" i="23"/>
  <c r="E20" i="23"/>
  <c r="U20" i="46" s="1"/>
  <c r="V20" i="46" s="1"/>
  <c r="U10" i="46"/>
  <c r="V10" i="46" s="1"/>
  <c r="E37" i="23"/>
  <c r="F20" i="23"/>
  <c r="U21" i="46" s="1"/>
  <c r="V21" i="46" s="1"/>
  <c r="E52" i="23"/>
  <c r="U9" i="46"/>
  <c r="V9" i="46" s="1"/>
  <c r="H35" i="23"/>
  <c r="H37" i="23" s="1"/>
  <c r="F52" i="23"/>
  <c r="I35" i="23"/>
  <c r="U19" i="46" s="1"/>
  <c r="V19" i="46" s="1"/>
  <c r="F37" i="23"/>
  <c r="U26" i="46" s="1"/>
  <c r="V26" i="46" s="1"/>
  <c r="U16" i="46"/>
  <c r="V16" i="46" s="1"/>
  <c r="E19" i="23"/>
  <c r="F19" i="23"/>
  <c r="G37" i="23"/>
  <c r="U17" i="46"/>
  <c r="V17" i="46" s="1"/>
  <c r="I9" i="28"/>
  <c r="J9" i="28" s="1"/>
  <c r="C16" i="28"/>
  <c r="J68" i="23"/>
  <c r="H18" i="23" l="1"/>
  <c r="I18" i="23" s="1"/>
  <c r="E54" i="23"/>
  <c r="U25" i="46"/>
  <c r="V25" i="46" s="1"/>
  <c r="F54" i="23"/>
  <c r="U18" i="46"/>
  <c r="V18" i="46" s="1"/>
  <c r="I37" i="23"/>
  <c r="U29" i="46" s="1"/>
  <c r="V29" i="46" s="1"/>
  <c r="U28" i="46"/>
  <c r="V28" i="46" s="1"/>
  <c r="U27" i="46"/>
  <c r="V27" i="46" s="1"/>
  <c r="I10" i="28"/>
  <c r="J10" i="28" s="1"/>
  <c r="C17" i="28"/>
  <c r="I11" i="28" l="1"/>
  <c r="J11" i="28" s="1"/>
  <c r="C18" i="28"/>
  <c r="I12" i="28" l="1"/>
  <c r="J12" i="28" s="1"/>
  <c r="C19" i="28"/>
  <c r="I13" i="28" l="1"/>
  <c r="J13" i="28" s="1"/>
  <c r="C20" i="28"/>
  <c r="I14" i="28" l="1"/>
  <c r="J14" i="28" s="1"/>
  <c r="C21" i="28"/>
  <c r="I15" i="28" l="1"/>
  <c r="J15" i="28" s="1"/>
  <c r="C22" i="28"/>
  <c r="I16" i="28" l="1"/>
  <c r="J16" i="28" s="1"/>
  <c r="C23" i="28"/>
  <c r="I17" i="28" l="1"/>
  <c r="J17" i="28" s="1"/>
  <c r="C24" i="28"/>
  <c r="I18" i="28" l="1"/>
  <c r="J18" i="28" s="1"/>
  <c r="C25" i="28"/>
  <c r="I19" i="28" l="1"/>
  <c r="J19" i="28" s="1"/>
  <c r="C26" i="28"/>
  <c r="I20" i="28" l="1"/>
  <c r="J20" i="28" s="1"/>
  <c r="C27" i="28"/>
  <c r="I21" i="28" l="1"/>
  <c r="J21" i="28" s="1"/>
  <c r="C28" i="28"/>
  <c r="I22" i="28" l="1"/>
  <c r="J22" i="28" s="1"/>
  <c r="C29" i="28"/>
  <c r="I23" i="28" l="1"/>
  <c r="J23" i="28" s="1"/>
  <c r="C30" i="28"/>
  <c r="I24" i="28" l="1"/>
  <c r="J24" i="28" s="1"/>
  <c r="C31" i="28"/>
  <c r="I25" i="28" l="1"/>
  <c r="J25" i="28" s="1"/>
  <c r="C32" i="28"/>
  <c r="I26" i="28" l="1"/>
  <c r="J26" i="28" s="1"/>
  <c r="C33" i="28"/>
  <c r="I27" i="28" l="1"/>
  <c r="J27" i="28" s="1"/>
  <c r="C34" i="28"/>
  <c r="I28" i="28" l="1"/>
  <c r="J28" i="28" s="1"/>
  <c r="C35" i="28"/>
  <c r="I29" i="28" l="1"/>
  <c r="J29" i="28" s="1"/>
  <c r="C36" i="28"/>
  <c r="I30" i="28" l="1"/>
  <c r="J30" i="28" s="1"/>
  <c r="C37" i="28"/>
  <c r="I31" i="28" l="1"/>
  <c r="J31" i="28" s="1"/>
  <c r="C38" i="28"/>
  <c r="I32" i="28" l="1"/>
  <c r="J32" i="28" s="1"/>
  <c r="C39" i="28"/>
  <c r="I33" i="28" l="1"/>
  <c r="J33" i="28" s="1"/>
  <c r="C40" i="28"/>
  <c r="I34" i="28" l="1"/>
  <c r="J34" i="28" s="1"/>
  <c r="C41" i="28"/>
  <c r="I35" i="28" l="1"/>
  <c r="J35" i="28" s="1"/>
  <c r="C42" i="28"/>
  <c r="I36" i="28" l="1"/>
  <c r="J36" i="28" s="1"/>
  <c r="C43" i="28"/>
  <c r="I37" i="28" l="1"/>
  <c r="J37" i="28" s="1"/>
  <c r="C44" i="28"/>
  <c r="I38" i="28" l="1"/>
  <c r="J38" i="28" s="1"/>
  <c r="C45" i="28"/>
  <c r="I39" i="28" l="1"/>
  <c r="J39" i="28" s="1"/>
  <c r="C46" i="28"/>
  <c r="I40" i="28" l="1"/>
  <c r="J40" i="28" s="1"/>
  <c r="C47" i="28"/>
  <c r="I41" i="28" l="1"/>
  <c r="J41" i="28" s="1"/>
  <c r="C48" i="28"/>
  <c r="I42" i="28" l="1"/>
  <c r="J42" i="28" s="1"/>
  <c r="C49" i="28"/>
  <c r="I43" i="28" l="1"/>
  <c r="J43" i="28" s="1"/>
  <c r="C50" i="28"/>
  <c r="I44" i="28" l="1"/>
  <c r="J44" i="28" s="1"/>
  <c r="C51" i="28"/>
  <c r="I45" i="28" l="1"/>
  <c r="J45" i="28" s="1"/>
  <c r="C52" i="28"/>
  <c r="I46" i="28" l="1"/>
  <c r="J46" i="28" s="1"/>
  <c r="C53" i="28"/>
  <c r="I47" i="28" l="1"/>
  <c r="J47" i="28" s="1"/>
  <c r="C54" i="28"/>
  <c r="I48" i="28" l="1"/>
  <c r="J48" i="28" s="1"/>
  <c r="C55" i="28"/>
  <c r="I49" i="28" l="1"/>
  <c r="J49" i="28" s="1"/>
  <c r="C56" i="28"/>
  <c r="I50" i="28" l="1"/>
  <c r="J50" i="28" s="1"/>
  <c r="C57" i="28"/>
  <c r="I51" i="28" l="1"/>
  <c r="J51" i="28" s="1"/>
  <c r="C58" i="28"/>
  <c r="I52" i="28" l="1"/>
  <c r="J52" i="28" s="1"/>
  <c r="I53" i="28" l="1"/>
  <c r="J53" i="28" s="1"/>
  <c r="I54" i="28" l="1"/>
  <c r="J54" i="28" s="1"/>
  <c r="I55" i="28" l="1"/>
  <c r="J55" i="28" s="1"/>
  <c r="I56" i="28" l="1"/>
  <c r="J56" i="28" s="1"/>
  <c r="I57" i="28" l="1"/>
  <c r="J57" i="28" s="1"/>
  <c r="I58" i="28" l="1"/>
  <c r="J58" i="28" s="1"/>
  <c r="D13" i="23" l="1"/>
  <c r="D14" i="23"/>
  <c r="G14" i="23" l="1"/>
  <c r="E13" i="23"/>
  <c r="I13" i="23"/>
  <c r="H14" i="23"/>
  <c r="F13" i="23"/>
  <c r="G13" i="23"/>
  <c r="H13" i="23"/>
  <c r="E14" i="23"/>
  <c r="I14" i="23"/>
  <c r="F14" i="23"/>
  <c r="D53" i="23" l="1"/>
  <c r="H1012" i="26"/>
  <c r="H1011" i="26"/>
  <c r="H1010" i="26"/>
  <c r="J1010" i="26" l="1"/>
  <c r="J1012" i="26"/>
  <c r="J1011" i="26"/>
  <c r="I1012" i="26"/>
  <c r="I1011" i="26"/>
  <c r="I1010" i="26"/>
  <c r="G25" i="3" l="1"/>
  <c r="C25" i="3" s="1"/>
  <c r="G27" i="3"/>
  <c r="C27" i="3" s="1"/>
  <c r="G26" i="3"/>
  <c r="C26" i="3" s="1"/>
  <c r="U11" i="46" l="1"/>
  <c r="U13" i="46"/>
  <c r="V13" i="46" s="1"/>
  <c r="U12" i="46"/>
  <c r="V12" i="46" s="1"/>
  <c r="G20" i="23"/>
  <c r="H20" i="23"/>
  <c r="G52" i="23"/>
  <c r="I52" i="23"/>
  <c r="I20" i="23"/>
  <c r="H52" i="23"/>
  <c r="H19" i="23" l="1"/>
  <c r="I19" i="23"/>
  <c r="G19" i="23"/>
  <c r="H36" i="23"/>
  <c r="G36" i="23"/>
  <c r="F36" i="23"/>
  <c r="F21" i="23"/>
  <c r="I36" i="23"/>
  <c r="E21" i="23"/>
  <c r="E36" i="23"/>
  <c r="E53" i="23" s="1"/>
  <c r="U22" i="46"/>
  <c r="V22" i="46" s="1"/>
  <c r="U24" i="46"/>
  <c r="V24" i="46" s="1"/>
  <c r="U23" i="46"/>
  <c r="V23" i="46" s="1"/>
  <c r="V11" i="46"/>
  <c r="H54" i="23"/>
  <c r="I54" i="23"/>
  <c r="G54" i="23"/>
  <c r="H53" i="23" l="1"/>
  <c r="G53" i="23"/>
  <c r="G21" i="23"/>
  <c r="H21" i="23"/>
  <c r="I21" i="23"/>
  <c r="F53" i="23"/>
  <c r="H38" i="23"/>
  <c r="F38" i="23"/>
  <c r="F55" i="23" s="1"/>
  <c r="F67" i="23" s="1"/>
  <c r="F79" i="23" s="1"/>
  <c r="G38" i="23"/>
  <c r="I38" i="23"/>
  <c r="E38" i="23"/>
  <c r="G23" i="28"/>
  <c r="G12" i="28"/>
  <c r="G45" i="28"/>
  <c r="G9" i="28"/>
  <c r="G17" i="28"/>
  <c r="G39" i="28"/>
  <c r="G18" i="28"/>
  <c r="G34" i="28"/>
  <c r="G42" i="28"/>
  <c r="G33" i="28"/>
  <c r="G36" i="28"/>
  <c r="G47" i="28"/>
  <c r="G52" i="28"/>
  <c r="G37" i="28"/>
  <c r="G13" i="28"/>
  <c r="G43" i="28"/>
  <c r="G30" i="28"/>
  <c r="G28" i="28"/>
  <c r="G53" i="28"/>
  <c r="G15" i="28"/>
  <c r="G41" i="28"/>
  <c r="G58" i="28"/>
  <c r="G55" i="28"/>
  <c r="G38" i="28"/>
  <c r="G35" i="28"/>
  <c r="G26" i="28"/>
  <c r="G14" i="28"/>
  <c r="G40" i="28"/>
  <c r="G57" i="28"/>
  <c r="G44" i="28"/>
  <c r="G21" i="28"/>
  <c r="G22" i="28"/>
  <c r="G27" i="28"/>
  <c r="G25" i="28"/>
  <c r="G48" i="28"/>
  <c r="G51" i="28"/>
  <c r="G49" i="28"/>
  <c r="G29" i="28"/>
  <c r="G11" i="28"/>
  <c r="G46" i="28"/>
  <c r="G54" i="28"/>
  <c r="G19" i="28"/>
  <c r="G31" i="28"/>
  <c r="G20" i="28"/>
  <c r="G16" i="28"/>
  <c r="G10" i="28"/>
  <c r="G56" i="28"/>
  <c r="G24" i="28"/>
  <c r="G50" i="28"/>
  <c r="G32" i="28"/>
  <c r="I53" i="23"/>
  <c r="E106" i="23" s="1"/>
  <c r="E100" i="23" l="1"/>
  <c r="F7" i="26" s="1"/>
  <c r="H55" i="23"/>
  <c r="H67" i="23" s="1"/>
  <c r="H79" i="23" s="1"/>
  <c r="G55" i="23"/>
  <c r="G67" i="23" s="1"/>
  <c r="I55" i="23"/>
  <c r="E101" i="23"/>
  <c r="E55" i="23"/>
  <c r="F15" i="28"/>
  <c r="M15" i="28" s="1"/>
  <c r="F25" i="28"/>
  <c r="M25" i="28" s="1"/>
  <c r="F35" i="28"/>
  <c r="M35" i="28" s="1"/>
  <c r="F45" i="28"/>
  <c r="M45" i="28" s="1"/>
  <c r="F55" i="28"/>
  <c r="M55" i="28" s="1"/>
  <c r="F38" i="28"/>
  <c r="M38" i="28" s="1"/>
  <c r="F29" i="28"/>
  <c r="M29" i="28" s="1"/>
  <c r="F9" i="28"/>
  <c r="M9" i="28" s="1"/>
  <c r="F10" i="28"/>
  <c r="M10" i="28" s="1"/>
  <c r="F40" i="28"/>
  <c r="M40" i="28" s="1"/>
  <c r="F11" i="28"/>
  <c r="M11" i="28" s="1"/>
  <c r="F41" i="28"/>
  <c r="M41" i="28" s="1"/>
  <c r="F16" i="28"/>
  <c r="M16" i="28" s="1"/>
  <c r="F26" i="28"/>
  <c r="M26" i="28" s="1"/>
  <c r="F36" i="28"/>
  <c r="M36" i="28" s="1"/>
  <c r="F46" i="28"/>
  <c r="M46" i="28" s="1"/>
  <c r="F56" i="28"/>
  <c r="M56" i="28" s="1"/>
  <c r="F18" i="28"/>
  <c r="M18" i="28" s="1"/>
  <c r="F48" i="28"/>
  <c r="M48" i="28" s="1"/>
  <c r="F39" i="28"/>
  <c r="M39" i="28" s="1"/>
  <c r="F20" i="28"/>
  <c r="M20" i="28" s="1"/>
  <c r="F17" i="28"/>
  <c r="M17" i="28" s="1"/>
  <c r="F27" i="28"/>
  <c r="M27" i="28" s="1"/>
  <c r="F37" i="28"/>
  <c r="M37" i="28" s="1"/>
  <c r="F47" i="28"/>
  <c r="M47" i="28" s="1"/>
  <c r="F57" i="28"/>
  <c r="M57" i="28" s="1"/>
  <c r="F28" i="28"/>
  <c r="M28" i="28" s="1"/>
  <c r="F58" i="28"/>
  <c r="M58" i="28" s="1"/>
  <c r="F19" i="28"/>
  <c r="M19" i="28" s="1"/>
  <c r="F49" i="28"/>
  <c r="M49" i="28" s="1"/>
  <c r="F30" i="28"/>
  <c r="M30" i="28" s="1"/>
  <c r="F50" i="28"/>
  <c r="M50" i="28" s="1"/>
  <c r="F21" i="28"/>
  <c r="M21" i="28" s="1"/>
  <c r="F51" i="28"/>
  <c r="M51" i="28" s="1"/>
  <c r="F12" i="28"/>
  <c r="M12" i="28" s="1"/>
  <c r="F22" i="28"/>
  <c r="M22" i="28" s="1"/>
  <c r="F32" i="28"/>
  <c r="M32" i="28" s="1"/>
  <c r="F42" i="28"/>
  <c r="M42" i="28" s="1"/>
  <c r="F52" i="28"/>
  <c r="M52" i="28" s="1"/>
  <c r="F13" i="28"/>
  <c r="M13" i="28" s="1"/>
  <c r="F23" i="28"/>
  <c r="M23" i="28" s="1"/>
  <c r="F33" i="28"/>
  <c r="M33" i="28" s="1"/>
  <c r="F43" i="28"/>
  <c r="M43" i="28" s="1"/>
  <c r="F53" i="28"/>
  <c r="M53" i="28" s="1"/>
  <c r="F14" i="28"/>
  <c r="M14" i="28" s="1"/>
  <c r="F24" i="28"/>
  <c r="M24" i="28" s="1"/>
  <c r="F34" i="28"/>
  <c r="M34" i="28" s="1"/>
  <c r="F44" i="28"/>
  <c r="M44" i="28" s="1"/>
  <c r="F54" i="28"/>
  <c r="M54" i="28" s="1"/>
  <c r="F31" i="28"/>
  <c r="M31" i="28" s="1"/>
  <c r="E89" i="23"/>
  <c r="F89" i="23"/>
  <c r="G89" i="23"/>
  <c r="I67" i="23" l="1"/>
  <c r="I79" i="23" s="1"/>
  <c r="G79" i="23"/>
  <c r="E102" i="23"/>
  <c r="E67" i="23"/>
  <c r="G7" i="26"/>
  <c r="F84" i="23" l="1"/>
  <c r="G84" i="23" a="1"/>
  <c r="G84" i="23" s="1"/>
  <c r="E84" i="23"/>
  <c r="J67" i="23"/>
  <c r="E104" i="23" s="1"/>
  <c r="I7" i="26" s="1"/>
  <c r="E79" i="23"/>
  <c r="J79" i="23" l="1"/>
  <c r="F8" i="28" l="1"/>
  <c r="M8" i="28" s="1"/>
  <c r="P8" i="28" s="1"/>
  <c r="P9" i="28" s="1"/>
  <c r="P10" i="28" s="1"/>
  <c r="P11" i="28" s="1"/>
  <c r="P12" i="28" l="1"/>
  <c r="P13" i="28" l="1"/>
  <c r="P14" i="28" l="1"/>
  <c r="P15" i="28" l="1"/>
  <c r="P16" i="28" l="1"/>
  <c r="P17" i="28" l="1"/>
  <c r="P18" i="28" l="1"/>
  <c r="P19" i="28" l="1"/>
  <c r="P20" i="28" l="1"/>
  <c r="P21" i="28" l="1"/>
  <c r="P22" i="28" l="1"/>
  <c r="P23" i="28" l="1"/>
  <c r="P24" i="28" l="1"/>
  <c r="P25" i="28" l="1"/>
  <c r="P26" i="28" l="1"/>
  <c r="P27" i="28" l="1"/>
  <c r="P28" i="28" l="1"/>
  <c r="P29" i="28" s="1"/>
  <c r="P30" i="28" l="1"/>
  <c r="P31" i="28" l="1"/>
  <c r="P32" i="28" l="1"/>
  <c r="P33" i="28" l="1"/>
  <c r="P34" i="28" l="1"/>
  <c r="P35" i="28" l="1"/>
  <c r="P36" i="28" l="1"/>
  <c r="P37" i="28" l="1"/>
  <c r="P38" i="28" l="1"/>
  <c r="P39" i="28" l="1"/>
  <c r="P40" i="28" l="1"/>
  <c r="P41" i="28" l="1"/>
  <c r="P42" i="28" l="1"/>
  <c r="P43" i="28" l="1"/>
  <c r="P44" i="28" l="1"/>
  <c r="P45" i="28" l="1"/>
  <c r="P46" i="28" l="1"/>
  <c r="P47" i="28" l="1"/>
  <c r="P48" i="28" l="1"/>
  <c r="P49" i="28" l="1"/>
  <c r="P50" i="28" l="1"/>
  <c r="P51" i="28" l="1"/>
  <c r="P52" i="28" l="1"/>
  <c r="P53" i="28" l="1"/>
  <c r="P54" i="28" l="1"/>
  <c r="P55" i="28" l="1"/>
  <c r="P56" i="28" l="1"/>
  <c r="BC211" i="15"/>
  <c r="BC210" i="15"/>
  <c r="BC209" i="15"/>
  <c r="BC208" i="15"/>
  <c r="BC207" i="15"/>
  <c r="BC206" i="15"/>
  <c r="BC205" i="15"/>
  <c r="BC204" i="15"/>
  <c r="BC203" i="15"/>
  <c r="BC202" i="15"/>
  <c r="BC201" i="15"/>
  <c r="BC200" i="15"/>
  <c r="BC199" i="15"/>
  <c r="BC198" i="15"/>
  <c r="BC197" i="15"/>
  <c r="BC196" i="15"/>
  <c r="BC195" i="15"/>
  <c r="BC194" i="15"/>
  <c r="BC193" i="15"/>
  <c r="BC192" i="15"/>
  <c r="BC191" i="15"/>
  <c r="I18" i="15" s="1"/>
  <c r="G43" i="3" s="1"/>
  <c r="C43" i="3" s="1"/>
  <c r="BC182" i="15"/>
  <c r="BC181" i="15"/>
  <c r="BC180" i="15"/>
  <c r="BC179" i="15"/>
  <c r="BC178" i="15"/>
  <c r="BC177" i="15"/>
  <c r="BC176" i="15"/>
  <c r="BC175" i="15"/>
  <c r="BC174" i="15"/>
  <c r="BC173" i="15"/>
  <c r="BC172" i="15"/>
  <c r="BC171" i="15"/>
  <c r="BC170" i="15"/>
  <c r="BC169" i="15"/>
  <c r="BC168" i="15"/>
  <c r="BC167" i="15"/>
  <c r="BC166" i="15"/>
  <c r="BC165" i="15"/>
  <c r="BC164" i="15"/>
  <c r="BC163" i="15"/>
  <c r="BC162" i="15"/>
  <c r="H18" i="15" s="1"/>
  <c r="G45" i="3" s="1"/>
  <c r="C45" i="3" s="1"/>
  <c r="BC153" i="15"/>
  <c r="BC152" i="15"/>
  <c r="BC151" i="15"/>
  <c r="BC150" i="15"/>
  <c r="BC149" i="15"/>
  <c r="BC148" i="15"/>
  <c r="BC147" i="15"/>
  <c r="BC146" i="15"/>
  <c r="BC145" i="15"/>
  <c r="BC144" i="15"/>
  <c r="BC143" i="15"/>
  <c r="BC142" i="15"/>
  <c r="BC141" i="15"/>
  <c r="BC140" i="15"/>
  <c r="BC139" i="15"/>
  <c r="BC138" i="15"/>
  <c r="BC137" i="15"/>
  <c r="BC136" i="15"/>
  <c r="BC135" i="15"/>
  <c r="BC134" i="15"/>
  <c r="BC133" i="15"/>
  <c r="G18" i="15" s="1"/>
  <c r="G47" i="3" s="1"/>
  <c r="C47" i="3" s="1"/>
  <c r="AY124" i="15"/>
  <c r="AY123" i="15"/>
  <c r="AY122" i="15"/>
  <c r="AY121" i="15"/>
  <c r="AY120" i="15"/>
  <c r="AY119" i="15"/>
  <c r="AY118" i="15"/>
  <c r="AY117" i="15"/>
  <c r="AY116" i="15"/>
  <c r="AY115" i="15"/>
  <c r="AY114" i="15"/>
  <c r="AY113" i="15"/>
  <c r="AY112" i="15"/>
  <c r="AY111" i="15"/>
  <c r="AY110" i="15"/>
  <c r="AY109" i="15"/>
  <c r="AY108" i="15"/>
  <c r="AY107" i="15"/>
  <c r="AY106" i="15"/>
  <c r="E18" i="15" s="1"/>
  <c r="AY97" i="15"/>
  <c r="AY96" i="15"/>
  <c r="AY95" i="15"/>
  <c r="AY94" i="15"/>
  <c r="AY93" i="15"/>
  <c r="AY92" i="15"/>
  <c r="AY91" i="15"/>
  <c r="AY90" i="15"/>
  <c r="AY89" i="15"/>
  <c r="AY88" i="15"/>
  <c r="AY87" i="15"/>
  <c r="AY86" i="15"/>
  <c r="AY85" i="15"/>
  <c r="AY84" i="15"/>
  <c r="AY83" i="15"/>
  <c r="AY82" i="15"/>
  <c r="AY81" i="15"/>
  <c r="AY80" i="15"/>
  <c r="AY79" i="15"/>
  <c r="AY70" i="15"/>
  <c r="AY69" i="15"/>
  <c r="AY68" i="15"/>
  <c r="AY67" i="15"/>
  <c r="AY66" i="15"/>
  <c r="AY65" i="15"/>
  <c r="AY64" i="15"/>
  <c r="AY63" i="15"/>
  <c r="AY62" i="15"/>
  <c r="AY61" i="15"/>
  <c r="AY60" i="15"/>
  <c r="AY59" i="15"/>
  <c r="AY58" i="15"/>
  <c r="AY57" i="15"/>
  <c r="AY56" i="15"/>
  <c r="AY55" i="15"/>
  <c r="AY54" i="15"/>
  <c r="AY53" i="15"/>
  <c r="AY52" i="15"/>
  <c r="C18" i="15" s="1"/>
  <c r="G61" i="3" s="1"/>
  <c r="C61" i="3" s="1"/>
  <c r="P57" i="28" l="1"/>
  <c r="E19" i="15"/>
  <c r="E17" i="15" s="1"/>
  <c r="D19" i="15"/>
  <c r="D17" i="15" s="1"/>
  <c r="G62" i="3" s="1"/>
  <c r="C62" i="3" s="1"/>
  <c r="C19" i="15"/>
  <c r="C17" i="15" s="1"/>
  <c r="G60" i="3" s="1"/>
  <c r="C60" i="3" s="1"/>
  <c r="D18" i="15"/>
  <c r="G63" i="3" s="1"/>
  <c r="C63" i="3" s="1"/>
  <c r="G19" i="15"/>
  <c r="G17" i="15" s="1"/>
  <c r="G46" i="3" s="1"/>
  <c r="C46" i="3" s="1"/>
  <c r="H19" i="15"/>
  <c r="H17" i="15" s="1"/>
  <c r="G44" i="3" s="1"/>
  <c r="C44" i="3" s="1"/>
  <c r="I19" i="15"/>
  <c r="I17" i="15" s="1"/>
  <c r="G42" i="3" s="1"/>
  <c r="C42" i="3" s="1"/>
  <c r="I30" i="23" l="1"/>
  <c r="E47" i="23"/>
  <c r="H47" i="23"/>
  <c r="F47" i="23"/>
  <c r="H30" i="23"/>
  <c r="I47" i="23"/>
  <c r="G30" i="23"/>
  <c r="G47" i="23"/>
  <c r="F30" i="23"/>
  <c r="H31" i="23"/>
  <c r="I31" i="23"/>
  <c r="F48" i="23"/>
  <c r="G31" i="23"/>
  <c r="G48" i="23"/>
  <c r="E31" i="23"/>
  <c r="E48" i="23"/>
  <c r="F31" i="23"/>
  <c r="H48" i="23"/>
  <c r="I48" i="23"/>
  <c r="P58" i="28"/>
  <c r="V30" i="15"/>
  <c r="V12" i="15"/>
  <c r="D40" i="23"/>
  <c r="V15" i="15"/>
  <c r="V22" i="15"/>
  <c r="F23" i="23"/>
  <c r="F27" i="23" s="1"/>
  <c r="V19" i="15"/>
  <c r="E40" i="23"/>
  <c r="E44" i="23" s="1"/>
  <c r="V11" i="15"/>
  <c r="V31" i="15"/>
  <c r="V17" i="15"/>
  <c r="V38" i="15"/>
  <c r="V23" i="15"/>
  <c r="V25" i="15"/>
  <c r="G40" i="23"/>
  <c r="G44" i="23" s="1"/>
  <c r="F40" i="23"/>
  <c r="F44" i="23" s="1"/>
  <c r="V32" i="15"/>
  <c r="V18" i="15"/>
  <c r="V10" i="15"/>
  <c r="H40" i="23"/>
  <c r="H44" i="23" s="1"/>
  <c r="V35" i="15"/>
  <c r="V16" i="15"/>
  <c r="V24" i="15"/>
  <c r="V34" i="15"/>
  <c r="I40" i="23"/>
  <c r="I44" i="23" s="1"/>
  <c r="V21" i="15"/>
  <c r="E23" i="23"/>
  <c r="E27" i="23" s="1"/>
  <c r="D23" i="23"/>
  <c r="V14" i="15"/>
  <c r="V33" i="15"/>
  <c r="V13" i="15"/>
  <c r="V26" i="15"/>
  <c r="V28" i="15"/>
  <c r="V20" i="15"/>
  <c r="V29" i="15"/>
  <c r="V36" i="15"/>
  <c r="V27" i="15"/>
  <c r="V37" i="15"/>
  <c r="I23" i="23"/>
  <c r="I27" i="23" s="1"/>
  <c r="G23" i="23"/>
  <c r="G27" i="23" s="1"/>
  <c r="H23" i="23"/>
  <c r="H27" i="23" s="1"/>
  <c r="AE17" i="15"/>
  <c r="AE38" i="15"/>
  <c r="AE14" i="15"/>
  <c r="AE13" i="15"/>
  <c r="AE12" i="15"/>
  <c r="AE10" i="15"/>
  <c r="AE20" i="15"/>
  <c r="AE23" i="15"/>
  <c r="AE15" i="15"/>
  <c r="AE34" i="15"/>
  <c r="AE29" i="15"/>
  <c r="AE11" i="15"/>
  <c r="AE18" i="15"/>
  <c r="AE26" i="15"/>
  <c r="AE25" i="15"/>
  <c r="AE16" i="15"/>
  <c r="AE35" i="15"/>
  <c r="AE22" i="15"/>
  <c r="AE27" i="15"/>
  <c r="AE28" i="15"/>
  <c r="AE19" i="15"/>
  <c r="AE37" i="15"/>
  <c r="AE24" i="15"/>
  <c r="AE36" i="15"/>
  <c r="AE32" i="15"/>
  <c r="AE21" i="15"/>
  <c r="AE33" i="15"/>
  <c r="AE30" i="15"/>
  <c r="AE31" i="15"/>
  <c r="AF36" i="15"/>
  <c r="AF29" i="15"/>
  <c r="AF27" i="15"/>
  <c r="AF38" i="15"/>
  <c r="AF15" i="15"/>
  <c r="AF17" i="15"/>
  <c r="AF26" i="15"/>
  <c r="AF12" i="15"/>
  <c r="AF11" i="15"/>
  <c r="AF37" i="15"/>
  <c r="AF14" i="15"/>
  <c r="AF24" i="15"/>
  <c r="AF23" i="15"/>
  <c r="AF25" i="15"/>
  <c r="AF34" i="15"/>
  <c r="AF20" i="15"/>
  <c r="AF13" i="15"/>
  <c r="AF16" i="15"/>
  <c r="AF22" i="15"/>
  <c r="AF19" i="15"/>
  <c r="AF31" i="15"/>
  <c r="AF33" i="15"/>
  <c r="AF28" i="15"/>
  <c r="AF21" i="15"/>
  <c r="AF32" i="15"/>
  <c r="AF30" i="15"/>
  <c r="AF35" i="15"/>
  <c r="AF10" i="15"/>
  <c r="AF18" i="15"/>
  <c r="U12" i="15"/>
  <c r="U32" i="15"/>
  <c r="U25" i="15"/>
  <c r="U18" i="15"/>
  <c r="U37" i="15"/>
  <c r="U27" i="15"/>
  <c r="U33" i="15"/>
  <c r="U34" i="15"/>
  <c r="E39" i="23"/>
  <c r="E43" i="23" s="1"/>
  <c r="E22" i="23"/>
  <c r="E26" i="23" s="1"/>
  <c r="I39" i="23"/>
  <c r="I43" i="23" s="1"/>
  <c r="U16" i="15"/>
  <c r="U21" i="15"/>
  <c r="U14" i="15"/>
  <c r="D22" i="23"/>
  <c r="U38" i="15"/>
  <c r="U29" i="15"/>
  <c r="U17" i="15"/>
  <c r="U13" i="15"/>
  <c r="U22" i="15"/>
  <c r="U20" i="15"/>
  <c r="U26" i="15"/>
  <c r="U10" i="15"/>
  <c r="U35" i="15"/>
  <c r="U28" i="15"/>
  <c r="G39" i="23"/>
  <c r="G43" i="23" s="1"/>
  <c r="F39" i="23"/>
  <c r="F43" i="23" s="1"/>
  <c r="H39" i="23"/>
  <c r="H43" i="23" s="1"/>
  <c r="U30" i="15"/>
  <c r="U36" i="15"/>
  <c r="U11" i="15"/>
  <c r="U15" i="15"/>
  <c r="F22" i="23"/>
  <c r="F26" i="23" s="1"/>
  <c r="U24" i="15"/>
  <c r="U31" i="15"/>
  <c r="U19" i="15"/>
  <c r="U23" i="15"/>
  <c r="D39" i="23"/>
  <c r="H22" i="23"/>
  <c r="H26" i="23" s="1"/>
  <c r="I22" i="23"/>
  <c r="I26" i="23" s="1"/>
  <c r="G22" i="23"/>
  <c r="G26" i="23" s="1"/>
  <c r="W31" i="15"/>
  <c r="W30" i="15"/>
  <c r="G41" i="23"/>
  <c r="G45" i="23" s="1"/>
  <c r="W38" i="15"/>
  <c r="W34" i="15"/>
  <c r="W16" i="15"/>
  <c r="H41" i="23"/>
  <c r="H45" i="23" s="1"/>
  <c r="W22" i="15"/>
  <c r="W13" i="15"/>
  <c r="I41" i="23"/>
  <c r="I45" i="23" s="1"/>
  <c r="W21" i="15"/>
  <c r="W26" i="15"/>
  <c r="W29" i="15"/>
  <c r="W25" i="15"/>
  <c r="E41" i="23"/>
  <c r="E45" i="23" s="1"/>
  <c r="W36" i="15"/>
  <c r="W24" i="15"/>
  <c r="W11" i="15"/>
  <c r="D24" i="23"/>
  <c r="W33" i="15"/>
  <c r="W10" i="15"/>
  <c r="W17" i="15"/>
  <c r="W35" i="15"/>
  <c r="W37" i="15"/>
  <c r="W32" i="15"/>
  <c r="F24" i="23"/>
  <c r="F28" i="23" s="1"/>
  <c r="W15" i="15"/>
  <c r="W14" i="15"/>
  <c r="W12" i="15"/>
  <c r="W18" i="15"/>
  <c r="W20" i="15"/>
  <c r="F41" i="23"/>
  <c r="F45" i="23" s="1"/>
  <c r="E24" i="23"/>
  <c r="E28" i="23" s="1"/>
  <c r="W28" i="15"/>
  <c r="D41" i="23"/>
  <c r="W23" i="15"/>
  <c r="W27" i="15"/>
  <c r="W19" i="15"/>
  <c r="I24" i="23"/>
  <c r="I28" i="23" s="1"/>
  <c r="G24" i="23"/>
  <c r="G28" i="23" s="1"/>
  <c r="H24" i="23"/>
  <c r="H28" i="23" s="1"/>
  <c r="H62" i="23" l="1"/>
  <c r="H74" i="23" s="1"/>
  <c r="G32" i="23"/>
  <c r="G62" i="23"/>
  <c r="G74" i="23" s="1"/>
  <c r="I62" i="23"/>
  <c r="I74" i="23" s="1"/>
  <c r="F49" i="23"/>
  <c r="F61" i="23"/>
  <c r="F73" i="23" s="1"/>
  <c r="I49" i="23"/>
  <c r="I61" i="23"/>
  <c r="I73" i="23" s="1"/>
  <c r="H49" i="23"/>
  <c r="H61" i="23"/>
  <c r="H73" i="23" s="1"/>
  <c r="F32" i="23"/>
  <c r="H32" i="23"/>
  <c r="E61" i="23"/>
  <c r="E73" i="23" s="1"/>
  <c r="E49" i="23"/>
  <c r="E62" i="23"/>
  <c r="E74" i="23" s="1"/>
  <c r="F62" i="23"/>
  <c r="F74" i="23" s="1"/>
  <c r="G49" i="23"/>
  <c r="G61" i="23"/>
  <c r="G73" i="23" s="1"/>
  <c r="E32" i="23"/>
  <c r="I32" i="23"/>
  <c r="X30" i="15"/>
  <c r="X28" i="15"/>
  <c r="X20" i="15"/>
  <c r="X29" i="15"/>
  <c r="X21" i="15"/>
  <c r="X23" i="15"/>
  <c r="X19" i="15"/>
  <c r="X15" i="15"/>
  <c r="X35" i="15"/>
  <c r="X22" i="15"/>
  <c r="X38" i="15"/>
  <c r="X16" i="15"/>
  <c r="X34" i="15"/>
  <c r="X18" i="15"/>
  <c r="X31" i="15"/>
  <c r="X11" i="15"/>
  <c r="X10" i="15"/>
  <c r="X13" i="15"/>
  <c r="X33" i="15"/>
  <c r="X25" i="15"/>
  <c r="X24" i="15"/>
  <c r="X36" i="15"/>
  <c r="X26" i="15"/>
  <c r="X17" i="15"/>
  <c r="X14" i="15"/>
  <c r="X27" i="15"/>
  <c r="X32" i="15"/>
  <c r="X37" i="15"/>
  <c r="X12" i="15"/>
  <c r="F57" i="23"/>
  <c r="F69" i="23" s="1"/>
  <c r="E57" i="23"/>
  <c r="E69" i="23" s="1"/>
  <c r="F58" i="23"/>
  <c r="F70" i="23" s="1"/>
  <c r="E58" i="23"/>
  <c r="E70" i="23" s="1"/>
  <c r="F59" i="23"/>
  <c r="F71" i="23" s="1"/>
  <c r="E59" i="23"/>
  <c r="E71" i="23" s="1"/>
  <c r="H46" i="23"/>
  <c r="G46" i="23"/>
  <c r="G29" i="23"/>
  <c r="F29" i="23"/>
  <c r="I46" i="23"/>
  <c r="I29" i="23"/>
  <c r="E29" i="23"/>
  <c r="F46" i="23"/>
  <c r="H29" i="23"/>
  <c r="E46" i="23"/>
  <c r="H59" i="23"/>
  <c r="H71" i="23" s="1"/>
  <c r="AA31" i="15"/>
  <c r="Y22" i="15"/>
  <c r="Y18" i="15"/>
  <c r="AA26" i="15"/>
  <c r="Z26" i="15"/>
  <c r="AA34" i="15"/>
  <c r="Y12" i="15"/>
  <c r="Y32" i="15"/>
  <c r="Z35" i="15"/>
  <c r="Z30" i="15"/>
  <c r="AA16" i="15"/>
  <c r="Y25" i="15"/>
  <c r="Y33" i="15"/>
  <c r="Y14" i="15"/>
  <c r="Y27" i="15"/>
  <c r="Z22" i="15"/>
  <c r="AA24" i="15"/>
  <c r="Z25" i="15"/>
  <c r="Z17" i="15"/>
  <c r="Y16" i="15"/>
  <c r="Z15" i="15"/>
  <c r="Y30" i="15"/>
  <c r="Y23" i="15"/>
  <c r="AA18" i="15"/>
  <c r="Z19" i="15"/>
  <c r="AA11" i="15"/>
  <c r="AA22" i="15"/>
  <c r="AA13" i="15"/>
  <c r="Y34" i="15"/>
  <c r="AA14" i="15"/>
  <c r="Y35" i="15"/>
  <c r="Z12" i="15"/>
  <c r="I59" i="23"/>
  <c r="I71" i="23" s="1"/>
  <c r="G58" i="23"/>
  <c r="G70" i="23" s="1"/>
  <c r="G59" i="23"/>
  <c r="G71" i="23" s="1"/>
  <c r="I58" i="23"/>
  <c r="I70" i="23" s="1"/>
  <c r="Z31" i="15"/>
  <c r="AA19" i="15"/>
  <c r="Y10" i="15"/>
  <c r="Y37" i="15"/>
  <c r="Y17" i="15"/>
  <c r="Z32" i="15"/>
  <c r="AA27" i="15"/>
  <c r="Z13" i="15"/>
  <c r="Z23" i="15"/>
  <c r="H58" i="23"/>
  <c r="H70" i="23" s="1"/>
  <c r="AA20" i="15"/>
  <c r="AA33" i="15"/>
  <c r="AA37" i="15"/>
  <c r="Y28" i="15"/>
  <c r="Y36" i="15"/>
  <c r="Y11" i="15"/>
  <c r="AG31" i="15"/>
  <c r="AH31" i="15"/>
  <c r="AG32" i="15"/>
  <c r="AH32" i="15"/>
  <c r="AH27" i="15"/>
  <c r="AG27" i="15"/>
  <c r="AH25" i="15"/>
  <c r="AG25" i="15"/>
  <c r="AG11" i="15"/>
  <c r="AH11" i="15"/>
  <c r="AH10" i="15"/>
  <c r="AG10" i="15"/>
  <c r="AH38" i="15"/>
  <c r="AG38" i="15"/>
  <c r="Z33" i="15"/>
  <c r="Z11" i="15"/>
  <c r="AA32" i="15"/>
  <c r="AA23" i="15"/>
  <c r="AA28" i="15"/>
  <c r="I57" i="23"/>
  <c r="I69" i="23" s="1"/>
  <c r="I80" i="23" s="1"/>
  <c r="Y13" i="15"/>
  <c r="AH30" i="15"/>
  <c r="AG30" i="15"/>
  <c r="AH36" i="15"/>
  <c r="AG36" i="15"/>
  <c r="AH37" i="15"/>
  <c r="AG37" i="15"/>
  <c r="AH22" i="15"/>
  <c r="AG22" i="15"/>
  <c r="AG29" i="15"/>
  <c r="AH29" i="15"/>
  <c r="AH12" i="15"/>
  <c r="AG12" i="15"/>
  <c r="Z10" i="15"/>
  <c r="Z21" i="15"/>
  <c r="AA35" i="15"/>
  <c r="AA12" i="15"/>
  <c r="AA15" i="15"/>
  <c r="AA29" i="15"/>
  <c r="H57" i="23"/>
  <c r="H69" i="23" s="1"/>
  <c r="Y19" i="15"/>
  <c r="Y20" i="15"/>
  <c r="Y24" i="15"/>
  <c r="AG33" i="15"/>
  <c r="AH33" i="15"/>
  <c r="AH24" i="15"/>
  <c r="AG24" i="15"/>
  <c r="AG19" i="15"/>
  <c r="AH19" i="15"/>
  <c r="AG35" i="15"/>
  <c r="AH35" i="15"/>
  <c r="AH26" i="15"/>
  <c r="AG26" i="15"/>
  <c r="AH34" i="15"/>
  <c r="AG34" i="15"/>
  <c r="AG23" i="15"/>
  <c r="AH23" i="15"/>
  <c r="AG13" i="15"/>
  <c r="AH13" i="15"/>
  <c r="AG17" i="15"/>
  <c r="AH17" i="15"/>
  <c r="Z27" i="15"/>
  <c r="Z20" i="15"/>
  <c r="Z37" i="15"/>
  <c r="Z14" i="15"/>
  <c r="AA17" i="15"/>
  <c r="AA36" i="15"/>
  <c r="AA10" i="15"/>
  <c r="AA25" i="15"/>
  <c r="AA21" i="15"/>
  <c r="AA30" i="15"/>
  <c r="Y29" i="15"/>
  <c r="G57" i="23"/>
  <c r="G69" i="23" s="1"/>
  <c r="Y21" i="15"/>
  <c r="Y15" i="15"/>
  <c r="Y26" i="15"/>
  <c r="Y31" i="15"/>
  <c r="AH21" i="15"/>
  <c r="AG21" i="15"/>
  <c r="AG28" i="15"/>
  <c r="AH28" i="15"/>
  <c r="AG16" i="15"/>
  <c r="AH16" i="15"/>
  <c r="AH18" i="15"/>
  <c r="AG18" i="15"/>
  <c r="AG15" i="15"/>
  <c r="AH15" i="15"/>
  <c r="AG20" i="15"/>
  <c r="AH20" i="15"/>
  <c r="AG14" i="15"/>
  <c r="AH14" i="15"/>
  <c r="Z36" i="15"/>
  <c r="Z28" i="15"/>
  <c r="Z34" i="15"/>
  <c r="Z24" i="15"/>
  <c r="Z16" i="15"/>
  <c r="Z18" i="15"/>
  <c r="Z29" i="15"/>
  <c r="D101" i="23" l="1"/>
  <c r="G63" i="23"/>
  <c r="G75" i="23" s="1"/>
  <c r="H63" i="23"/>
  <c r="H75" i="23" s="1"/>
  <c r="J74" i="23"/>
  <c r="M7" i="26" s="1"/>
  <c r="E63" i="23"/>
  <c r="J73" i="23"/>
  <c r="L7" i="26" s="1"/>
  <c r="I63" i="23"/>
  <c r="I75" i="23" s="1"/>
  <c r="F63" i="23"/>
  <c r="F75" i="23" s="1"/>
  <c r="AB31" i="15"/>
  <c r="AB16" i="15"/>
  <c r="AB15" i="15"/>
  <c r="AB36" i="15"/>
  <c r="AB24" i="15"/>
  <c r="AB30" i="15"/>
  <c r="AB35" i="15"/>
  <c r="AB21" i="15"/>
  <c r="AB10" i="15"/>
  <c r="AB25" i="15"/>
  <c r="AB28" i="15"/>
  <c r="AB18" i="15"/>
  <c r="AB11" i="15"/>
  <c r="AB13" i="15"/>
  <c r="AB23" i="15"/>
  <c r="AB14" i="15"/>
  <c r="AB32" i="15"/>
  <c r="AB37" i="15"/>
  <c r="AB19" i="15"/>
  <c r="AB26" i="15"/>
  <c r="AB12" i="15"/>
  <c r="AB17" i="15"/>
  <c r="AB22" i="15"/>
  <c r="AB27" i="15"/>
  <c r="AB33" i="15"/>
  <c r="AB34" i="15"/>
  <c r="AB20" i="15"/>
  <c r="AB29" i="15"/>
  <c r="D100" i="23"/>
  <c r="D7" i="26" s="1"/>
  <c r="E60" i="23"/>
  <c r="F60" i="23"/>
  <c r="F72" i="23" s="1"/>
  <c r="AI17" i="15"/>
  <c r="AJ25" i="15"/>
  <c r="I60" i="23"/>
  <c r="AJ13" i="15"/>
  <c r="AJ27" i="15"/>
  <c r="AI12" i="15"/>
  <c r="AI13" i="15"/>
  <c r="AJ12" i="15"/>
  <c r="AI25" i="15"/>
  <c r="AI32" i="15"/>
  <c r="AJ17" i="15"/>
  <c r="AJ11" i="15"/>
  <c r="G60" i="23"/>
  <c r="G72" i="23" s="1"/>
  <c r="J71" i="23"/>
  <c r="H60" i="23"/>
  <c r="H72" i="23" s="1"/>
  <c r="J70" i="23"/>
  <c r="AI11" i="15"/>
  <c r="AJ14" i="15"/>
  <c r="AI34" i="15"/>
  <c r="AI36" i="15"/>
  <c r="AI19" i="15"/>
  <c r="AJ36" i="15"/>
  <c r="AJ16" i="15"/>
  <c r="AJ15" i="15"/>
  <c r="AI28" i="15"/>
  <c r="AJ21" i="15"/>
  <c r="AJ26" i="15"/>
  <c r="AI31" i="15"/>
  <c r="AI14" i="15"/>
  <c r="AI16" i="15"/>
  <c r="AI15" i="15"/>
  <c r="J69" i="23"/>
  <c r="AJ23" i="15"/>
  <c r="AJ22" i="15"/>
  <c r="AJ18" i="15"/>
  <c r="AJ33" i="15"/>
  <c r="AJ32" i="15"/>
  <c r="AI29" i="15"/>
  <c r="AI37" i="15"/>
  <c r="AI24" i="15"/>
  <c r="AJ30" i="15"/>
  <c r="AJ20" i="15"/>
  <c r="AJ19" i="15"/>
  <c r="AI20" i="15"/>
  <c r="AI18" i="15"/>
  <c r="AJ37" i="15"/>
  <c r="AJ24" i="15"/>
  <c r="AI30" i="15"/>
  <c r="AI33" i="15"/>
  <c r="AJ35" i="15"/>
  <c r="AJ34" i="15"/>
  <c r="AI23" i="15"/>
  <c r="AJ29" i="15"/>
  <c r="AJ28" i="15"/>
  <c r="AI22" i="15"/>
  <c r="AI21" i="15"/>
  <c r="AI35" i="15"/>
  <c r="AI10" i="15"/>
  <c r="AJ10" i="15"/>
  <c r="AI27" i="15"/>
  <c r="AI26" i="15"/>
  <c r="AJ31" i="15"/>
  <c r="O7" i="26" l="1"/>
  <c r="D106" i="23"/>
  <c r="E90" i="23"/>
  <c r="D107" i="23" s="1"/>
  <c r="I72" i="23"/>
  <c r="I81" i="23" s="1"/>
  <c r="G81" i="23"/>
  <c r="H81" i="23"/>
  <c r="E72" i="23"/>
  <c r="E75" i="23"/>
  <c r="J75" i="23" s="1"/>
  <c r="N7" i="26" s="1"/>
  <c r="D102" i="23"/>
  <c r="D103" i="23" s="1"/>
  <c r="G91" i="23"/>
  <c r="E91" i="23"/>
  <c r="G90" i="23"/>
  <c r="F90" i="23"/>
  <c r="F91" i="23"/>
  <c r="G80" i="23"/>
  <c r="H80" i="23"/>
  <c r="E7" i="26"/>
  <c r="F80" i="23"/>
  <c r="F81" i="23"/>
  <c r="G86" i="23" l="1"/>
  <c r="G85" i="23"/>
  <c r="K7" i="26" s="1"/>
  <c r="F85" i="23"/>
  <c r="J7" i="26" s="1"/>
  <c r="F86" i="23"/>
  <c r="E85" i="23"/>
  <c r="E86" i="23"/>
  <c r="K1009" i="26"/>
  <c r="E9" i="28"/>
  <c r="L9" i="28" s="1"/>
  <c r="E80" i="23"/>
  <c r="E81" i="23"/>
  <c r="J72" i="23"/>
  <c r="D104" i="23" s="1"/>
  <c r="H7" i="26" s="1"/>
  <c r="E10" i="28" l="1"/>
  <c r="L10" i="28" s="1"/>
  <c r="J80" i="23"/>
  <c r="E8" i="28"/>
  <c r="L8" i="28" s="1"/>
  <c r="O8" i="28" s="1"/>
  <c r="Q8" i="28" s="1"/>
  <c r="J76" i="23"/>
  <c r="J81" i="23"/>
  <c r="E11" i="28" l="1"/>
  <c r="L11" i="28" s="1"/>
  <c r="D105" i="23"/>
  <c r="O9" i="28"/>
  <c r="O10" i="28" s="1"/>
  <c r="J1009" i="26" l="1"/>
  <c r="J1017" i="26" s="1"/>
  <c r="E12" i="28"/>
  <c r="L12" i="28" s="1"/>
  <c r="D17" i="39"/>
  <c r="Q9" i="28"/>
  <c r="Q10" i="28"/>
  <c r="O11" i="28"/>
  <c r="J5" i="39" l="1"/>
  <c r="J12" i="39"/>
  <c r="K12" i="39"/>
  <c r="E13" i="28"/>
  <c r="L13" i="28" s="1"/>
  <c r="K6" i="39"/>
  <c r="K7" i="39"/>
  <c r="J7" i="39"/>
  <c r="J6" i="39"/>
  <c r="K15" i="39"/>
  <c r="J15" i="39"/>
  <c r="J13" i="39"/>
  <c r="J9" i="39"/>
  <c r="J14" i="39"/>
  <c r="K8" i="39"/>
  <c r="K9" i="39"/>
  <c r="K10" i="39"/>
  <c r="K5" i="39"/>
  <c r="K13" i="39"/>
  <c r="J8" i="39"/>
  <c r="K11" i="39"/>
  <c r="J10" i="39"/>
  <c r="K14" i="39"/>
  <c r="J11" i="39"/>
  <c r="O12" i="28"/>
  <c r="Q11" i="28"/>
  <c r="E14" i="28" l="1"/>
  <c r="L14" i="28" s="1"/>
  <c r="O13" i="28"/>
  <c r="Q12" i="28"/>
  <c r="E15" i="28" l="1"/>
  <c r="L15" i="28" s="1"/>
  <c r="O14" i="28"/>
  <c r="Q13" i="28"/>
  <c r="E16" i="28" l="1"/>
  <c r="L16" i="28" s="1"/>
  <c r="Q14" i="28"/>
  <c r="O15" i="28"/>
  <c r="E17" i="28" l="1"/>
  <c r="L17" i="28" s="1"/>
  <c r="Q15" i="28"/>
  <c r="O16" i="28"/>
  <c r="E18" i="28" l="1"/>
  <c r="L18" i="28" s="1"/>
  <c r="O17" i="28"/>
  <c r="Q16" i="28"/>
  <c r="E19" i="28" l="1"/>
  <c r="L19" i="28" s="1"/>
  <c r="Q17" i="28"/>
  <c r="O18" i="28"/>
  <c r="E20" i="28" l="1"/>
  <c r="L20" i="28" s="1"/>
  <c r="Q18" i="28"/>
  <c r="O19" i="28"/>
  <c r="E21" i="28" l="1"/>
  <c r="L21" i="28" s="1"/>
  <c r="O20" i="28"/>
  <c r="Q19" i="28"/>
  <c r="E22" i="28" l="1"/>
  <c r="L22" i="28" s="1"/>
  <c r="Q20" i="28"/>
  <c r="O21" i="28"/>
  <c r="E23" i="28" l="1"/>
  <c r="L23" i="28" s="1"/>
  <c r="Q21" i="28"/>
  <c r="O22" i="28"/>
  <c r="E24" i="28" l="1"/>
  <c r="L24" i="28" s="1"/>
  <c r="Q22" i="28"/>
  <c r="O23" i="28"/>
  <c r="E25" i="28" l="1"/>
  <c r="L25" i="28" s="1"/>
  <c r="O24" i="28"/>
  <c r="Q23" i="28"/>
  <c r="E26" i="28" l="1"/>
  <c r="L26" i="28" s="1"/>
  <c r="Q24" i="28"/>
  <c r="O25" i="28"/>
  <c r="E27" i="28" l="1"/>
  <c r="L27" i="28" s="1"/>
  <c r="O26" i="28"/>
  <c r="Q25" i="28"/>
  <c r="E28" i="28" l="1"/>
  <c r="L28" i="28" s="1"/>
  <c r="O27" i="28"/>
  <c r="Q26" i="28"/>
  <c r="E29" i="28" l="1"/>
  <c r="L29" i="28" s="1"/>
  <c r="Q27" i="28"/>
  <c r="O28" i="28"/>
  <c r="E30" i="28" l="1"/>
  <c r="L30" i="28" s="1"/>
  <c r="O29" i="28"/>
  <c r="Q28" i="28"/>
  <c r="E31" i="28" l="1"/>
  <c r="L31" i="28" s="1"/>
  <c r="O30" i="28"/>
  <c r="Q29" i="28"/>
  <c r="E32" i="28" l="1"/>
  <c r="L32" i="28" s="1"/>
  <c r="O31" i="28"/>
  <c r="Q30" i="28"/>
  <c r="E33" i="28" l="1"/>
  <c r="L33" i="28" s="1"/>
  <c r="O32" i="28"/>
  <c r="Q31" i="28"/>
  <c r="E34" i="28" l="1"/>
  <c r="L34" i="28" s="1"/>
  <c r="Q32" i="28"/>
  <c r="O33" i="28"/>
  <c r="E35" i="28" l="1"/>
  <c r="L35" i="28" s="1"/>
  <c r="Q33" i="28"/>
  <c r="O34" i="28"/>
  <c r="E36" i="28" l="1"/>
  <c r="L36" i="28" s="1"/>
  <c r="O35" i="28"/>
  <c r="Q34" i="28"/>
  <c r="E37" i="28" l="1"/>
  <c r="L37" i="28" s="1"/>
  <c r="O36" i="28"/>
  <c r="Q35" i="28"/>
  <c r="E38" i="28" l="1"/>
  <c r="L38" i="28" s="1"/>
  <c r="Q36" i="28"/>
  <c r="O37" i="28"/>
  <c r="E39" i="28" l="1"/>
  <c r="L39" i="28" s="1"/>
  <c r="Q37" i="28"/>
  <c r="O38" i="28"/>
  <c r="E40" i="28" l="1"/>
  <c r="L40" i="28" s="1"/>
  <c r="Q38" i="28"/>
  <c r="O39" i="28"/>
  <c r="E41" i="28" l="1"/>
  <c r="L41" i="28" s="1"/>
  <c r="Q39" i="28"/>
  <c r="O40" i="28"/>
  <c r="E42" i="28" l="1"/>
  <c r="L42" i="28" s="1"/>
  <c r="Q40" i="28"/>
  <c r="O41" i="28"/>
  <c r="E43" i="28" l="1"/>
  <c r="L43" i="28" s="1"/>
  <c r="O42" i="28"/>
  <c r="Q41" i="28"/>
  <c r="E44" i="28" l="1"/>
  <c r="L44" i="28" s="1"/>
  <c r="O43" i="28"/>
  <c r="Q42" i="28"/>
  <c r="E45" i="28" l="1"/>
  <c r="L45" i="28" s="1"/>
  <c r="Q43" i="28"/>
  <c r="O44" i="28"/>
  <c r="E46" i="28" l="1"/>
  <c r="L46" i="28" s="1"/>
  <c r="Q44" i="28"/>
  <c r="O45" i="28"/>
  <c r="E47" i="28" l="1"/>
  <c r="L47" i="28" s="1"/>
  <c r="O46" i="28"/>
  <c r="Q45" i="28"/>
  <c r="E48" i="28" l="1"/>
  <c r="L48" i="28" s="1"/>
  <c r="O47" i="28"/>
  <c r="Q46" i="28"/>
  <c r="E49" i="28" l="1"/>
  <c r="L49" i="28" s="1"/>
  <c r="Q47" i="28"/>
  <c r="O48" i="28"/>
  <c r="E50" i="28" l="1"/>
  <c r="L50" i="28" s="1"/>
  <c r="Q48" i="28"/>
  <c r="O49" i="28"/>
  <c r="E51" i="28" l="1"/>
  <c r="L51" i="28" s="1"/>
  <c r="Q49" i="28"/>
  <c r="O50" i="28"/>
  <c r="E52" i="28" l="1"/>
  <c r="L52" i="28" s="1"/>
  <c r="O51" i="28"/>
  <c r="Q50" i="28"/>
  <c r="E53" i="28" l="1"/>
  <c r="L53" i="28" s="1"/>
  <c r="O52" i="28"/>
  <c r="Q51" i="28"/>
  <c r="E54" i="28" l="1"/>
  <c r="L54" i="28" s="1"/>
  <c r="Q52" i="28"/>
  <c r="O53" i="28"/>
  <c r="E55" i="28" l="1"/>
  <c r="L55" i="28" s="1"/>
  <c r="Q53" i="28"/>
  <c r="O54" i="28"/>
  <c r="E56" i="28" l="1"/>
  <c r="L56" i="28" s="1"/>
  <c r="O55" i="28"/>
  <c r="Q54" i="28"/>
  <c r="E57" i="28" l="1"/>
  <c r="L57" i="28" s="1"/>
  <c r="O56" i="28"/>
  <c r="Q55" i="28"/>
  <c r="E58" i="28" l="1"/>
  <c r="L58" i="28" s="1"/>
  <c r="O57" i="28"/>
  <c r="Q56" i="28"/>
  <c r="O58" i="28" l="1"/>
  <c r="Q57" i="28"/>
  <c r="Q58" i="2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G7" authorId="0" shapeId="0" xr:uid="{AE739AD1-CB66-4047-B176-84B04B28BB09}">
      <text>
        <r>
          <rPr>
            <b/>
            <sz val="10"/>
            <color rgb="FF000000"/>
            <rFont val="Tahoma"/>
            <family val="2"/>
          </rPr>
          <t xml:space="preserve">Explanation of calculation of incremental QALYs gained from treatment through avoiding early mortality:
</t>
        </r>
        <r>
          <rPr>
            <sz val="10"/>
            <color rgb="FF000000"/>
            <rFont val="Tahoma"/>
            <family val="2"/>
          </rPr>
          <t xml:space="preserve">
</t>
        </r>
        <r>
          <rPr>
            <sz val="10"/>
            <color rgb="FF000000"/>
            <rFont val="Tahoma"/>
            <family val="2"/>
          </rPr>
          <t xml:space="preserve">The first part of the equation in parentheses looks at the difference in the weighted average relative risk of mortality between no treatment and treated cohorts based on the estimated distributions across length of sleep categories from Yu et al.
</t>
        </r>
        <r>
          <rPr>
            <sz val="10"/>
            <color rgb="FF000000"/>
            <rFont val="Tahoma"/>
            <family val="2"/>
          </rPr>
          <t xml:space="preserve">
</t>
        </r>
        <r>
          <rPr>
            <sz val="10"/>
            <color rgb="FF000000"/>
            <rFont val="Tahoma"/>
            <family val="2"/>
          </rPr>
          <t xml:space="preserve">This difference figure is then multiplied by the lifetable annual risk of death to give the incremental reduction in risk of death associated with treatment.
</t>
        </r>
        <r>
          <rPr>
            <sz val="10"/>
            <color rgb="FF000000"/>
            <rFont val="Tahoma"/>
            <family val="2"/>
          </rPr>
          <t xml:space="preserve">
</t>
        </r>
        <r>
          <rPr>
            <sz val="10"/>
            <color rgb="FF000000"/>
            <rFont val="Tahoma"/>
            <family val="2"/>
          </rPr>
          <t xml:space="preserve">This is then multiplied by the life-expectancy loss conditional on dying at that age also from the lifetable to give a number of years of life gained with treatment.
</t>
        </r>
        <r>
          <rPr>
            <sz val="10"/>
            <color rgb="FF000000"/>
            <rFont val="Tahoma"/>
            <family val="2"/>
          </rPr>
          <t xml:space="preserve">
</t>
        </r>
        <r>
          <rPr>
            <sz val="10"/>
            <color rgb="FF000000"/>
            <rFont val="Tahoma"/>
            <family val="2"/>
          </rPr>
          <t xml:space="preserve">These years of life gained are then multiplied by the observed EQ5D weight at 12 months to quality adjust the life years gained.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<sst xmlns="http://schemas.openxmlformats.org/spreadsheetml/2006/main" count="1795" uniqueCount="804">
  <si>
    <t>_cons</t>
  </si>
  <si>
    <t>ISI</t>
  </si>
  <si>
    <t>eofuISItot</t>
  </si>
  <si>
    <t>Coefficient</t>
  </si>
  <si>
    <t>interval]</t>
  </si>
  <si>
    <t>baseISItot</t>
  </si>
  <si>
    <t>D50mg</t>
  </si>
  <si>
    <t>STATA v17 output</t>
  </si>
  <si>
    <t>[95% conf.</t>
  </si>
  <si>
    <t>Variable</t>
  </si>
  <si>
    <t>Obs</t>
  </si>
  <si>
    <t>Mean</t>
  </si>
  <si>
    <t>Min</t>
  </si>
  <si>
    <t>Max</t>
  </si>
  <si>
    <t>Std.dev</t>
  </si>
  <si>
    <t>Baseline ISI score from 301</t>
  </si>
  <si>
    <t>Name</t>
  </si>
  <si>
    <t>Live</t>
  </si>
  <si>
    <t>Description</t>
  </si>
  <si>
    <t>baseISI</t>
  </si>
  <si>
    <t>normal</t>
  </si>
  <si>
    <t>baseISIadj</t>
  </si>
  <si>
    <t>multinormal</t>
  </si>
  <si>
    <t>cons</t>
  </si>
  <si>
    <t>z</t>
  </si>
  <si>
    <t>Tz</t>
  </si>
  <si>
    <t>mu+Tz</t>
  </si>
  <si>
    <t>No treatment</t>
  </si>
  <si>
    <t>Daridorexant</t>
  </si>
  <si>
    <t>Use the buttons to the right to switch between the basecase parameter estimes (whole 301 popultation) and the subgroup analyses</t>
  </si>
  <si>
    <t>Probabilistic parameters</t>
  </si>
  <si>
    <t>probabilistic parameters that are passed to the parameters sheet</t>
  </si>
  <si>
    <t>Baseline ISI score at model start for whole population (group 1 when applicable)</t>
  </si>
  <si>
    <t>Cost</t>
  </si>
  <si>
    <t>Estimate</t>
  </si>
  <si>
    <t>P&gt;z</t>
  </si>
  <si>
    <t>Parameter</t>
  </si>
  <si>
    <t>ISI_Score</t>
  </si>
  <si>
    <t>SD12MO_Days</t>
  </si>
  <si>
    <t>female</t>
  </si>
  <si>
    <t>Female</t>
  </si>
  <si>
    <t>pain</t>
  </si>
  <si>
    <t>married</t>
  </si>
  <si>
    <t>degree_4years</t>
  </si>
  <si>
    <t>Employed</t>
  </si>
  <si>
    <t>Combined_DP_PTS_AX</t>
  </si>
  <si>
    <t>N</t>
  </si>
  <si>
    <t>Q1</t>
  </si>
  <si>
    <t>Median</t>
  </si>
  <si>
    <t>Q3</t>
  </si>
  <si>
    <t>Dependent Variable</t>
  </si>
  <si>
    <t>Presenteeism (%)</t>
  </si>
  <si>
    <t>Covariate</t>
  </si>
  <si>
    <t>Sleep Insomnia Index (ISI)</t>
  </si>
  <si>
    <t>Insomnia status</t>
  </si>
  <si>
    <t>Age</t>
  </si>
  <si>
    <t>Married or Living with partner</t>
  </si>
  <si>
    <t>4-year university degree or higher</t>
  </si>
  <si>
    <t>Current smoker</t>
  </si>
  <si>
    <t>Former smoker</t>
  </si>
  <si>
    <t>low-moderate</t>
  </si>
  <si>
    <t>4+ times per week</t>
  </si>
  <si>
    <t>BMI (Continuous)</t>
  </si>
  <si>
    <t>Total days experienced in last 12 months</t>
  </si>
  <si>
    <t>Depression, PTSD, all anxiety</t>
  </si>
  <si>
    <t>All pain</t>
  </si>
  <si>
    <t>Charlson Comorbidity Index - Original</t>
  </si>
  <si>
    <t>country_FR</t>
  </si>
  <si>
    <t>country_DE</t>
  </si>
  <si>
    <t>country_IT</t>
  </si>
  <si>
    <t>country_ESP</t>
  </si>
  <si>
    <t>Minimum</t>
  </si>
  <si>
    <t>Maximum</t>
  </si>
  <si>
    <t>Std. Deviation</t>
  </si>
  <si>
    <t>Summary of covariate information</t>
  </si>
  <si>
    <t>Model for Absenteeism</t>
  </si>
  <si>
    <t>B</t>
  </si>
  <si>
    <t>Std. Error</t>
  </si>
  <si>
    <t>(Intercept)</t>
  </si>
  <si>
    <t>Group_Dx_Unclean_MV</t>
  </si>
  <si>
    <t>DEAGE</t>
  </si>
  <si>
    <t>Married</t>
  </si>
  <si>
    <t>Degree_4years</t>
  </si>
  <si>
    <t>Current_Smoker</t>
  </si>
  <si>
    <t>Former_Smoker</t>
  </si>
  <si>
    <t>Low_moderate_Drinker</t>
  </si>
  <si>
    <t>Heavy_Drinker</t>
  </si>
  <si>
    <t>BMI_r</t>
  </si>
  <si>
    <t>Total_Pain</t>
  </si>
  <si>
    <t>CCI</t>
  </si>
  <si>
    <t>(Scale)</t>
  </si>
  <si>
    <r>
      <t>.506</t>
    </r>
    <r>
      <rPr>
        <vertAlign val="superscript"/>
        <sz val="9"/>
        <color rgb="FF000000"/>
        <rFont val="Arial"/>
        <family val="2"/>
      </rPr>
      <t>a</t>
    </r>
  </si>
  <si>
    <t>(Negative binomial)</t>
  </si>
  <si>
    <t>Model for Presenteeism</t>
  </si>
  <si>
    <r>
      <t>.499</t>
    </r>
    <r>
      <rPr>
        <vertAlign val="superscript"/>
        <sz val="9"/>
        <color rgb="FF000000"/>
        <rFont val="Arial"/>
        <family val="2"/>
      </rPr>
      <t>a</t>
    </r>
  </si>
  <si>
    <t>Model for Total Work Productivity Impairment</t>
  </si>
  <si>
    <r>
      <t>.509</t>
    </r>
    <r>
      <rPr>
        <vertAlign val="superscript"/>
        <sz val="9"/>
        <color rgb="FF000000"/>
        <rFont val="Arial"/>
        <family val="2"/>
      </rPr>
      <t>a</t>
    </r>
  </si>
  <si>
    <t>cholV1</t>
  </si>
  <si>
    <t>cholV2</t>
  </si>
  <si>
    <t>cholV3</t>
  </si>
  <si>
    <t>cholV4</t>
  </si>
  <si>
    <t>cholV5</t>
  </si>
  <si>
    <t>cholV6</t>
  </si>
  <si>
    <t>cholV7</t>
  </si>
  <si>
    <t>cholV8</t>
  </si>
  <si>
    <t>cholV9</t>
  </si>
  <si>
    <t>cholV10</t>
  </si>
  <si>
    <t>cholV11</t>
  </si>
  <si>
    <t>cholV12</t>
  </si>
  <si>
    <t>cholV13</t>
  </si>
  <si>
    <t>cholV14</t>
  </si>
  <si>
    <t>cholV15</t>
  </si>
  <si>
    <t>cholV16</t>
  </si>
  <si>
    <t>cholV17</t>
  </si>
  <si>
    <t>cholV18</t>
  </si>
  <si>
    <t>cholV19</t>
  </si>
  <si>
    <t>cholV20</t>
  </si>
  <si>
    <t>Absenteeism</t>
  </si>
  <si>
    <t>Presenteeism</t>
  </si>
  <si>
    <t>INDIRECT</t>
  </si>
  <si>
    <t>DIRECT</t>
  </si>
  <si>
    <t>adjustment</t>
  </si>
  <si>
    <t>constant</t>
  </si>
  <si>
    <t>new intercept</t>
  </si>
  <si>
    <t>RUHP6Q: How many times have you been hospitalized for your own medical condition in the past six months?</t>
  </si>
  <si>
    <t>Employed full time/Part time/Self-employed</t>
  </si>
  <si>
    <t>Retired</t>
  </si>
  <si>
    <t>POINT ESTIMATES</t>
  </si>
  <si>
    <t>PROBABILISTIC ESTIMATES</t>
  </si>
  <si>
    <t>Model for hospital visits</t>
  </si>
  <si>
    <r>
      <t>1.274</t>
    </r>
    <r>
      <rPr>
        <vertAlign val="superscript"/>
        <sz val="9"/>
        <color indexed="8"/>
        <rFont val="Arial"/>
        <family val="2"/>
      </rPr>
      <t>a</t>
    </r>
  </si>
  <si>
    <t>cholV21</t>
  </si>
  <si>
    <t>cholV22</t>
  </si>
  <si>
    <t>Model for ER visits</t>
  </si>
  <si>
    <r>
      <t>1.520</t>
    </r>
    <r>
      <rPr>
        <vertAlign val="superscript"/>
        <sz val="9"/>
        <color rgb="FF000000"/>
        <rFont val="Arial"/>
        <family val="2"/>
      </rPr>
      <t>a</t>
    </r>
  </si>
  <si>
    <t>IP stays</t>
  </si>
  <si>
    <t>Lost Productivity</t>
  </si>
  <si>
    <t>ER visits</t>
  </si>
  <si>
    <t>GP visits</t>
  </si>
  <si>
    <t>GP (and other heath care provider) visits</t>
  </si>
  <si>
    <r>
      <t>1.430</t>
    </r>
    <r>
      <rPr>
        <vertAlign val="superscript"/>
        <sz val="9"/>
        <color rgb="FF000000"/>
        <rFont val="Arial"/>
        <family val="2"/>
      </rPr>
      <t>a</t>
    </r>
  </si>
  <si>
    <t>consGP</t>
  </si>
  <si>
    <t>ISItotGP</t>
  </si>
  <si>
    <t>consER</t>
  </si>
  <si>
    <t>ISItotER</t>
  </si>
  <si>
    <t>consIP</t>
  </si>
  <si>
    <t>ISItotIP</t>
  </si>
  <si>
    <t>consAbsent</t>
  </si>
  <si>
    <t>ISItotAbsent</t>
  </si>
  <si>
    <t>consPresent</t>
  </si>
  <si>
    <t>ISItotPresent</t>
  </si>
  <si>
    <t>ucGP</t>
  </si>
  <si>
    <t>ucER</t>
  </si>
  <si>
    <t>ucIP</t>
  </si>
  <si>
    <t>annualWR</t>
  </si>
  <si>
    <t>Model Parameters</t>
  </si>
  <si>
    <t>Prob Value</t>
  </si>
  <si>
    <t>Prob Dist</t>
  </si>
  <si>
    <t>Increment</t>
  </si>
  <si>
    <t>These tables are derived to pass through the estimates of INDIRECT &amp; DIRECT resource use to the parameters sheet based on the analysis from NHWS reproduced below.</t>
  </si>
  <si>
    <t>consU</t>
  </si>
  <si>
    <t>ISItotU</t>
  </si>
  <si>
    <t>Daridorexant for the treament of insomnia disorder</t>
  </si>
  <si>
    <t>Cost Effectiveness Model</t>
  </si>
  <si>
    <t>United Kingdom</t>
  </si>
  <si>
    <t>Descriptions of Model Tabs</t>
  </si>
  <si>
    <t>Constant term for absenteeism from NHWS model (output 3)</t>
  </si>
  <si>
    <t>Coefficient term for absenteeism from NHWS model (output 3)</t>
  </si>
  <si>
    <t>Constant term for presenteeism from NHWS model (output 3)</t>
  </si>
  <si>
    <t>Coefficient term for presenteeism from NHWS model (output 3)</t>
  </si>
  <si>
    <t>ISI parameters at baseline</t>
  </si>
  <si>
    <t>ISI parameters from 303</t>
  </si>
  <si>
    <t>ISI parameters from 301 regression month 1</t>
  </si>
  <si>
    <t>ISI parameters from 301 regression at end of follow up</t>
  </si>
  <si>
    <t>consM1</t>
  </si>
  <si>
    <t>baseISIadjM1</t>
  </si>
  <si>
    <t>D50mgM1</t>
  </si>
  <si>
    <t>Cholesky decomposition matrix (T) for Month 1 regression</t>
  </si>
  <si>
    <t>RMSE</t>
  </si>
  <si>
    <t>chi2</t>
  </si>
  <si>
    <t>P&gt;chi2</t>
  </si>
  <si>
    <t>Std. err.</t>
  </si>
  <si>
    <t>Equation</t>
  </si>
  <si>
    <t>Params</t>
  </si>
  <si>
    <t>"R-squared"</t>
  </si>
  <si>
    <t>m1ISItot</t>
  </si>
  <si>
    <t>cholV[10,10]</t>
  </si>
  <si>
    <t>m1ISItot:</t>
  </si>
  <si>
    <t>eofuISItot:</t>
  </si>
  <si>
    <t>m1ISItot:baseISItot</t>
  </si>
  <si>
    <t>m1ISItot:D50mg</t>
  </si>
  <si>
    <t>m1ISItot:_cons</t>
  </si>
  <si>
    <t>eofuISItot:baseISItot</t>
  </si>
  <si>
    <t>eofuISItot:D50mg</t>
  </si>
  <si>
    <t>eofuISItot:_cons</t>
  </si>
  <si>
    <t>In this table the regression results above and the cholesky matrix to the left are employed to create correctly correlated</t>
  </si>
  <si>
    <t>This is the one year model based on the 301 trial with 303 continuation</t>
  </si>
  <si>
    <t>Month</t>
  </si>
  <si>
    <t>Daridorexant 50mg</t>
  </si>
  <si>
    <t>Constant from SUREG analysis: month 1</t>
  </si>
  <si>
    <t>Baseline adjustment coefficient from SUREG analysis: month 1</t>
  </si>
  <si>
    <t>Treatment effect of Daridorexant 50mg from SUREG analysis: month 1</t>
  </si>
  <si>
    <t>303ISI6m</t>
  </si>
  <si>
    <t>303ISI9m</t>
  </si>
  <si>
    <t>303ISI12m</t>
  </si>
  <si>
    <t>Persistence</t>
  </si>
  <si>
    <t>Drop out / persistence</t>
  </si>
  <si>
    <t>dom1</t>
  </si>
  <si>
    <t>dom3</t>
  </si>
  <si>
    <t>dom6</t>
  </si>
  <si>
    <t>dom9</t>
  </si>
  <si>
    <t>dom12</t>
  </si>
  <si>
    <t>Tx Cost</t>
  </si>
  <si>
    <t>Direct Costs</t>
  </si>
  <si>
    <t>Indirect Costs</t>
  </si>
  <si>
    <t>Tx Cost*</t>
  </si>
  <si>
    <t>Direct Costs*</t>
  </si>
  <si>
    <t>Indirect Costs*</t>
  </si>
  <si>
    <t>*persistence adjusted</t>
  </si>
  <si>
    <t>Utility mapping</t>
  </si>
  <si>
    <t>Direct costs</t>
  </si>
  <si>
    <t>Productivity losses</t>
  </si>
  <si>
    <t>Incremental analysis</t>
  </si>
  <si>
    <t>TxC</t>
  </si>
  <si>
    <t>Daily cost of Daridorexant 50mg</t>
  </si>
  <si>
    <t>ICER - Tx Only</t>
  </si>
  <si>
    <t>ICER - net Direct costs</t>
  </si>
  <si>
    <t>ICER - net Productivity</t>
  </si>
  <si>
    <t>ER Costs</t>
  </si>
  <si>
    <t>GP Costs</t>
  </si>
  <si>
    <t>IP Costs</t>
  </si>
  <si>
    <t>EQ5D</t>
  </si>
  <si>
    <t>EQ5D*</t>
  </si>
  <si>
    <t>mnISI</t>
  </si>
  <si>
    <t>Adjusting for drop out</t>
  </si>
  <si>
    <t>Evolving Cost-Effectiveness</t>
  </si>
  <si>
    <t>First year cost-effectiveness</t>
  </si>
  <si>
    <t>Subsequent years cost-effectiveness (on treatment)</t>
  </si>
  <si>
    <t>NHB (20k)</t>
  </si>
  <si>
    <t>NHB (30k)</t>
  </si>
  <si>
    <t>Year Total</t>
  </si>
  <si>
    <t>On this sheet the probabilistic results are obtained</t>
  </si>
  <si>
    <t>Trial</t>
  </si>
  <si>
    <t>Males</t>
  </si>
  <si>
    <t>Females</t>
  </si>
  <si>
    <r>
      <t>l</t>
    </r>
    <r>
      <rPr>
        <i/>
        <vertAlign val="subscript"/>
        <sz val="11"/>
        <color indexed="8"/>
        <rFont val="Times New Roman"/>
        <family val="1"/>
      </rPr>
      <t>x</t>
    </r>
  </si>
  <si>
    <r>
      <t>q</t>
    </r>
    <r>
      <rPr>
        <i/>
        <vertAlign val="subscript"/>
        <sz val="11"/>
        <color indexed="8"/>
        <rFont val="Times New Roman"/>
        <family val="1"/>
      </rPr>
      <t>x</t>
    </r>
  </si>
  <si>
    <r>
      <rPr>
        <i/>
        <sz val="11"/>
        <color indexed="8"/>
        <rFont val="Times New Roman"/>
        <family val="1"/>
      </rPr>
      <t xml:space="preserve">e </t>
    </r>
    <r>
      <rPr>
        <i/>
        <vertAlign val="subscript"/>
        <sz val="11"/>
        <color indexed="8"/>
        <rFont val="Times New Roman"/>
        <family val="1"/>
      </rPr>
      <t>x</t>
    </r>
  </si>
  <si>
    <r>
      <t>e</t>
    </r>
    <r>
      <rPr>
        <i/>
        <vertAlign val="subscript"/>
        <sz val="11"/>
        <color indexed="8"/>
        <rFont val="Times New Roman"/>
        <family val="1"/>
      </rPr>
      <t>x</t>
    </r>
  </si>
  <si>
    <t>Source: Office for National Statistics</t>
  </si>
  <si>
    <t>Notes:</t>
  </si>
  <si>
    <t>1. lx is the number of survivors to exact age x of 100,000 live births of the same sex who are assumed to be subject throughout their lives to the mortality rates experienced in the three year period 2010-2012</t>
  </si>
  <si>
    <t>2. qx is the mortality rate between age x and (x +1), that is the probability that a person aged x exactly will die before reaching age (x +1)</t>
  </si>
  <si>
    <t>3. ex is the average period expectation of life at exact age x, that is the average number of years that those aged x exactly will live thereafter based on the mortality rates experienced in the 3-year period 2010-2012</t>
  </si>
  <si>
    <t>https://www.ons.gov.uk/peoplepopulationandcommunity/birthsdeathsandmarriages/lifeexpectancies/bulletins/englishlifetablesno17/2015-09-01</t>
  </si>
  <si>
    <t>Downloaded from the following link on the ONS website on 02 May 2022</t>
  </si>
  <si>
    <t>This sheet includes the English Life Tables No.17: 2010 to 2012</t>
  </si>
  <si>
    <t>Graduated life tables which give statistics on national life expectancy for England and Wales. Published once every ten years.</t>
  </si>
  <si>
    <t>This is the 'lookup table' which averages over male and female annual death risk</t>
  </si>
  <si>
    <t>This is the lifetime model</t>
  </si>
  <si>
    <t>First year comes from the 1 year model</t>
  </si>
  <si>
    <t>Subsequent years from the end of the 1 year model</t>
  </si>
  <si>
    <t>Year</t>
  </si>
  <si>
    <t>Lifetime model parameters</t>
  </si>
  <si>
    <t>mnAge</t>
  </si>
  <si>
    <t>Average age at model entry</t>
  </si>
  <si>
    <t>cDR</t>
  </si>
  <si>
    <t>oDR</t>
  </si>
  <si>
    <t>doRate</t>
  </si>
  <si>
    <t>Annual Rate of dropout</t>
  </si>
  <si>
    <t>Annual discout rate for costs</t>
  </si>
  <si>
    <t>Annual discount rate for QALYs</t>
  </si>
  <si>
    <t>incCost</t>
  </si>
  <si>
    <t>incQALYs</t>
  </si>
  <si>
    <t>mnPersist</t>
  </si>
  <si>
    <t>On treatment</t>
  </si>
  <si>
    <t>Mortality</t>
  </si>
  <si>
    <t>SE/alpha</t>
  </si>
  <si>
    <t>beta</t>
  </si>
  <si>
    <t>Relative risk of mortality for those getting 6-7hrs sleep</t>
  </si>
  <si>
    <t>Relative risk of mortality for those getting less than 6hrs sleep</t>
  </si>
  <si>
    <t>blw6hrs</t>
  </si>
  <si>
    <t>btw67</t>
  </si>
  <si>
    <t>Dirichlet</t>
  </si>
  <si>
    <t>NT7plus</t>
  </si>
  <si>
    <t>NT67</t>
  </si>
  <si>
    <t>NTblw6</t>
  </si>
  <si>
    <t>D7plus</t>
  </si>
  <si>
    <t>D67</t>
  </si>
  <si>
    <t>Dblw6</t>
  </si>
  <si>
    <t>Proportion with sleep time of 7hrs plus without treatment</t>
  </si>
  <si>
    <t>Proportion with sleep time 6-7hrs without treatment</t>
  </si>
  <si>
    <t>Proportion with sleep time below 6hrs without treatment</t>
  </si>
  <si>
    <t>Proportion with sleep time of 7hrs plus on treatment</t>
  </si>
  <si>
    <t>Proportion with sleep time 6-7hrs on treatment</t>
  </si>
  <si>
    <t>Proportion with sleep time below 6hrs on treatment</t>
  </si>
  <si>
    <t>cumCost</t>
  </si>
  <si>
    <t>cumQALYs</t>
  </si>
  <si>
    <t>Constant from SUREG analysis: end of follow-up</t>
  </si>
  <si>
    <t>Baseline adjustment coefficient from SUREG analysis: end of follow-up</t>
  </si>
  <si>
    <t>Treatment effect of Daridorexant 50mg from SUREG analysis: end of follow-up</t>
  </si>
  <si>
    <t>Time point</t>
  </si>
  <si>
    <t>6-month</t>
  </si>
  <si>
    <t>9-month</t>
  </si>
  <si>
    <t>12-month</t>
  </si>
  <si>
    <t>SE</t>
  </si>
  <si>
    <t>ISI change</t>
  </si>
  <si>
    <t>303 change from baseline data</t>
  </si>
  <si>
    <t>Drop out from initiaion to month 1</t>
  </si>
  <si>
    <t>Drop out from month 1 to month 3</t>
  </si>
  <si>
    <t>Drop out from month 3 to month 6</t>
  </si>
  <si>
    <t>Drop out from month 6 to month 9</t>
  </si>
  <si>
    <t>Drop out from month 9 to month 12</t>
  </si>
  <si>
    <t>n/a</t>
  </si>
  <si>
    <t>lognormal</t>
  </si>
  <si>
    <t>These are the summary results from study 303 split by severity and for the whole population</t>
  </si>
  <si>
    <t>n</t>
  </si>
  <si>
    <t>SD</t>
  </si>
  <si>
    <t>drop out</t>
  </si>
  <si>
    <t>stay in</t>
  </si>
  <si>
    <t>drop out %</t>
  </si>
  <si>
    <t>change</t>
  </si>
  <si>
    <t>change from 301</t>
  </si>
  <si>
    <t>Baseline</t>
  </si>
  <si>
    <t>Week 14</t>
  </si>
  <si>
    <t>Week 27</t>
  </si>
  <si>
    <t>Week 40</t>
  </si>
  <si>
    <t> Baseline</t>
  </si>
  <si>
    <t>coef ISI</t>
  </si>
  <si>
    <t>Coefficients</t>
  </si>
  <si>
    <t>Standard Errors</t>
  </si>
  <si>
    <t>employed</t>
  </si>
  <si>
    <t>retired</t>
  </si>
  <si>
    <t>current_smoker</t>
  </si>
  <si>
    <t>former_smoker</t>
  </si>
  <si>
    <t>low_moderate_drinker</t>
  </si>
  <si>
    <t>heavy_drinker</t>
  </si>
  <si>
    <t>BMI_R</t>
  </si>
  <si>
    <t>treated</t>
  </si>
  <si>
    <t>Not_Country_UK</t>
  </si>
  <si>
    <t>303ISI6mPLA</t>
  </si>
  <si>
    <t>303ISI9mPLA</t>
  </si>
  <si>
    <t>303ISI12mPLA</t>
  </si>
  <si>
    <t>ALL - Placebo</t>
  </si>
  <si>
    <t>303 six-month change from end 301 for whole population (group 1 when applicable)</t>
  </si>
  <si>
    <t>303 nine-month change from end 301 for whole population (group 1 when applicable)</t>
  </si>
  <si>
    <t>303 twelve-month change from end 301 for whole population (group 1 when applicable)</t>
  </si>
  <si>
    <t>303 six-month change from end 301 for whole population (placebo)</t>
  </si>
  <si>
    <t>303 nine-month change from end 301 for whole population (placebo)</t>
  </si>
  <si>
    <t>303 twelve-month change from end 301 for whole population (placebo)</t>
  </si>
  <si>
    <t>Untreated Cohorts</t>
  </si>
  <si>
    <t>Treated Cohorts</t>
  </si>
  <si>
    <t>baselines</t>
  </si>
  <si>
    <t>Cholesky decomposition matrix T</t>
  </si>
  <si>
    <t>probabilistic</t>
  </si>
  <si>
    <t>Sum Products (point estimates)</t>
  </si>
  <si>
    <t>Covariance Matrix</t>
  </si>
  <si>
    <t>Sum Products (probabilistic)</t>
  </si>
  <si>
    <t>mean</t>
  </si>
  <si>
    <t>stdev</t>
  </si>
  <si>
    <t>No Treatment</t>
  </si>
  <si>
    <t>Technology</t>
  </si>
  <si>
    <t>QALY</t>
  </si>
  <si>
    <t>ICER</t>
  </si>
  <si>
    <t xml:space="preserve">inc Cost </t>
  </si>
  <si>
    <t>inc QALY</t>
  </si>
  <si>
    <t>cumICER</t>
  </si>
  <si>
    <t>Constant term for utility fron NHWS analysis</t>
  </si>
  <si>
    <t>Coefficient for utility from NHWS</t>
  </si>
  <si>
    <t>Plots the simulation results on the cost-effectiveness plane</t>
  </si>
  <si>
    <t>&lt;GRAPH | CE Plane&gt;</t>
  </si>
  <si>
    <t>This sheet is 'live': it holds the regression results that are used to drive the model and the values here link through to the parameters sheet</t>
  </si>
  <si>
    <t>&lt;GRAPH | 1 year ISI&gt;</t>
  </si>
  <si>
    <t>Plots the 12-month ISI trajectories that are used as the basis of the model</t>
  </si>
  <si>
    <t>&lt;GRAPH | 1 year QALY&gt;</t>
  </si>
  <si>
    <t>Plots the 12-month EQ5D trajectories estimated from the ISI trajectories and which form the basis for the incremental QALY calculation</t>
  </si>
  <si>
    <t>Plots the ISI to EQ5D mapping function</t>
  </si>
  <si>
    <t>On this sheet the HCRU and productivity losses are estmated based on GLM regressions from NHWS</t>
  </si>
  <si>
    <t>Version control</t>
  </si>
  <si>
    <t>Draft model for submission to NICE</t>
  </si>
  <si>
    <t>4th June 2022</t>
  </si>
  <si>
    <t>28th May 2022</t>
  </si>
  <si>
    <t>Updated to include Sheehan Disability Scale Results in addition to NHWS mapping for productivity losses</t>
  </si>
  <si>
    <t>On this sheet the Sheehan Disability Scale Results from 301 and 303 are presented and converted to productivity losses</t>
  </si>
  <si>
    <t>Start</t>
  </si>
  <si>
    <t>Month 1</t>
  </si>
  <si>
    <t>Month 6</t>
  </si>
  <si>
    <t>Month 9</t>
  </si>
  <si>
    <t>Month 12</t>
  </si>
  <si>
    <t>Placebo</t>
  </si>
  <si>
    <t>Darodorexant</t>
  </si>
  <si>
    <t>Difference</t>
  </si>
  <si>
    <t>delta SE</t>
  </si>
  <si>
    <t>PLA SD</t>
  </si>
  <si>
    <t>D50mg SD</t>
  </si>
  <si>
    <t>Level of presenteeism</t>
  </si>
  <si>
    <t>PLA SE</t>
  </si>
  <si>
    <t>D50mg SE</t>
  </si>
  <si>
    <t>Number of work days missed in the last week</t>
  </si>
  <si>
    <t>Dari 50 mg</t>
  </si>
  <si>
    <t>Baseline SD</t>
  </si>
  <si>
    <t>Value</t>
  </si>
  <si>
    <t>Value SD</t>
  </si>
  <si>
    <t>Change</t>
  </si>
  <si>
    <t>Change SD</t>
  </si>
  <si>
    <t>Month 3</t>
  </si>
  <si>
    <t>Number of days underproductive in the last week</t>
  </si>
  <si>
    <t>Impairment of work score</t>
  </si>
  <si>
    <t>hourlyWR</t>
  </si>
  <si>
    <t>PLACEBO</t>
  </si>
  <si>
    <t>ABSENTEEISM: Days lost in productivity in previous week</t>
  </si>
  <si>
    <t>Days unproductive in previous week</t>
  </si>
  <si>
    <t>WTE Days lost to absenteeism and presenteeism in previous week</t>
  </si>
  <si>
    <t>Total days lost</t>
  </si>
  <si>
    <t>DARIDOREXANT</t>
  </si>
  <si>
    <t>DIFFERENCE</t>
  </si>
  <si>
    <t>LIVE RESULTS</t>
  </si>
  <si>
    <t>Total Productivity Losses</t>
  </si>
  <si>
    <t>NT cost</t>
  </si>
  <si>
    <t>D50mg cost</t>
  </si>
  <si>
    <t>NT QALY</t>
  </si>
  <si>
    <t>D50mg QALY</t>
  </si>
  <si>
    <t>Version 2.15</t>
  </si>
  <si>
    <t>21st June 2022</t>
  </si>
  <si>
    <t>Updated probabilistic analysis for reporting of expected values</t>
  </si>
  <si>
    <t>Version 2.00</t>
  </si>
  <si>
    <t>Version 2.10</t>
  </si>
  <si>
    <t>Version 2.20</t>
  </si>
  <si>
    <t>23rd June 2022</t>
  </si>
  <si>
    <t xml:space="preserve">ICER </t>
  </si>
  <si>
    <t>ER attendances</t>
  </si>
  <si>
    <t>Inpatient stays</t>
  </si>
  <si>
    <t>mnEQ5D</t>
  </si>
  <si>
    <t>Hourly wage rate assuming 255 working days per year and 7.5 hour working days</t>
  </si>
  <si>
    <t>Annual wage rate (median) in the UK (ONS Annual Survey of Hours and Earnings 2021)</t>
  </si>
  <si>
    <t>Cost of an ER visit (National Cost Collection for the NHS 2020)</t>
  </si>
  <si>
    <t>Cost of an IP visit (National Cost Collection for the NHS 2020</t>
  </si>
  <si>
    <t>Cost of a GP visit (PSSRU)</t>
  </si>
  <si>
    <t>Constant term for general practitioner (GP) visit from NHWS model</t>
  </si>
  <si>
    <t>Coefficient for GP visit from NHWS model</t>
  </si>
  <si>
    <t>Constant term for emergency room (ER) visit from NHWS model</t>
  </si>
  <si>
    <t>Coefficient for ER visit from NHWS model</t>
  </si>
  <si>
    <t>Constant term for inpatient (IP) visit from NHWS model</t>
  </si>
  <si>
    <t>Coefficient for IP visit from NHWS model</t>
  </si>
  <si>
    <t>Total</t>
  </si>
  <si>
    <t>On this sheet the deterministic sensitivity analysis is summarised and the data for the Tornado Plot created</t>
  </si>
  <si>
    <t>width</t>
  </si>
  <si>
    <t>low</t>
  </si>
  <si>
    <t>high</t>
  </si>
  <si>
    <t>utility</t>
  </si>
  <si>
    <t>parameter</t>
  </si>
  <si>
    <t>baseline</t>
  </si>
  <si>
    <t>drop-out</t>
  </si>
  <si>
    <t>IP visits</t>
  </si>
  <si>
    <t>Updated unit costs, added deterministic sensitivity analysis and further disaggregated events</t>
  </si>
  <si>
    <t>&lt;GRAPH | Tornado&gt;</t>
  </si>
  <si>
    <t>Base Case</t>
  </si>
  <si>
    <t>per QALY</t>
  </si>
  <si>
    <t>Data for figures HCRU</t>
  </si>
  <si>
    <t>Data for figures Productivity</t>
  </si>
  <si>
    <t>&lt;GRAPH | HCRU&gt;</t>
  </si>
  <si>
    <t>&lt;GRAPH | WPAI&gt;</t>
  </si>
  <si>
    <t>&lt;Model | Parameters&gt;</t>
  </si>
  <si>
    <t>&lt;Model | Lifetime&gt;</t>
  </si>
  <si>
    <t>&lt;Model | Simulation&gt;</t>
  </si>
  <si>
    <t>&lt;Ref | NHWS utility&gt;</t>
  </si>
  <si>
    <t>&lt;Ref |NHWS RU&gt;</t>
  </si>
  <si>
    <t>&lt;Ref | Study 303&gt;</t>
  </si>
  <si>
    <t>&lt;Ref | SDS &gt;</t>
  </si>
  <si>
    <t>&lt;Ref | ONS Lifetable&gt;</t>
  </si>
  <si>
    <t>&lt;Ref | DSA&gt;</t>
  </si>
  <si>
    <t>These are the main modelling sheets where the calculations are performed</t>
  </si>
  <si>
    <t>These are the reference sheets that provide the data inputs for the modelling</t>
  </si>
  <si>
    <t>These are the figures from the modelling that form part of the reporting</t>
  </si>
  <si>
    <t>&lt;GRAPH | utility&gt;</t>
  </si>
  <si>
    <t>Plots the absolute HRCU for all three categories by ISI</t>
  </si>
  <si>
    <t>Plots the change in HCRU for all three categories by ISI</t>
  </si>
  <si>
    <t>&lt;GRAPH | HCRU Δ&gt;</t>
  </si>
  <si>
    <t>&lt;GRAPH | WPAI Δ&gt;</t>
  </si>
  <si>
    <t>Plots the change in productivity losses for WPAI by ISI</t>
  </si>
  <si>
    <t>Plots the absolute productivity losses for WPAI by ISI</t>
  </si>
  <si>
    <t>Plots the Tornado diagram for the deterministic sensitivity analysis</t>
  </si>
  <si>
    <t>&lt;Model | 1 year&gt;</t>
  </si>
  <si>
    <t>&lt;Model | ISI analysis (live)&gt;</t>
  </si>
  <si>
    <t>25th June 2022</t>
  </si>
  <si>
    <t>ISI values 301</t>
  </si>
  <si>
    <t>ISI values 303</t>
  </si>
  <si>
    <t>Version 2.22</t>
  </si>
  <si>
    <t>Fixed Tornado diagram including separating 301 &amp; 303  and tidied up guide to sheets</t>
  </si>
  <si>
    <t>Version 2.23</t>
  </si>
  <si>
    <t>29th June 2022</t>
  </si>
  <si>
    <t>Corrected model following QC</t>
  </si>
  <si>
    <t>Version 2.30</t>
  </si>
  <si>
    <t>25th November 2022</t>
  </si>
  <si>
    <t>diagnosed</t>
  </si>
  <si>
    <t>deage</t>
  </si>
  <si>
    <t>treated_ISI_Score</t>
  </si>
  <si>
    <t>BMI</t>
  </si>
  <si>
    <t>DASD</t>
  </si>
  <si>
    <t>ISI Score</t>
  </si>
  <si>
    <t>sigma3</t>
  </si>
  <si>
    <t>sigma2</t>
  </si>
  <si>
    <t>sigma1</t>
  </si>
  <si>
    <t>Comp3_lnsigma</t>
  </si>
  <si>
    <t>Comp2_lnsigma</t>
  </si>
  <si>
    <t>Comp1_lnsigma</t>
  </si>
  <si>
    <t>Comp2_delta_treated_ISI_Score</t>
  </si>
  <si>
    <t>Comp2_delta_CCI</t>
  </si>
  <si>
    <t>Comp2_delta_BMI_R</t>
  </si>
  <si>
    <t>Comp2_delta_deage</t>
  </si>
  <si>
    <t>Comp2_delta_ISI_Score</t>
  </si>
  <si>
    <t>Comp2_delta_Not_Country_UK1</t>
  </si>
  <si>
    <t>Comp2_delta_diagnosed1</t>
  </si>
  <si>
    <t>Comp2_delta_treated1</t>
  </si>
  <si>
    <t>Comp2_delta_pain1</t>
  </si>
  <si>
    <t>Comp2_delta_Combined_DP_PTS_AX1</t>
  </si>
  <si>
    <t>Comp2_delta_low_moderate_drinker1</t>
  </si>
  <si>
    <t>Comp2_delta_heavy_drinker1</t>
  </si>
  <si>
    <t>Comp2_delta_former_smoker1</t>
  </si>
  <si>
    <t>Comp2_delta_current_smoker1</t>
  </si>
  <si>
    <t>Comp2_delta_retired1</t>
  </si>
  <si>
    <t>Comp2_delta_employed1</t>
  </si>
  <si>
    <t>Comp2_delta_degree_4years1</t>
  </si>
  <si>
    <t>Comp2_delta_married1</t>
  </si>
  <si>
    <t>Comp2_delta_female1</t>
  </si>
  <si>
    <t>Comp2_delta_(Intercept)</t>
  </si>
  <si>
    <t>Comp1_delta_treated_ISI_Score</t>
  </si>
  <si>
    <t>Comp1_delta_CCI</t>
  </si>
  <si>
    <t>Comp1_delta_BMI_R</t>
  </si>
  <si>
    <t>Comp1_delta_deage</t>
  </si>
  <si>
    <t>Comp1_delta_ISI_Score</t>
  </si>
  <si>
    <t>Comp1_delta_Not_Country_UK1</t>
  </si>
  <si>
    <t>Comp1_delta_diagnosed1</t>
  </si>
  <si>
    <t>Comp1_delta_treated1</t>
  </si>
  <si>
    <t>Comp1_delta_pain1</t>
  </si>
  <si>
    <t>Comp1_delta_Combined_DP_PTS_AX1</t>
  </si>
  <si>
    <t>Comp1_delta_low_moderate_drinker1</t>
  </si>
  <si>
    <t>Comp1_delta_heavy_drinker1</t>
  </si>
  <si>
    <t>Comp1_delta_former_smoker1</t>
  </si>
  <si>
    <t>Comp1_delta_current_smoker1</t>
  </si>
  <si>
    <t>Comp1_delta_retired1</t>
  </si>
  <si>
    <t>Comp1_delta_employed1</t>
  </si>
  <si>
    <t>Comp1_delta_degree_4years1</t>
  </si>
  <si>
    <t>Comp1_delta_married1</t>
  </si>
  <si>
    <t>Comp1_delta_female1</t>
  </si>
  <si>
    <t>Comp1_delta_(Intercept)</t>
  </si>
  <si>
    <t>Comp3_beta_treated_ISI_Score</t>
  </si>
  <si>
    <t>Comp3_beta_CCI</t>
  </si>
  <si>
    <t>Comp3_beta_BMI_R</t>
  </si>
  <si>
    <t>Comp3_beta_deage</t>
  </si>
  <si>
    <t>Comp3_beta_ISI_Score</t>
  </si>
  <si>
    <t>Comp3_beta_Not_Country_UK1</t>
  </si>
  <si>
    <t>Comp3_beta_diagnosed1</t>
  </si>
  <si>
    <t>Comp3_beta_treated1</t>
  </si>
  <si>
    <t>Comp3_beta_pain1</t>
  </si>
  <si>
    <t>Comp3_beta_Combined_DP_PTS_AX1</t>
  </si>
  <si>
    <t>Comp3_beta_low_moderate_drinker1</t>
  </si>
  <si>
    <t>Comp3_beta_heavy_drinker1</t>
  </si>
  <si>
    <t>Comp3_beta_former_smoker1</t>
  </si>
  <si>
    <t>Comp3_beta_current_smoker1</t>
  </si>
  <si>
    <t>Comp3_beta_retired1</t>
  </si>
  <si>
    <t>Comp3_beta_employed1</t>
  </si>
  <si>
    <t>Comp3_beta_degree_4years1</t>
  </si>
  <si>
    <t>Comp3_beta_married1</t>
  </si>
  <si>
    <t>Comp3_beta_female1</t>
  </si>
  <si>
    <t>Comp3_beta_(Intercept)</t>
  </si>
  <si>
    <t>Comp2_beta_treated_ISI_Score</t>
  </si>
  <si>
    <t>Comp2_beta_CCI</t>
  </si>
  <si>
    <t>Comp2_beta_BMI_R</t>
  </si>
  <si>
    <t>Comp2_beta_deage</t>
  </si>
  <si>
    <t>Comp2_beta_ISI_Score</t>
  </si>
  <si>
    <t>Comp2_beta_Not_Country_UK1</t>
  </si>
  <si>
    <t>Comp2_beta_diagnosed1</t>
  </si>
  <si>
    <t>Comp2_beta_treated1</t>
  </si>
  <si>
    <t>Comp2_beta_pain1</t>
  </si>
  <si>
    <t>Comp2_beta_Combined_DP_PTS_AX1</t>
  </si>
  <si>
    <t>Comp2_beta_low_moderate_drinker1</t>
  </si>
  <si>
    <t>Comp2_beta_heavy_drinker1</t>
  </si>
  <si>
    <t>Comp2_beta_former_smoker1</t>
  </si>
  <si>
    <t>Comp2_beta_current_smoker1</t>
  </si>
  <si>
    <t>Comp2_beta_retired1</t>
  </si>
  <si>
    <t>Comp2_beta_employed1</t>
  </si>
  <si>
    <t>Comp2_beta_degree_4years1</t>
  </si>
  <si>
    <t>Comp2_beta_married1</t>
  </si>
  <si>
    <t>Comp2_beta_female1</t>
  </si>
  <si>
    <t>Comp2_beta_(Intercept)</t>
  </si>
  <si>
    <t>Comp1_beta_treated_ISI_Score</t>
  </si>
  <si>
    <t>Comp1_beta_CCI</t>
  </si>
  <si>
    <t>Comp1_beta_BMI_R</t>
  </si>
  <si>
    <t>Comp1_beta_deage</t>
  </si>
  <si>
    <t>Comp1_beta_ISI_Score</t>
  </si>
  <si>
    <t>Comp1_beta_Not_Country_UK1</t>
  </si>
  <si>
    <t>Comp1_beta_diagnosed1</t>
  </si>
  <si>
    <t>Comp1_beta_treated1</t>
  </si>
  <si>
    <t>Comp1_beta_pain1</t>
  </si>
  <si>
    <t>Comp1_beta_Combined_DP_PTS_AX1</t>
  </si>
  <si>
    <t>Comp1_beta_low_moderate_drinker1</t>
  </si>
  <si>
    <t>Comp1_beta_heavy_drinker1</t>
  </si>
  <si>
    <t>Comp1_beta_former_smoker1</t>
  </si>
  <si>
    <t>Comp1_beta_current_smoker1</t>
  </si>
  <si>
    <t>Comp1_beta_retired1</t>
  </si>
  <si>
    <t>Comp1_beta_employed1</t>
  </si>
  <si>
    <t>Comp1_beta_degree_4years1</t>
  </si>
  <si>
    <t>Comp1_beta_married1</t>
  </si>
  <si>
    <t>Comp1_beta_female1</t>
  </si>
  <si>
    <t>Comp1_beta_(Intercept)</t>
  </si>
  <si>
    <t>fit.coef</t>
  </si>
  <si>
    <t>combined_DP_PTS_AX</t>
  </si>
  <si>
    <t>Expected value:</t>
  </si>
  <si>
    <t>comp</t>
  </si>
  <si>
    <t>b1</t>
  </si>
  <si>
    <t>a1</t>
  </si>
  <si>
    <t>LP</t>
  </si>
  <si>
    <t>probability</t>
  </si>
  <si>
    <t>Component</t>
  </si>
  <si>
    <t>ISIsd</t>
  </si>
  <si>
    <t>EV</t>
  </si>
  <si>
    <t>stdISI</t>
  </si>
  <si>
    <t>ISImean</t>
  </si>
  <si>
    <t>psi.2</t>
  </si>
  <si>
    <t>ps1.1</t>
  </si>
  <si>
    <t>STEP 4: Predict as function of ISI</t>
  </si>
  <si>
    <t>STEP 3: ISI statistics</t>
  </si>
  <si>
    <t>STEP 2: Generate calculator</t>
  </si>
  <si>
    <t>STEP 1: Specify covariates</t>
  </si>
  <si>
    <t>SOC</t>
  </si>
  <si>
    <t>Dari</t>
  </si>
  <si>
    <t>Version 2.40</t>
  </si>
  <si>
    <t>Finalised gamma-log GLM and ALDVMM models following acceptance at PhamacoEconomics-Open</t>
  </si>
  <si>
    <t>10th January 2023</t>
  </si>
  <si>
    <t>New gamma-Log GLM and ALDVMM model for utility as sensitivity analysis</t>
  </si>
  <si>
    <t>intercept</t>
  </si>
  <si>
    <t>education to degree level</t>
  </si>
  <si>
    <t>current smoker</t>
  </si>
  <si>
    <t>former smoker</t>
  </si>
  <si>
    <t>heavy drinker</t>
  </si>
  <si>
    <t>low-moderate drinker</t>
  </si>
  <si>
    <t>insomnia treated</t>
  </si>
  <si>
    <t>insomnia diagnosed</t>
  </si>
  <si>
    <t>non-UK</t>
  </si>
  <si>
    <t>age</t>
  </si>
  <si>
    <t>ISI x treatment interaction</t>
  </si>
  <si>
    <t>ISI x treatment</t>
  </si>
  <si>
    <t>On this sheet the gamma-log GLM mapping model for ISI-EQ5D from the NHWS is presented</t>
  </si>
  <si>
    <t>On this sheet the ALDVMM mapping model for ISI-EQ5D from the NHWS is presented</t>
  </si>
  <si>
    <t>* It is important to note that the ALDVMM model is not included in the PSA</t>
  </si>
  <si>
    <t>waning</t>
  </si>
  <si>
    <t>perTot</t>
  </si>
  <si>
    <t>Percentage of NIHR costs as total</t>
  </si>
  <si>
    <t>Impact Estimates</t>
  </si>
  <si>
    <t>Adverse Event</t>
  </si>
  <si>
    <t>QoL impact</t>
  </si>
  <si>
    <t>duration (days)</t>
  </si>
  <si>
    <t>Cost*</t>
  </si>
  <si>
    <t>Sources</t>
  </si>
  <si>
    <t>Nasopharyngitis</t>
  </si>
  <si>
    <t>Jit et al 2010 (influenza)</t>
  </si>
  <si>
    <t>Headache</t>
  </si>
  <si>
    <t>Domitrz et al 2022 (migraine)</t>
  </si>
  <si>
    <t>Accidental overdose</t>
  </si>
  <si>
    <t>Assumption</t>
  </si>
  <si>
    <t>Fatique</t>
  </si>
  <si>
    <t>Assumption (as for headache)</t>
  </si>
  <si>
    <t>Dizziness</t>
  </si>
  <si>
    <t>Nausea</t>
  </si>
  <si>
    <t>Somnolence</t>
  </si>
  <si>
    <t>Fall</t>
  </si>
  <si>
    <t>URTI</t>
  </si>
  <si>
    <t>Assumption (as for influenza)</t>
  </si>
  <si>
    <t>Cough</t>
  </si>
  <si>
    <t>Pneumonia</t>
  </si>
  <si>
    <t>Back pain</t>
  </si>
  <si>
    <t>Tonsilitis</t>
  </si>
  <si>
    <t>UTI</t>
  </si>
  <si>
    <t>Myalgia</t>
  </si>
  <si>
    <t>Sinusitus</t>
  </si>
  <si>
    <t>Hepatic enzyme increased</t>
  </si>
  <si>
    <t>Frequency Tables</t>
  </si>
  <si>
    <t>Adverse Event Frequency by Dose</t>
  </si>
  <si>
    <t>Impacts</t>
  </si>
  <si>
    <t>QALY cross products</t>
  </si>
  <si>
    <t>Cost cross products</t>
  </si>
  <si>
    <t>sample size</t>
  </si>
  <si>
    <t>Adverse Events in 301</t>
  </si>
  <si>
    <t>10mg</t>
  </si>
  <si>
    <t>25mg</t>
  </si>
  <si>
    <t>50mg</t>
  </si>
  <si>
    <t>25mg (ex.PLB)</t>
  </si>
  <si>
    <t>difference from placebo</t>
  </si>
  <si>
    <t>Adverse Events in 303</t>
  </si>
  <si>
    <t>Tonsillitis</t>
  </si>
  <si>
    <t>Sinusitis</t>
  </si>
  <si>
    <t>Heaptic enzyme increased</t>
  </si>
  <si>
    <t>Version 2.50</t>
  </si>
  <si>
    <t>19th April 2023</t>
  </si>
  <si>
    <t>Added waning parameter, inflation factor for missing direct costs, AEs and GP training as per NICE request</t>
  </si>
  <si>
    <r>
      <rPr>
        <sz val="12"/>
        <color theme="1"/>
        <rFont val="Ubuntu Light"/>
        <family val="2"/>
      </rPr>
      <t>•</t>
    </r>
    <r>
      <rPr>
        <sz val="12"/>
        <color theme="1"/>
        <rFont val="Calibri"/>
        <family val="2"/>
      </rPr>
      <t xml:space="preserve"> CSR 301: "</t>
    </r>
    <r>
      <rPr>
        <sz val="12"/>
        <color theme="1"/>
        <rFont val="Calibri"/>
        <family val="2"/>
        <scheme val="minor"/>
      </rPr>
      <t>On Day −15, the subject experienced a non-serious event of nasopharyngitis (PT) of mild 
intensity requiring treatment with xylometazoline hydrochloride (intranasal p.r.n.) and 
cineole from Day −15 to −8 (unknown dose, p.r.n)."
• CSR 301: "On Day 73 the subject experienced non-serious nasopharyngitis (PT) of mild intensity, 
not requiring treatment."
• CSR 301: "On Day 95, the subject experienced non-serious nasopharyngitis (PT) of mild intensity, 
requiring treatment with myrtol (unknown dose t.i.d.) from Day 95 to Day 103."
• CSR 301: "On Day 85, the subject experienced non-serious nasopharyngitis (PT) of mild intensity, 
not requiring treatment."
• CSR 301: "On Day −20, the subject experienced non-serious nasopharyngitis (PT) of moderate 
intensity, requiring treatment with paracetamol (500 mg b.i.d) and hedera helix leaf (b.i.d) 
from Day −20 to Day −14."
• CSR 301: "On Day 46 the subject experienced non-serious nasopharyngitis (PT) of mild intensity not 
requiring treatment. "</t>
    </r>
  </si>
  <si>
    <t>Examples</t>
  </si>
  <si>
    <t>• CSR 301: "On Day 84, the subject experienced non-serious disturbance in attention and hypersomnia (PT) both of mild intensity, not requiring treatment. The events resolved on the same day and were described as occurring due to an accidental overdose of 1 run-out tablet on Day 84. The investigator considered the events as related to study treatment and did not consider them as AESIs.”
• CSR 301: "On Day 136, the subject experienced non-serious accidental overdose (PT) of mild intensity. The event occurred once on the reported day and was asymptomatic.”</t>
  </si>
  <si>
    <t>• CSR 301: "On Day 5, the subject experienced a non-serious event of headache (PT) of mild intensity. 
The subject received ibuprofen (400 mg o.d.) from Day 5 to Day 7.”
• CSR 301: "On Day −4 at 06:20 the subject experienced non-serious headache (PT) of mild intensity, 
requiring treatment with naproxen (550 mg, once) on Day −4. The event resolved on the 
same day at 15:00”
• CSR 301: "On Days −11, −1 and 47 the subject experienced non-serious headache (PT) of moderate 
intensity, requiring treatment with paracetamol (650 mg, once) on both Days −11 and −1, 
and dexketoprofen trometamol (25 mg, once) on Day 47.”
• CSR 301: "On Day 1, the subject experienced non-serious headache (PT) of mild intensity, requiring 
treatment with ibuprofen (600 mg once) on Day 1.”</t>
  </si>
  <si>
    <t>• CSR 301: "On Day 22 the subject experienced non-serious fatigue (PT) of moderate intensity not requiring treatment. The event resolved on the same day and was assessed as not related to study treatment by the investigator.” (daridorexant 50 mg)
• CSR 301: "On Day 2, the subject experienced non-serious fatigue (PT) of moderate intensity, not requiring treatment. The event resolved on Day 36 and was assessed as related to study treatment by the investigator. The investigator considered the event as an AESI.” (daridorexant 50 mg)
• CSR 301: "On Day 85, the subject experienced non-serious fatigue (PT) of mild intensity, not 
requiring treatment. The event resolved on Day 100 and was assessed as related to study 
treatment by the investigator. The investigator considered the event as being an AESI.” (daridorexant 50 mg)
• CSR 301: "On Day −29 the subject experienced non-serious fatigue (PT) of mild intensity, not 
requiring treatment. The event did not resolve at the end of the study and was assessed as 
not related to study treatment by the investigator. The investigator did not consider the 
event as an AESI.”(placebo)</t>
  </si>
  <si>
    <t>• CSR 301: "On Day 2, at 02:30, the subject experienced non-serious dizziness (PT) of moderate 
intensity, not requiring treatment. The event resolved on the same day at 09:15. The event 
was assessed as related to study treatment by the investigator.” (placebo)
• CSR 301: "On Day 56, at 05:30, the subject experienced non-serious nausea, head discomfort, and dizziness (PTs), all of mild intensity not requiring treatment. All three events resolved on Day 62 at 12:00, and only head discomfort was assessed as related to study treatment by the investigator. The investigator did not consider the events as AESIs.” (placebo)</t>
  </si>
  <si>
    <t>• CSR 301: "On Day 56, at 05:30, the subject experienced non-serious nausea, head discomfort, and
dizziness (PTs), all of mild intensity not requiring treatment. All three events resolved on 
Day 62 at 12:00, and only head discomfort was assessed as related to study treatment by 
the investigator.” (placebo)
• CSR 301: "On Day −23, the subject experienced non-serious nausea (PT) of mild intensity not 
requiring treatment. The event resolved on Day −16 and was assessed as not related to 
study treatment by the investigator.” (placebo)</t>
  </si>
  <si>
    <t>• CSR 301: "On Day 81 the subject experienced non-serious somnolence (PT) of mild intensity not requiring treatment. The event resolved on Day 82 and was assessed as related to study treatment by the investigator.” (placebo)
• CSR 301: "On Day 90, the subject experienced non-serious somnolence (PT) of mild intensity not requiring treatment. The event resolved on Day 95 and was assessed as related to study treatment by the investigator. The investigator did not consider the event an AESI.” (daridorexant 50 mg)</t>
  </si>
  <si>
    <t>• CSR 301: "On Day 21, the subject experienced non-serious fall with resulting rib fracture (PTs) both of mild intensity, requiring treatment with ibuprofen (600 mg, o.d.) from Day 21 to Day 24.” (placebo)
• CSR 301: "On Day 18, the subject experienced a non-serious fall with resulting joint dislocation (PT) both of mild intensity, requiring treatment with ibuprofen (600 mg p.r.n.) from Day 20 to Day 22.” (placebo)
• CSR 301: "On Day 76, the subject experienced non-serious fall with resulting radius fracture (PTs) of mild and moderate intensity, respectively, not requiring treatment. The radius fracture resolved on Day 110.” (placebo)
• CSR 301: "On Day 85, the subject experienced non-serious fall and spinal column injury (PTs), both of mild intensity requiring treatment with paracetamol / tramadol hydrochloride (1 tablet, o.d.). The event of spinal column injury did not resolve at the end of the study and was assessed as not related to study treatment by the investigator.” (placebo)
• CSR 301: "On Day 30, the subject experienced non-serious fall of moderate intensity with resulting intervertebral disc protrusion (PTs) of moderate intensity, requiring treatment with hydrocodone bitartrate / paracetamol (5/325 mg p.r.n.) on Day 30, cyclobenzaprine (10 mg p.r.n.) from Day 30 to 32, and ibuprofen (600 mg p.r.n.) from Day 32 to 33.” (placebo)</t>
  </si>
  <si>
    <t>• CSR 301: "On Day –8, the subject experienced non-serious upper respiratory tract infection (PT) 
of mild intensity not requiring any treatment. The event resolved on Day −2 and was 
assessed as not related to study treatment by the investigator.” (placebo)
• CSR 301: "On Day –23, the subject experienced non-serious upper respiratory tract infection (PT) of mild intensity, not requiring treatment. The event resolved on Day −16 and was assessed as not related to study treatment by the investigator.” (daridorexant 25 mg)</t>
  </si>
  <si>
    <t>• CSR 301: "On Day −7 the subject experienced non-serious cough (PT) of moderate intensity requiring treatment with azithromycin (250 mg o.d.) from Day −7 to Day −4. The event resolved on Day −1 and was assessed as not related to study treatment by the investigator.” (placebo)
• CSR 301: "On Day 34, the subject experienced non-serious cough (PT) of mild intensity, requiring treatment with codeine phosphate; sulfogaiacol (15/300 mg t.i.d.) between Day 35 and Day 39. The event resolved on Day 39 and was assessed as not related to study treatment by the investigator.” (daridorexant 25 mg)</t>
  </si>
  <si>
    <t>• CSR 301: "On Day 82 the subject experienced non-serious tonsillitis (PT) of moderate intensity, requiring treatment with ibuprofen (600 mg p.r.n.), paracetamol (1 g p.r.n.) and amoxicillin / clavulanic acid from Day 82 to Day 90. The event resolved on Day 90 and was assessed as not related to study treatment by the investigator.” (placebo)</t>
  </si>
  <si>
    <t>• CSR 301: "Elevated liver function test (values not known) and possible urinary tract infection were discovered on hospital admission. Placebo treatment was temporarily interrupted for an unknown period of time due to hospitalization. The subject received oral metronidazole (500 mg b.i.d.) and oral cefdinir (300 mg b.i.d.) for 10 days starting on 09Nov2018. The event resolved without sequelae on 09Nov2018 and was assessed as not related to the study treatment by the investigator.” (placebo)</t>
  </si>
  <si>
    <t>ALL - Daridorexant 50 mg</t>
  </si>
  <si>
    <t>_x000B_Baseline</t>
  </si>
  <si>
    <t>Matza et al 2014 (rib fracture)</t>
  </si>
  <si>
    <t>50mg Dose from Studies 301 and 303</t>
  </si>
  <si>
    <t>challenge</t>
  </si>
  <si>
    <t>Also included 25mg scenarios from both 301 and 302 as per NICE's request (severity sub group analysis removed)</t>
  </si>
  <si>
    <t>Version 2.60</t>
  </si>
  <si>
    <t>22nd May 2023</t>
  </si>
  <si>
    <t>Removed 25mg scenarios added at NICE's request (not a licensed dose).  Incorporated AEs into base case (including PSA)</t>
  </si>
  <si>
    <t>Adverse Events</t>
  </si>
  <si>
    <t>cAE</t>
  </si>
  <si>
    <t>qAE</t>
  </si>
  <si>
    <t>Additional cost in treatment arm of Adverse Events</t>
  </si>
  <si>
    <t>QALY deficit in treatment arm due to Adverse Events</t>
  </si>
  <si>
    <t>inflation</t>
  </si>
  <si>
    <t>Increment (over one-year)*</t>
  </si>
  <si>
    <t>ICER (over one-year)*</t>
  </si>
  <si>
    <t>ICER (at one-year)</t>
  </si>
  <si>
    <t>ICER-1</t>
  </si>
  <si>
    <t>Waning of treatment effect per year</t>
  </si>
  <si>
    <t>PerTotal</t>
  </si>
  <si>
    <t>Unit Costs</t>
  </si>
  <si>
    <t>&lt;Ref | NHWS utility2&gt;</t>
  </si>
  <si>
    <t>&lt;Ref | AEs&gt;</t>
  </si>
  <si>
    <t>On this sheet the consequences of AEs in the treatment and placebo groups are calculated based on 301 and 303 data</t>
  </si>
  <si>
    <t>&lt;GRAPH | Waning&gt;</t>
  </si>
  <si>
    <t>Plots the lifetime cost-effectiveness analysis under various assumptions about waning</t>
  </si>
  <si>
    <t>ICER-2</t>
  </si>
  <si>
    <t>hrsTrain</t>
  </si>
  <si>
    <t>gamma</t>
  </si>
  <si>
    <t>Hours of GP training per annum</t>
  </si>
  <si>
    <t>ptsAnnum</t>
  </si>
  <si>
    <t>Insomnia patients seen by GP per annum</t>
  </si>
  <si>
    <t>switch on full placebo correction</t>
  </si>
  <si>
    <t>GP Training</t>
  </si>
  <si>
    <t>Table for SMC submission</t>
  </si>
  <si>
    <t>Version 2.71</t>
  </si>
  <si>
    <t>16th October 2023</t>
  </si>
  <si>
    <t>New list price, full placebo correction, GP training</t>
  </si>
  <si>
    <t>0% Waning</t>
  </si>
  <si>
    <t>Version 2.75</t>
  </si>
  <si>
    <t>30th October 2023</t>
  </si>
  <si>
    <t>New list price, selective attrition base case, no training costs</t>
  </si>
  <si>
    <t>PBO</t>
  </si>
  <si>
    <t>4 weeks</t>
  </si>
  <si>
    <t>12 weeks</t>
  </si>
  <si>
    <t>52 weeks</t>
  </si>
  <si>
    <t>26 weeks</t>
  </si>
  <si>
    <t>39 weeks</t>
  </si>
  <si>
    <t>absenteeism</t>
  </si>
  <si>
    <t>presenteeism</t>
  </si>
  <si>
    <t>total</t>
  </si>
  <si>
    <t>Increment (at one year)</t>
  </si>
  <si>
    <t>Visit</t>
  </si>
  <si>
    <t xml:space="preserve">  Treatment group</t>
  </si>
  <si>
    <t xml:space="preserve"> </t>
  </si>
  <si>
    <t xml:space="preserve">  </t>
  </si>
  <si>
    <t>95% CL</t>
  </si>
  <si>
    <t>p-value</t>
  </si>
  <si>
    <t>(two-</t>
  </si>
  <si>
    <t xml:space="preserve">sided) </t>
  </si>
  <si>
    <t>Month 1</t>
  </si>
  <si>
    <t>Daridorexant 25 mg (N=132)</t>
  </si>
  <si>
    <t>[-2.843, 0.466]</t>
  </si>
  <si>
    <t>Daridorexant 50 mg (N=137)</t>
  </si>
  <si>
    <t>[-3.703, -0.410]</t>
  </si>
  <si>
    <t>Placebo (N=57)</t>
  </si>
  <si>
    <t xml:space="preserve">   -</t>
  </si>
  <si>
    <t xml:space="preserve">         -</t>
  </si>
  <si>
    <t xml:space="preserve">  -</t>
  </si>
  <si>
    <t>Month 3</t>
  </si>
  <si>
    <t>[-2.046, 1.744]</t>
  </si>
  <si>
    <t>[-3.909, -0.135]</t>
  </si>
  <si>
    <t>Month 6</t>
  </si>
  <si>
    <t>[-3.530, 0.932]</t>
  </si>
  <si>
    <t>[-4.423, 0.018]</t>
  </si>
  <si>
    <t>Month 9</t>
  </si>
  <si>
    <t>[-3.317, 1.353]</t>
  </si>
  <si>
    <t>[-4.798, -0.138]</t>
  </si>
  <si>
    <t>Month 12</t>
  </si>
  <si>
    <t>[-2.235, 2.458]</t>
  </si>
  <si>
    <t>[-3.721, 0.964]</t>
  </si>
  <si>
    <t>D50-M1</t>
  </si>
  <si>
    <t>D50-M3</t>
  </si>
  <si>
    <t>D50-M6</t>
  </si>
  <si>
    <t>D50-M9</t>
  </si>
  <si>
    <t>D50-M12</t>
  </si>
  <si>
    <t>PLA-M1</t>
  </si>
  <si>
    <t>PLA-M3</t>
  </si>
  <si>
    <t>PLA-M6</t>
  </si>
  <si>
    <t>PLA-M9</t>
  </si>
  <si>
    <t>PLA-M12</t>
  </si>
  <si>
    <t>Version 2.76</t>
  </si>
  <si>
    <t>Version to support manuscript submission</t>
  </si>
  <si>
    <t>1st July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</si>
</sst>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4" formatCode="_(&quot;£&quot;* #,##0.00_);_(&quot;£&quot;* \(#,##0.00\);_(&quot;£&quot;* &quot;-&quot;??_);_(@_)"/>
    <numFmt numFmtId="43" formatCode="_(* #,##0.00_);_(* \(#,##0.00\);_(* &quot;-&quot;??_);_(@_)"/>
    <numFmt numFmtId="164" formatCode="0.000"/>
    <numFmt numFmtId="165" formatCode="0.00000"/>
    <numFmt numFmtId="166" formatCode="_(&quot;£&quot;* #,##0_);_(&quot;£&quot;* \(#,##0\);_(&quot;£&quot;* &quot;-&quot;??_);_(@_)"/>
    <numFmt numFmtId="167" formatCode="###0.00"/>
    <numFmt numFmtId="168" formatCode="0.0000"/>
    <numFmt numFmtId="169" formatCode="###0.0000"/>
    <numFmt numFmtId="170" formatCode="###0"/>
    <numFmt numFmtId="171" formatCode="###0.00000"/>
    <numFmt numFmtId="172" formatCode="####.00000"/>
    <numFmt numFmtId="173" formatCode="####.0000"/>
    <numFmt numFmtId="174" formatCode="###0.000"/>
    <numFmt numFmtId="175" formatCode="####.000"/>
    <numFmt numFmtId="176" formatCode="0.00000E+00"/>
    <numFmt numFmtId="177" formatCode="0.0"/>
    <numFmt numFmtId="178" formatCode="_(* #,##0.0000_);_(* \(#,##0.0000\);_(* &quot;-&quot;??_);_(@_)"/>
    <numFmt numFmtId="179" formatCode="0.0%"/>
    <numFmt numFmtId="180" formatCode="_(* #,##0_);_(* \(#,##0\);_(* &quot;-&quot;??_);_(@_)"/>
    <numFmt numFmtId="181" formatCode="0.000000"/>
    <numFmt numFmtId="182" formatCode="0.0000000"/>
  </numFmts>
  <fonts count="58">
    <font>
      <sz val="12"/>
      <color theme="1"/>
      <name val="Calibri"/>
      <family val="2"/>
      <scheme val="minor"/>
    </font>
    <font>
      <sz val="10"/>
      <color theme="1"/>
      <name val="Courier"/>
      <family val="1"/>
    </font>
    <font>
      <sz val="12"/>
      <color theme="1"/>
      <name val="Calibri"/>
      <family val="2"/>
      <scheme val="minor"/>
    </font>
    <font>
      <b/>
      <sz val="12"/>
      <color theme="0"/>
      <name val="Calibri"/>
      <family val="2"/>
      <scheme val="minor"/>
    </font>
    <font>
      <b/>
      <sz val="12"/>
      <color theme="1"/>
      <name val="Calibri"/>
      <family val="2"/>
      <scheme val="minor"/>
    </font>
    <font>
      <b/>
      <sz val="16"/>
      <color theme="1"/>
      <name val="Calibri"/>
      <family val="2"/>
      <scheme val="minor"/>
    </font>
    <font>
      <i/>
      <sz val="12"/>
      <color theme="1"/>
      <name val="Calibri"/>
      <family val="2"/>
      <scheme val="minor"/>
    </font>
    <font>
      <sz val="9"/>
      <color rgb="FF000000"/>
      <name val="Arial"/>
      <family val="2"/>
    </font>
    <font>
      <sz val="10"/>
      <name val="Arial"/>
      <family val="2"/>
    </font>
    <font>
      <sz val="9"/>
      <color indexed="8"/>
      <name val="Arial"/>
      <family val="2"/>
    </font>
    <font>
      <vertAlign val="superscript"/>
      <sz val="9"/>
      <color rgb="FF000000"/>
      <name val="Arial"/>
      <family val="2"/>
    </font>
    <font>
      <vertAlign val="superscript"/>
      <sz val="9"/>
      <color indexed="8"/>
      <name val="Arial"/>
      <family val="2"/>
    </font>
    <font>
      <b/>
      <sz val="14"/>
      <color theme="1"/>
      <name val="Calibri"/>
      <family val="2"/>
      <scheme val="minor"/>
    </font>
    <font>
      <sz val="12"/>
      <color rgb="FFFF0000"/>
      <name val="Calibri"/>
      <family val="2"/>
      <scheme val="minor"/>
    </font>
    <font>
      <b/>
      <sz val="9"/>
      <color indexed="8"/>
      <name val="Arial"/>
      <family val="2"/>
    </font>
    <font>
      <sz val="12"/>
      <name val="Calibri"/>
      <family val="2"/>
      <scheme val="minor"/>
    </font>
    <font>
      <sz val="11"/>
      <color rgb="FFFF0000"/>
      <name val="Calibri"/>
      <family val="2"/>
      <scheme val="minor"/>
    </font>
    <font>
      <b/>
      <u/>
      <sz val="11"/>
      <color theme="1"/>
      <name val="Calibri"/>
      <family val="2"/>
      <scheme val="minor"/>
    </font>
    <font>
      <u/>
      <sz val="11"/>
      <color theme="1"/>
      <name val="Calibri"/>
      <family val="2"/>
      <scheme val="minor"/>
    </font>
    <font>
      <sz val="11"/>
      <color theme="1"/>
      <name val="Ubuntu Light"/>
      <family val="2"/>
    </font>
    <font>
      <b/>
      <sz val="11"/>
      <color theme="1"/>
      <name val="Ubuntu Light"/>
      <family val="2"/>
    </font>
    <font>
      <sz val="12"/>
      <color theme="0"/>
      <name val="Calibri"/>
      <family val="2"/>
      <scheme val="minor"/>
    </font>
    <font>
      <b/>
      <sz val="10"/>
      <color theme="1"/>
      <name val="Courier"/>
      <family val="1"/>
    </font>
    <font>
      <sz val="12"/>
      <color theme="0" tint="-0.499984740745262"/>
      <name val="Calibri"/>
      <family val="2"/>
      <scheme val="minor"/>
    </font>
    <font>
      <sz val="14"/>
      <color theme="1"/>
      <name val="Calibri"/>
      <family val="2"/>
      <scheme val="minor"/>
    </font>
    <font>
      <sz val="12"/>
      <color theme="1" tint="0.499984740745262"/>
      <name val="Calibri"/>
      <family val="2"/>
      <scheme val="minor"/>
    </font>
    <font>
      <sz val="11"/>
      <color theme="1"/>
      <name val="Times New Roman"/>
      <family val="1"/>
    </font>
    <font>
      <i/>
      <sz val="11"/>
      <color theme="1"/>
      <name val="Times New Roman"/>
      <family val="1"/>
    </font>
    <font>
      <i/>
      <vertAlign val="subscript"/>
      <sz val="11"/>
      <color indexed="8"/>
      <name val="Times New Roman"/>
      <family val="1"/>
    </font>
    <font>
      <i/>
      <sz val="11"/>
      <color indexed="8"/>
      <name val="Times New Roman"/>
      <family val="1"/>
    </font>
    <font>
      <u/>
      <sz val="12"/>
      <color theme="10"/>
      <name val="Calibri"/>
      <family val="2"/>
      <scheme val="minor"/>
    </font>
    <font>
      <sz val="8"/>
      <name val="Calibri"/>
      <family val="2"/>
      <scheme val="minor"/>
    </font>
    <font>
      <sz val="8"/>
      <color rgb="FF000000"/>
      <name val="Courier"/>
      <family val="1"/>
    </font>
    <font>
      <sz val="8"/>
      <color theme="1"/>
      <name val="Courier"/>
      <family val="1"/>
    </font>
    <font>
      <sz val="12"/>
      <color theme="1"/>
      <name val="Courier"/>
      <family val="1"/>
    </font>
    <font>
      <sz val="28"/>
      <color theme="1"/>
      <name val="Calibri"/>
      <family val="2"/>
      <scheme val="minor"/>
    </font>
    <font>
      <b/>
      <sz val="28"/>
      <color theme="1"/>
      <name val="Calibri"/>
      <family val="2"/>
      <scheme val="minor"/>
    </font>
    <font>
      <b/>
      <i/>
      <sz val="28"/>
      <color theme="1"/>
      <name val="Calibri"/>
      <family val="2"/>
      <scheme val="minor"/>
    </font>
    <font>
      <b/>
      <sz val="36"/>
      <color theme="1"/>
      <name val="Calibri"/>
      <family val="2"/>
      <scheme val="minor"/>
    </font>
    <font>
      <i/>
      <sz val="11"/>
      <color theme="1"/>
      <name val="Ubuntu Light"/>
      <family val="2"/>
    </font>
    <font>
      <b/>
      <sz val="16"/>
      <color theme="0"/>
      <name val="Calibri"/>
      <family val="2"/>
      <scheme val="minor"/>
    </font>
    <font>
      <b/>
      <sz val="16"/>
      <color rgb="FFE9502D"/>
      <name val="Calibri"/>
      <family val="2"/>
      <scheme val="minor"/>
    </font>
    <font>
      <sz val="10"/>
      <color theme="1"/>
      <name val="Calibri"/>
      <family val="2"/>
      <scheme val="minor"/>
    </font>
    <font>
      <sz val="9"/>
      <color theme="1"/>
      <name val="Arial"/>
      <family val="2"/>
    </font>
    <font>
      <sz val="12"/>
      <color rgb="FFCAB68E"/>
      <name val="Calibri"/>
      <family val="2"/>
      <scheme val="minor"/>
    </font>
    <font>
      <sz val="10"/>
      <color rgb="FF000000"/>
      <name val="Tahoma"/>
      <family val="2"/>
    </font>
    <font>
      <b/>
      <sz val="10"/>
      <color rgb="FF000000"/>
      <name val="Tahoma"/>
      <family val="2"/>
    </font>
    <font>
      <sz val="12"/>
      <color theme="1"/>
      <name val="Calibri"/>
      <family val="2"/>
    </font>
    <font>
      <sz val="12"/>
      <color theme="1"/>
      <name val="Ubuntu Light"/>
      <family val="2"/>
    </font>
    <font>
      <sz val="16"/>
      <color theme="1"/>
      <name val="Calibri"/>
      <family val="2"/>
      <scheme val="minor"/>
    </font>
    <font>
      <sz val="12"/>
      <color rgb="FF000000"/>
      <name val="Calibri"/>
      <family val="2"/>
      <scheme val="minor"/>
    </font>
    <font>
      <sz val="13"/>
      <color rgb="FF000000"/>
      <name val="Lucida Grande"/>
      <family val="2"/>
    </font>
    <font>
      <u/>
      <sz val="12"/>
      <color theme="1"/>
      <name val="Calibri"/>
      <family val="2"/>
      <scheme val="minor"/>
    </font>
    <font>
      <u/>
      <sz val="12"/>
      <color rgb="FFFF0000"/>
      <name val="Calibri"/>
      <family val="2"/>
      <scheme val="minor"/>
    </font>
    <font>
      <u val="singleAccounting"/>
      <sz val="12"/>
      <color theme="1"/>
      <name val="Calibri"/>
      <family val="2"/>
      <scheme val="minor"/>
    </font>
    <font>
      <b/>
      <sz val="12"/>
      <color rgb="FFFF0000"/>
      <name val="Calibri"/>
      <family val="2"/>
      <scheme val="minor"/>
    </font>
    <font>
      <sz val="12"/>
      <color rgb="FF000000"/>
      <name val="Calibri"/>
      <family val="2"/>
    </font>
    <font>
      <sz val="9"/>
      <color rgb="FF000000"/>
      <name val="Times New Roman"/>
      <family val="1"/>
    </font>
  </fonts>
  <fills count="9">
    <fill>
      <patternFill patternType="none"/>
    </fill>
    <fill>
      <patternFill patternType="gray125"/>
    </fill>
    <fill>
      <patternFill patternType="solid">
        <fgColor rgb="FFFFF2CC"/>
        <bgColor indexed="64"/>
      </patternFill>
    </fill>
    <fill>
      <patternFill patternType="solid">
        <fgColor theme="7" tint="-0.249977111117893"/>
        <bgColor indexed="64"/>
      </patternFill>
    </fill>
    <fill>
      <patternFill patternType="solid">
        <fgColor rgb="FFFFFFFF"/>
        <bgColor indexed="64"/>
      </patternFill>
    </fill>
    <fill>
      <patternFill patternType="solid">
        <fgColor theme="2"/>
        <bgColor indexed="64"/>
      </patternFill>
    </fill>
    <fill>
      <patternFill patternType="solid">
        <fgColor theme="0"/>
        <bgColor indexed="64"/>
      </patternFill>
    </fill>
    <fill>
      <patternFill patternType="solid">
        <fgColor theme="4" tint="0.79998168889431442"/>
        <bgColor indexed="64"/>
      </patternFill>
    </fill>
    <fill>
      <patternFill patternType="solid">
        <fgColor rgb="FFCC00FF"/>
        <bgColor indexed="64"/>
      </patternFill>
    </fill>
  </fills>
  <borders count="7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rgb="FF000000"/>
      </right>
      <top/>
      <bottom/>
      <diagonal/>
    </border>
    <border>
      <left/>
      <right style="thin">
        <color rgb="FF000000"/>
      </right>
      <top/>
      <bottom style="thick">
        <color rgb="FF000000"/>
      </bottom>
      <diagonal/>
    </border>
    <border>
      <left style="thick">
        <color indexed="8"/>
      </left>
      <right/>
      <top style="thick">
        <color indexed="8"/>
      </top>
      <bottom style="thick">
        <color indexed="8"/>
      </bottom>
      <diagonal/>
    </border>
    <border>
      <left/>
      <right style="thick">
        <color indexed="8"/>
      </right>
      <top style="thick">
        <color indexed="8"/>
      </top>
      <bottom style="thick">
        <color indexed="8"/>
      </bottom>
      <diagonal/>
    </border>
    <border>
      <left style="thick">
        <color indexed="8"/>
      </left>
      <right style="thin">
        <color indexed="8"/>
      </right>
      <top style="thick">
        <color indexed="8"/>
      </top>
      <bottom style="thick">
        <color indexed="8"/>
      </bottom>
      <diagonal/>
    </border>
    <border>
      <left style="thin">
        <color indexed="8"/>
      </left>
      <right style="thin">
        <color indexed="8"/>
      </right>
      <top style="thick">
        <color indexed="8"/>
      </top>
      <bottom style="thick">
        <color indexed="8"/>
      </bottom>
      <diagonal/>
    </border>
    <border>
      <left style="thin">
        <color indexed="8"/>
      </left>
      <right style="thick">
        <color indexed="8"/>
      </right>
      <top style="thick">
        <color indexed="8"/>
      </top>
      <bottom style="thick">
        <color indexed="8"/>
      </bottom>
      <diagonal/>
    </border>
    <border>
      <left style="thick">
        <color indexed="8"/>
      </left>
      <right/>
      <top style="thick">
        <color indexed="8"/>
      </top>
      <bottom/>
      <diagonal/>
    </border>
    <border>
      <left/>
      <right style="thick">
        <color indexed="8"/>
      </right>
      <top style="thick">
        <color indexed="8"/>
      </top>
      <bottom/>
      <diagonal/>
    </border>
    <border>
      <left style="thick">
        <color indexed="8"/>
      </left>
      <right style="thin">
        <color indexed="8"/>
      </right>
      <top style="thick">
        <color indexed="8"/>
      </top>
      <bottom/>
      <diagonal/>
    </border>
    <border>
      <left style="thin">
        <color indexed="8"/>
      </left>
      <right style="thin">
        <color indexed="8"/>
      </right>
      <top style="thick">
        <color indexed="8"/>
      </top>
      <bottom/>
      <diagonal/>
    </border>
    <border>
      <left style="thin">
        <color indexed="8"/>
      </left>
      <right style="thick">
        <color indexed="8"/>
      </right>
      <top style="thick">
        <color indexed="8"/>
      </top>
      <bottom/>
      <diagonal/>
    </border>
    <border>
      <left style="thick">
        <color indexed="8"/>
      </left>
      <right/>
      <top/>
      <bottom/>
      <diagonal/>
    </border>
    <border>
      <left/>
      <right style="thick">
        <color indexed="8"/>
      </right>
      <top/>
      <bottom/>
      <diagonal/>
    </border>
    <border>
      <left style="thick">
        <color indexed="8"/>
      </left>
      <right style="thin">
        <color indexed="8"/>
      </right>
      <top/>
      <bottom/>
      <diagonal/>
    </border>
    <border>
      <left style="thin">
        <color indexed="8"/>
      </left>
      <right style="thin">
        <color indexed="8"/>
      </right>
      <top/>
      <bottom/>
      <diagonal/>
    </border>
    <border>
      <left style="thin">
        <color indexed="8"/>
      </left>
      <right style="thick">
        <color indexed="8"/>
      </right>
      <top/>
      <bottom/>
      <diagonal/>
    </border>
    <border>
      <left style="thick">
        <color indexed="8"/>
      </left>
      <right/>
      <top/>
      <bottom style="thick">
        <color indexed="8"/>
      </bottom>
      <diagonal/>
    </border>
    <border>
      <left/>
      <right style="thick">
        <color indexed="8"/>
      </right>
      <top/>
      <bottom style="thick">
        <color indexed="8"/>
      </bottom>
      <diagonal/>
    </border>
    <border>
      <left style="thick">
        <color indexed="8"/>
      </left>
      <right style="thin">
        <color indexed="8"/>
      </right>
      <top/>
      <bottom style="thick">
        <color indexed="8"/>
      </bottom>
      <diagonal/>
    </border>
    <border>
      <left style="thin">
        <color indexed="8"/>
      </left>
      <right style="thin">
        <color indexed="8"/>
      </right>
      <top/>
      <bottom style="thick">
        <color indexed="8"/>
      </bottom>
      <diagonal/>
    </border>
    <border>
      <left style="thin">
        <color indexed="8"/>
      </left>
      <right style="thick">
        <color indexed="8"/>
      </right>
      <top/>
      <bottom style="thick">
        <color indexed="8"/>
      </bottom>
      <diagonal/>
    </border>
    <border>
      <left style="thick">
        <color rgb="FF000000"/>
      </left>
      <right style="thick">
        <color rgb="FF000000"/>
      </right>
      <top style="thick">
        <color rgb="FF000000"/>
      </top>
      <bottom/>
      <diagonal/>
    </border>
    <border>
      <left style="thick">
        <color rgb="FF000000"/>
      </left>
      <right style="thick">
        <color rgb="FF000000"/>
      </right>
      <top/>
      <bottom style="thick">
        <color rgb="FF000000"/>
      </bottom>
      <diagonal/>
    </border>
    <border>
      <left style="thick">
        <color rgb="FF000000"/>
      </left>
      <right style="thin">
        <color rgb="FF000000"/>
      </right>
      <top style="thick">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ck">
        <color rgb="FF000000"/>
      </top>
      <bottom/>
      <diagonal/>
    </border>
    <border>
      <left style="thin">
        <color rgb="FF000000"/>
      </left>
      <right style="thin">
        <color rgb="FF000000"/>
      </right>
      <top/>
      <bottom style="thick">
        <color rgb="FF000000"/>
      </bottom>
      <diagonal/>
    </border>
    <border>
      <left style="thick">
        <color rgb="FF000000"/>
      </left>
      <right style="thick">
        <color rgb="FF000000"/>
      </right>
      <top/>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ck">
        <color indexed="8"/>
      </top>
      <bottom/>
      <diagonal/>
    </border>
    <border>
      <left style="thick">
        <color indexed="8"/>
      </left>
      <right style="thick">
        <color indexed="8"/>
      </right>
      <top/>
      <bottom/>
      <diagonal/>
    </border>
    <border>
      <left style="thick">
        <color indexed="8"/>
      </left>
      <right style="thick">
        <color indexed="8"/>
      </right>
      <top/>
      <bottom style="thick">
        <color indexed="8"/>
      </bottom>
      <diagonal/>
    </border>
    <border>
      <left style="thin">
        <color rgb="FF000000"/>
      </left>
      <right style="thick">
        <color indexed="64"/>
      </right>
      <top style="thick">
        <color rgb="FF000000"/>
      </top>
      <bottom/>
      <diagonal/>
    </border>
    <border>
      <left style="thin">
        <color rgb="FF000000"/>
      </left>
      <right style="thick">
        <color indexed="64"/>
      </right>
      <top/>
      <bottom style="thick">
        <color rgb="FF000000"/>
      </bottom>
      <diagonal/>
    </border>
    <border>
      <left style="thick">
        <color indexed="64"/>
      </left>
      <right style="thick">
        <color indexed="8"/>
      </right>
      <top/>
      <bottom/>
      <diagonal/>
    </border>
    <border>
      <left style="thin">
        <color rgb="FF000000"/>
      </left>
      <right style="thick">
        <color indexed="64"/>
      </right>
      <top/>
      <bottom/>
      <diagonal/>
    </border>
    <border>
      <left style="thick">
        <color indexed="64"/>
      </left>
      <right/>
      <top/>
      <bottom/>
      <diagonal/>
    </border>
    <border>
      <left/>
      <right/>
      <top/>
      <bottom style="thick">
        <color rgb="FF000000"/>
      </bottom>
      <diagonal/>
    </border>
    <border>
      <left style="thick">
        <color indexed="64"/>
      </left>
      <right style="thick">
        <color rgb="FF000000"/>
      </right>
      <top style="thick">
        <color indexed="64"/>
      </top>
      <bottom/>
      <diagonal/>
    </border>
    <border>
      <left style="thick">
        <color indexed="64"/>
      </left>
      <right style="thick">
        <color rgb="FF000000"/>
      </right>
      <top/>
      <bottom style="thick">
        <color rgb="FF000000"/>
      </bottom>
      <diagonal/>
    </border>
    <border>
      <left style="thick">
        <color rgb="FF000000"/>
      </left>
      <right style="thick">
        <color indexed="64"/>
      </right>
      <top style="thick">
        <color indexed="64"/>
      </top>
      <bottom/>
      <diagonal/>
    </border>
    <border>
      <left style="thick">
        <color rgb="FF000000"/>
      </left>
      <right style="thick">
        <color indexed="64"/>
      </right>
      <top/>
      <bottom style="thick">
        <color rgb="FF000000"/>
      </bottom>
      <diagonal/>
    </border>
    <border>
      <left style="thick">
        <color indexed="64"/>
      </left>
      <right style="thin">
        <color rgb="FF000000"/>
      </right>
      <top style="thick">
        <color rgb="FF000000"/>
      </top>
      <bottom/>
      <diagonal/>
    </border>
    <border>
      <left style="thick">
        <color indexed="64"/>
      </left>
      <right style="thin">
        <color rgb="FF000000"/>
      </right>
      <top/>
      <bottom style="thick">
        <color rgb="FF000000"/>
      </bottom>
      <diagonal/>
    </border>
    <border>
      <left style="thick">
        <color indexed="8"/>
      </left>
      <right style="thin">
        <color indexed="8"/>
      </right>
      <top style="thick">
        <color indexed="8"/>
      </top>
      <bottom style="thin">
        <color indexed="8"/>
      </bottom>
      <diagonal/>
    </border>
    <border>
      <left style="thin">
        <color indexed="8"/>
      </left>
      <right style="thin">
        <color indexed="8"/>
      </right>
      <top style="thick">
        <color indexed="8"/>
      </top>
      <bottom style="thin">
        <color indexed="8"/>
      </bottom>
      <diagonal/>
    </border>
    <border>
      <left style="thick">
        <color indexed="8"/>
      </left>
      <right style="thin">
        <color indexed="8"/>
      </right>
      <top style="thin">
        <color indexed="8"/>
      </top>
      <bottom style="thick">
        <color indexed="8"/>
      </bottom>
      <diagonal/>
    </border>
    <border>
      <left style="thin">
        <color indexed="8"/>
      </left>
      <right style="thin">
        <color indexed="8"/>
      </right>
      <top style="thin">
        <color indexed="8"/>
      </top>
      <bottom style="thick">
        <color indexed="8"/>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top style="medium">
        <color rgb="FF000000"/>
      </top>
      <bottom/>
      <diagonal/>
    </border>
    <border>
      <left/>
      <right/>
      <top style="medium">
        <color rgb="FF000000"/>
      </top>
      <bottom style="medium">
        <color rgb="FF000000"/>
      </bottom>
      <diagonal/>
    </border>
    <border>
      <left/>
      <right/>
      <top/>
      <bottom style="medium">
        <color rgb="FF000000"/>
      </bottom>
      <diagonal/>
    </border>
  </borders>
  <cellStyleXfs count="6">
    <xf numFmtId="0" fontId="0" fillId="0" borderId="0"/>
    <xf numFmtId="44" fontId="2" fillId="0" borderId="0" applyFont="0" applyFill="0" applyBorder="0" applyAlignment="0" applyProtection="0"/>
    <xf numFmtId="9" fontId="2" fillId="0" borderId="0" applyFont="0" applyFill="0" applyBorder="0" applyAlignment="0" applyProtection="0"/>
    <xf numFmtId="0" fontId="8" fillId="0" borderId="0"/>
    <xf numFmtId="43" fontId="2" fillId="0" borderId="0" applyFont="0" applyFill="0" applyBorder="0" applyAlignment="0" applyProtection="0"/>
    <xf numFmtId="0" fontId="30" fillId="0" borderId="0" applyNumberFormat="0" applyFill="0" applyBorder="0" applyAlignment="0" applyProtection="0"/>
  </cellStyleXfs>
  <cellXfs count="316">
    <xf numFmtId="0" fontId="0" fillId="0" borderId="0" xfId="0"/>
    <xf numFmtId="164" fontId="0" fillId="0" borderId="0" xfId="0" applyNumberFormat="1"/>
    <xf numFmtId="0" fontId="1" fillId="2" borderId="1" xfId="0" applyFont="1" applyFill="1" applyBorder="1" applyAlignment="1">
      <alignment horizontal="right"/>
    </xf>
    <xf numFmtId="2" fontId="0" fillId="0" borderId="0" xfId="0" applyNumberFormat="1"/>
    <xf numFmtId="0" fontId="4" fillId="0" borderId="0" xfId="0" applyFont="1"/>
    <xf numFmtId="0" fontId="5" fillId="0" borderId="0" xfId="0" applyFont="1"/>
    <xf numFmtId="0" fontId="6" fillId="0" borderId="0" xfId="0" applyFont="1"/>
    <xf numFmtId="0" fontId="3" fillId="3" borderId="0" xfId="0" applyFont="1" applyFill="1" applyAlignment="1">
      <alignment horizontal="right"/>
    </xf>
    <xf numFmtId="164" fontId="1" fillId="2" borderId="1" xfId="0" applyNumberFormat="1" applyFont="1" applyFill="1" applyBorder="1" applyAlignment="1">
      <alignment horizontal="right"/>
    </xf>
    <xf numFmtId="166" fontId="0" fillId="0" borderId="0" xfId="1" applyNumberFormat="1" applyFont="1"/>
    <xf numFmtId="0" fontId="1" fillId="2" borderId="1" xfId="0" applyFont="1" applyFill="1" applyBorder="1" applyAlignment="1">
      <alignment horizontal="center"/>
    </xf>
    <xf numFmtId="9" fontId="0" fillId="0" borderId="0" xfId="2" applyFont="1"/>
    <xf numFmtId="9" fontId="0" fillId="0" borderId="0" xfId="0" applyNumberFormat="1"/>
    <xf numFmtId="166" fontId="0" fillId="0" borderId="0" xfId="0" applyNumberFormat="1"/>
    <xf numFmtId="1" fontId="0" fillId="0" borderId="0" xfId="0" applyNumberFormat="1"/>
    <xf numFmtId="173" fontId="7" fillId="0" borderId="2" xfId="0" applyNumberFormat="1" applyFont="1" applyBorder="1" applyAlignment="1">
      <alignment horizontal="right" vertical="top"/>
    </xf>
    <xf numFmtId="173" fontId="7" fillId="0" borderId="3" xfId="0" applyNumberFormat="1" applyFont="1" applyBorder="1" applyAlignment="1">
      <alignment horizontal="right" vertical="top"/>
    </xf>
    <xf numFmtId="0" fontId="9" fillId="0" borderId="6" xfId="3" applyFont="1" applyBorder="1" applyAlignment="1">
      <alignment horizontal="center"/>
    </xf>
    <xf numFmtId="0" fontId="9" fillId="0" borderId="7" xfId="3" applyFont="1" applyBorder="1" applyAlignment="1">
      <alignment horizontal="center"/>
    </xf>
    <xf numFmtId="0" fontId="9" fillId="0" borderId="8" xfId="3" applyFont="1" applyBorder="1" applyAlignment="1">
      <alignment horizontal="center"/>
    </xf>
    <xf numFmtId="0" fontId="9" fillId="0" borderId="9" xfId="3" applyFont="1" applyBorder="1" applyAlignment="1">
      <alignment horizontal="left" vertical="top"/>
    </xf>
    <xf numFmtId="0" fontId="9" fillId="0" borderId="10" xfId="3" applyFont="1" applyBorder="1" applyAlignment="1">
      <alignment horizontal="left" vertical="top"/>
    </xf>
    <xf numFmtId="170" fontId="9" fillId="0" borderId="11" xfId="3" applyNumberFormat="1" applyFont="1" applyBorder="1" applyAlignment="1">
      <alignment horizontal="right" vertical="top"/>
    </xf>
    <xf numFmtId="167" fontId="9" fillId="0" borderId="12" xfId="3" applyNumberFormat="1" applyFont="1" applyBorder="1" applyAlignment="1">
      <alignment horizontal="right" vertical="top"/>
    </xf>
    <xf numFmtId="169" fontId="9" fillId="0" borderId="12" xfId="3" applyNumberFormat="1" applyFont="1" applyBorder="1" applyAlignment="1">
      <alignment horizontal="right" vertical="top"/>
    </xf>
    <xf numFmtId="171" fontId="9" fillId="0" borderId="13" xfId="3" applyNumberFormat="1" applyFont="1" applyBorder="1" applyAlignment="1">
      <alignment horizontal="right" vertical="top"/>
    </xf>
    <xf numFmtId="0" fontId="9" fillId="0" borderId="15" xfId="3" applyFont="1" applyBorder="1" applyAlignment="1">
      <alignment horizontal="left" vertical="top"/>
    </xf>
    <xf numFmtId="170" fontId="9" fillId="0" borderId="16" xfId="3" applyNumberFormat="1" applyFont="1" applyBorder="1" applyAlignment="1">
      <alignment horizontal="right" vertical="top"/>
    </xf>
    <xf numFmtId="167" fontId="9" fillId="0" borderId="17" xfId="3" applyNumberFormat="1" applyFont="1" applyBorder="1" applyAlignment="1">
      <alignment horizontal="right" vertical="top"/>
    </xf>
    <xf numFmtId="169" fontId="9" fillId="0" borderId="17" xfId="3" applyNumberFormat="1" applyFont="1" applyBorder="1" applyAlignment="1">
      <alignment horizontal="right" vertical="top"/>
    </xf>
    <xf numFmtId="171" fontId="9" fillId="0" borderId="18" xfId="3" applyNumberFormat="1" applyFont="1" applyBorder="1" applyAlignment="1">
      <alignment horizontal="right" vertical="top"/>
    </xf>
    <xf numFmtId="172" fontId="9" fillId="0" borderId="18" xfId="3" applyNumberFormat="1" applyFont="1" applyBorder="1" applyAlignment="1">
      <alignment horizontal="right" vertical="top"/>
    </xf>
    <xf numFmtId="173" fontId="9" fillId="0" borderId="17" xfId="3" applyNumberFormat="1" applyFont="1" applyBorder="1" applyAlignment="1">
      <alignment horizontal="right" vertical="top"/>
    </xf>
    <xf numFmtId="0" fontId="9" fillId="0" borderId="20" xfId="3" applyFont="1" applyBorder="1" applyAlignment="1">
      <alignment horizontal="left" vertical="top"/>
    </xf>
    <xf numFmtId="170" fontId="9" fillId="0" borderId="21" xfId="3" applyNumberFormat="1" applyFont="1" applyBorder="1" applyAlignment="1">
      <alignment horizontal="right" vertical="top"/>
    </xf>
    <xf numFmtId="167" fontId="9" fillId="0" borderId="22" xfId="3" applyNumberFormat="1" applyFont="1" applyBorder="1" applyAlignment="1">
      <alignment horizontal="right" vertical="top"/>
    </xf>
    <xf numFmtId="173" fontId="9" fillId="0" borderId="22" xfId="3" applyNumberFormat="1" applyFont="1" applyBorder="1" applyAlignment="1">
      <alignment horizontal="right" vertical="top"/>
    </xf>
    <xf numFmtId="172" fontId="9" fillId="0" borderId="23" xfId="3" applyNumberFormat="1" applyFont="1" applyBorder="1" applyAlignment="1">
      <alignment horizontal="right" vertical="top"/>
    </xf>
    <xf numFmtId="0" fontId="7" fillId="0" borderId="30" xfId="0" applyFont="1" applyBorder="1" applyAlignment="1">
      <alignment horizontal="left" vertical="top"/>
    </xf>
    <xf numFmtId="174" fontId="7" fillId="0" borderId="2" xfId="0" applyNumberFormat="1" applyFont="1" applyBorder="1" applyAlignment="1">
      <alignment horizontal="right" vertical="top"/>
    </xf>
    <xf numFmtId="175" fontId="7" fillId="0" borderId="2" xfId="0" applyNumberFormat="1" applyFont="1" applyBorder="1" applyAlignment="1">
      <alignment horizontal="right" vertical="top"/>
    </xf>
    <xf numFmtId="0" fontId="7" fillId="0" borderId="2" xfId="0" applyFont="1" applyBorder="1" applyAlignment="1">
      <alignment horizontal="right" vertical="top"/>
    </xf>
    <xf numFmtId="0" fontId="7" fillId="0" borderId="2" xfId="0" applyFont="1" applyBorder="1" applyAlignment="1">
      <alignment horizontal="left" vertical="top"/>
    </xf>
    <xf numFmtId="0" fontId="7" fillId="0" borderId="25" xfId="0" applyFont="1" applyBorder="1" applyAlignment="1">
      <alignment horizontal="left" vertical="top"/>
    </xf>
    <xf numFmtId="174" fontId="7" fillId="0" borderId="3" xfId="0" applyNumberFormat="1" applyFont="1" applyBorder="1" applyAlignment="1">
      <alignment horizontal="right" vertical="top"/>
    </xf>
    <xf numFmtId="0" fontId="9" fillId="0" borderId="31" xfId="3" applyFont="1" applyBorder="1" applyAlignment="1">
      <alignment horizontal="left"/>
    </xf>
    <xf numFmtId="0" fontId="9" fillId="0" borderId="32" xfId="3" applyFont="1" applyBorder="1" applyAlignment="1">
      <alignment horizontal="left" vertical="top"/>
    </xf>
    <xf numFmtId="172" fontId="9" fillId="0" borderId="11" xfId="3" applyNumberFormat="1" applyFont="1" applyBorder="1" applyAlignment="1">
      <alignment horizontal="right" vertical="top"/>
    </xf>
    <xf numFmtId="172" fontId="9" fillId="0" borderId="12" xfId="3" applyNumberFormat="1" applyFont="1" applyBorder="1" applyAlignment="1">
      <alignment horizontal="right" vertical="top"/>
    </xf>
    <xf numFmtId="176" fontId="9" fillId="0" borderId="12" xfId="3" applyNumberFormat="1" applyFont="1" applyBorder="1" applyAlignment="1">
      <alignment horizontal="right" vertical="top"/>
    </xf>
    <xf numFmtId="172" fontId="9" fillId="0" borderId="13" xfId="3" applyNumberFormat="1" applyFont="1" applyBorder="1" applyAlignment="1">
      <alignment horizontal="right" vertical="top"/>
    </xf>
    <xf numFmtId="0" fontId="9" fillId="0" borderId="33" xfId="3" applyFont="1" applyBorder="1" applyAlignment="1">
      <alignment horizontal="left" vertical="top"/>
    </xf>
    <xf numFmtId="172" fontId="9" fillId="0" borderId="16" xfId="3" applyNumberFormat="1" applyFont="1" applyBorder="1" applyAlignment="1">
      <alignment horizontal="right" vertical="top"/>
    </xf>
    <xf numFmtId="172" fontId="9" fillId="0" borderId="17" xfId="3" applyNumberFormat="1" applyFont="1" applyBorder="1" applyAlignment="1">
      <alignment horizontal="right" vertical="top"/>
    </xf>
    <xf numFmtId="176" fontId="9" fillId="0" borderId="17" xfId="3" applyNumberFormat="1" applyFont="1" applyBorder="1" applyAlignment="1">
      <alignment horizontal="right" vertical="top"/>
    </xf>
    <xf numFmtId="176" fontId="9" fillId="0" borderId="18" xfId="3" applyNumberFormat="1" applyFont="1" applyBorder="1" applyAlignment="1">
      <alignment horizontal="right" vertical="top"/>
    </xf>
    <xf numFmtId="176" fontId="9" fillId="0" borderId="16" xfId="3" applyNumberFormat="1" applyFont="1" applyBorder="1" applyAlignment="1">
      <alignment horizontal="right" vertical="top"/>
    </xf>
    <xf numFmtId="0" fontId="9" fillId="0" borderId="34" xfId="3" applyFont="1" applyBorder="1" applyAlignment="1">
      <alignment horizontal="left" vertical="top"/>
    </xf>
    <xf numFmtId="172" fontId="9" fillId="0" borderId="21" xfId="3" applyNumberFormat="1" applyFont="1" applyBorder="1" applyAlignment="1">
      <alignment horizontal="right" vertical="top"/>
    </xf>
    <xf numFmtId="172" fontId="9" fillId="0" borderId="22" xfId="3" applyNumberFormat="1" applyFont="1" applyBorder="1" applyAlignment="1">
      <alignment horizontal="right" vertical="top"/>
    </xf>
    <xf numFmtId="176" fontId="9" fillId="0" borderId="22" xfId="3" applyNumberFormat="1" applyFont="1" applyBorder="1" applyAlignment="1">
      <alignment horizontal="right" vertical="top"/>
    </xf>
    <xf numFmtId="173" fontId="7" fillId="0" borderId="0" xfId="0" applyNumberFormat="1" applyFont="1" applyAlignment="1">
      <alignment horizontal="right" vertical="top"/>
    </xf>
    <xf numFmtId="0" fontId="0" fillId="0" borderId="37" xfId="0" applyBorder="1"/>
    <xf numFmtId="173" fontId="7" fillId="0" borderId="38" xfId="0" applyNumberFormat="1" applyFont="1" applyBorder="1" applyAlignment="1">
      <alignment horizontal="right" vertical="top"/>
    </xf>
    <xf numFmtId="0" fontId="7" fillId="0" borderId="0" xfId="0" applyFont="1" applyAlignment="1">
      <alignment horizontal="left" vertical="top"/>
    </xf>
    <xf numFmtId="0" fontId="0" fillId="0" borderId="39" xfId="0" applyBorder="1"/>
    <xf numFmtId="173" fontId="7" fillId="0" borderId="40" xfId="0" applyNumberFormat="1" applyFont="1" applyBorder="1" applyAlignment="1">
      <alignment horizontal="right" vertical="top"/>
    </xf>
    <xf numFmtId="11" fontId="0" fillId="0" borderId="0" xfId="0" applyNumberFormat="1"/>
    <xf numFmtId="0" fontId="9" fillId="0" borderId="0" xfId="3" applyFont="1" applyAlignment="1">
      <alignment horizontal="center"/>
    </xf>
    <xf numFmtId="0" fontId="9" fillId="0" borderId="0" xfId="3" applyFont="1" applyAlignment="1">
      <alignment horizontal="right"/>
    </xf>
    <xf numFmtId="169" fontId="9" fillId="0" borderId="0" xfId="3" applyNumberFormat="1" applyFont="1" applyAlignment="1">
      <alignment horizontal="right" vertical="center"/>
    </xf>
    <xf numFmtId="173" fontId="9" fillId="0" borderId="12" xfId="3" applyNumberFormat="1" applyFont="1" applyBorder="1" applyAlignment="1">
      <alignment horizontal="right" vertical="top"/>
    </xf>
    <xf numFmtId="0" fontId="9" fillId="0" borderId="4" xfId="3" applyFont="1" applyBorder="1" applyAlignment="1">
      <alignment horizontal="left"/>
    </xf>
    <xf numFmtId="0" fontId="9" fillId="0" borderId="5" xfId="3" applyFont="1" applyBorder="1" applyAlignment="1">
      <alignment horizontal="left"/>
    </xf>
    <xf numFmtId="0" fontId="9" fillId="0" borderId="14" xfId="3" applyFont="1" applyBorder="1" applyAlignment="1">
      <alignment horizontal="left" vertical="top"/>
    </xf>
    <xf numFmtId="0" fontId="9" fillId="0" borderId="19" xfId="3" applyFont="1" applyBorder="1" applyAlignment="1">
      <alignment horizontal="left" vertical="top"/>
    </xf>
    <xf numFmtId="175" fontId="9" fillId="0" borderId="11" xfId="3" applyNumberFormat="1" applyFont="1" applyBorder="1" applyAlignment="1">
      <alignment horizontal="right" vertical="top"/>
    </xf>
    <xf numFmtId="175" fontId="9" fillId="0" borderId="16" xfId="3" applyNumberFormat="1" applyFont="1" applyBorder="1" applyAlignment="1">
      <alignment horizontal="right" vertical="top"/>
    </xf>
    <xf numFmtId="0" fontId="9" fillId="0" borderId="16" xfId="3" applyFont="1" applyBorder="1" applyAlignment="1">
      <alignment horizontal="right" vertical="top"/>
    </xf>
    <xf numFmtId="0" fontId="9" fillId="0" borderId="17" xfId="3" applyFont="1" applyBorder="1" applyAlignment="1">
      <alignment horizontal="left" vertical="top"/>
    </xf>
    <xf numFmtId="174" fontId="9" fillId="0" borderId="21" xfId="3" applyNumberFormat="1" applyFont="1" applyBorder="1" applyAlignment="1">
      <alignment horizontal="right" vertical="top"/>
    </xf>
    <xf numFmtId="0" fontId="9" fillId="0" borderId="0" xfId="3" applyFont="1" applyAlignment="1">
      <alignment horizontal="left" vertical="top"/>
    </xf>
    <xf numFmtId="175" fontId="7" fillId="0" borderId="3" xfId="0" applyNumberFormat="1" applyFont="1" applyBorder="1" applyAlignment="1">
      <alignment horizontal="right" vertical="top"/>
    </xf>
    <xf numFmtId="44" fontId="0" fillId="0" borderId="0" xfId="0" applyNumberFormat="1"/>
    <xf numFmtId="2" fontId="9" fillId="0" borderId="0" xfId="3" applyNumberFormat="1" applyFont="1" applyAlignment="1">
      <alignment horizontal="center"/>
    </xf>
    <xf numFmtId="9" fontId="9" fillId="0" borderId="0" xfId="2" applyFont="1" applyFill="1" applyBorder="1" applyAlignment="1">
      <alignment horizontal="center"/>
    </xf>
    <xf numFmtId="0" fontId="0" fillId="0" borderId="52" xfId="0" applyBorder="1"/>
    <xf numFmtId="0" fontId="0" fillId="5" borderId="51" xfId="0" applyFill="1" applyBorder="1"/>
    <xf numFmtId="169" fontId="9" fillId="0" borderId="51" xfId="3" applyNumberFormat="1" applyFont="1" applyBorder="1" applyAlignment="1">
      <alignment horizontal="right" vertical="center"/>
    </xf>
    <xf numFmtId="0" fontId="14" fillId="5" borderId="51" xfId="3" applyFont="1" applyFill="1" applyBorder="1" applyAlignment="1">
      <alignment horizontal="center"/>
    </xf>
    <xf numFmtId="0" fontId="14" fillId="5" borderId="51" xfId="3" applyFont="1" applyFill="1" applyBorder="1" applyAlignment="1">
      <alignment horizontal="right"/>
    </xf>
    <xf numFmtId="0" fontId="13" fillId="0" borderId="0" xfId="0" applyFont="1"/>
    <xf numFmtId="0" fontId="0" fillId="6" borderId="0" xfId="0" applyFill="1"/>
    <xf numFmtId="0" fontId="17" fillId="6" borderId="0" xfId="0" applyFont="1" applyFill="1"/>
    <xf numFmtId="0" fontId="18" fillId="6" borderId="0" xfId="0" applyFont="1" applyFill="1"/>
    <xf numFmtId="0" fontId="19" fillId="6" borderId="0" xfId="0" applyFont="1" applyFill="1"/>
    <xf numFmtId="0" fontId="16" fillId="6" borderId="0" xfId="0" applyFont="1" applyFill="1"/>
    <xf numFmtId="0" fontId="19" fillId="0" borderId="0" xfId="0" applyFont="1"/>
    <xf numFmtId="0" fontId="20" fillId="0" borderId="0" xfId="0" applyFont="1"/>
    <xf numFmtId="0" fontId="19" fillId="0" borderId="0" xfId="0" applyFont="1" applyAlignment="1">
      <alignment vertical="top"/>
    </xf>
    <xf numFmtId="0" fontId="0" fillId="5" borderId="0" xfId="0" applyFill="1"/>
    <xf numFmtId="0" fontId="19" fillId="0" borderId="52" xfId="0" applyFont="1" applyBorder="1"/>
    <xf numFmtId="0" fontId="5" fillId="0" borderId="52" xfId="0" applyFont="1" applyBorder="1"/>
    <xf numFmtId="0" fontId="21" fillId="0" borderId="0" xfId="0" applyFont="1"/>
    <xf numFmtId="0" fontId="22" fillId="2" borderId="1" xfId="0" applyFont="1" applyFill="1" applyBorder="1" applyAlignment="1">
      <alignment horizontal="left"/>
    </xf>
    <xf numFmtId="0" fontId="4" fillId="0" borderId="0" xfId="0" applyFont="1" applyAlignment="1">
      <alignment horizontal="center"/>
    </xf>
    <xf numFmtId="0" fontId="0" fillId="0" borderId="0" xfId="0" applyAlignment="1">
      <alignment horizontal="center"/>
    </xf>
    <xf numFmtId="2" fontId="0" fillId="0" borderId="0" xfId="0" applyNumberFormat="1" applyAlignment="1">
      <alignment horizontal="center"/>
    </xf>
    <xf numFmtId="0" fontId="15" fillId="0" borderId="0" xfId="0" applyFont="1"/>
    <xf numFmtId="44" fontId="0" fillId="0" borderId="0" xfId="1" applyFont="1" applyFill="1" applyBorder="1"/>
    <xf numFmtId="166" fontId="0" fillId="0" borderId="0" xfId="1" applyNumberFormat="1" applyFont="1" applyFill="1" applyBorder="1"/>
    <xf numFmtId="0" fontId="0" fillId="0" borderId="0" xfId="0" applyAlignment="1">
      <alignment horizontal="right"/>
    </xf>
    <xf numFmtId="43" fontId="0" fillId="0" borderId="0" xfId="4" applyFont="1"/>
    <xf numFmtId="166" fontId="25" fillId="0" borderId="0" xfId="0" applyNumberFormat="1" applyFont="1"/>
    <xf numFmtId="177" fontId="0" fillId="0" borderId="0" xfId="0" applyNumberFormat="1"/>
    <xf numFmtId="0" fontId="0" fillId="0" borderId="56" xfId="0" applyBorder="1"/>
    <xf numFmtId="0" fontId="0" fillId="0" borderId="57" xfId="0" applyBorder="1"/>
    <xf numFmtId="0" fontId="0" fillId="0" borderId="58" xfId="0" applyBorder="1"/>
    <xf numFmtId="0" fontId="0" fillId="0" borderId="59" xfId="0" applyBorder="1"/>
    <xf numFmtId="0" fontId="24" fillId="0" borderId="0" xfId="0" applyFont="1"/>
    <xf numFmtId="0" fontId="0" fillId="0" borderId="60" xfId="0" applyBorder="1"/>
    <xf numFmtId="44" fontId="0" fillId="0" borderId="0" xfId="1" applyFont="1" applyBorder="1"/>
    <xf numFmtId="0" fontId="23" fillId="0" borderId="0" xfId="0" applyFont="1" applyAlignment="1">
      <alignment horizontal="right"/>
    </xf>
    <xf numFmtId="166" fontId="23" fillId="0" borderId="0" xfId="1" applyNumberFormat="1" applyFont="1" applyBorder="1"/>
    <xf numFmtId="166" fontId="0" fillId="0" borderId="0" xfId="1" applyNumberFormat="1" applyFont="1" applyBorder="1"/>
    <xf numFmtId="0" fontId="0" fillId="0" borderId="60" xfId="0" applyBorder="1" applyAlignment="1">
      <alignment horizontal="right"/>
    </xf>
    <xf numFmtId="164" fontId="0" fillId="0" borderId="60" xfId="0" applyNumberFormat="1" applyBorder="1"/>
    <xf numFmtId="166" fontId="0" fillId="0" borderId="60" xfId="0" applyNumberFormat="1" applyBorder="1"/>
    <xf numFmtId="0" fontId="23" fillId="0" borderId="0" xfId="0" applyFont="1"/>
    <xf numFmtId="166" fontId="23" fillId="0" borderId="0" xfId="0" applyNumberFormat="1" applyFont="1"/>
    <xf numFmtId="166" fontId="25" fillId="0" borderId="60" xfId="0" applyNumberFormat="1" applyFont="1" applyBorder="1"/>
    <xf numFmtId="168" fontId="0" fillId="0" borderId="0" xfId="4" applyNumberFormat="1" applyFont="1" applyBorder="1"/>
    <xf numFmtId="0" fontId="0" fillId="0" borderId="61" xfId="0" applyBorder="1"/>
    <xf numFmtId="0" fontId="0" fillId="0" borderId="55" xfId="0" applyBorder="1"/>
    <xf numFmtId="165" fontId="0" fillId="0" borderId="0" xfId="0" applyNumberFormat="1"/>
    <xf numFmtId="0" fontId="26" fillId="0" borderId="0" xfId="0" applyFont="1" applyAlignment="1">
      <alignment horizontal="left"/>
    </xf>
    <xf numFmtId="0" fontId="0" fillId="0" borderId="54" xfId="0" applyBorder="1" applyAlignment="1">
      <alignment horizontal="left"/>
    </xf>
    <xf numFmtId="0" fontId="27" fillId="0" borderId="54" xfId="0" applyFont="1" applyBorder="1" applyAlignment="1">
      <alignment horizontal="right"/>
    </xf>
    <xf numFmtId="3" fontId="26" fillId="0" borderId="0" xfId="0" applyNumberFormat="1" applyFont="1" applyAlignment="1">
      <alignment horizontal="right"/>
    </xf>
    <xf numFmtId="165" fontId="26" fillId="0" borderId="0" xfId="0" applyNumberFormat="1" applyFont="1" applyAlignment="1">
      <alignment horizontal="right"/>
    </xf>
    <xf numFmtId="2" fontId="26" fillId="0" borderId="0" xfId="0" applyNumberFormat="1" applyFont="1" applyAlignment="1">
      <alignment horizontal="right"/>
    </xf>
    <xf numFmtId="0" fontId="26" fillId="0" borderId="0" xfId="0" applyFont="1" applyAlignment="1">
      <alignment horizontal="right"/>
    </xf>
    <xf numFmtId="0" fontId="26" fillId="0" borderId="53" xfId="0" applyFont="1" applyBorder="1" applyAlignment="1">
      <alignment horizontal="left"/>
    </xf>
    <xf numFmtId="3" fontId="26" fillId="0" borderId="53" xfId="0" applyNumberFormat="1" applyFont="1" applyBorder="1" applyAlignment="1">
      <alignment horizontal="right"/>
    </xf>
    <xf numFmtId="165" fontId="26" fillId="0" borderId="53" xfId="0" applyNumberFormat="1" applyFont="1" applyBorder="1" applyAlignment="1">
      <alignment horizontal="right"/>
    </xf>
    <xf numFmtId="2" fontId="26" fillId="0" borderId="53" xfId="0" applyNumberFormat="1" applyFont="1" applyBorder="1" applyAlignment="1">
      <alignment horizontal="right"/>
    </xf>
    <xf numFmtId="0" fontId="30" fillId="0" borderId="0" xfId="5"/>
    <xf numFmtId="0" fontId="27" fillId="0" borderId="0" xfId="0" applyFont="1" applyAlignment="1">
      <alignment horizontal="right"/>
    </xf>
    <xf numFmtId="10" fontId="0" fillId="0" borderId="0" xfId="0" applyNumberFormat="1"/>
    <xf numFmtId="9" fontId="0" fillId="0" borderId="0" xfId="2" applyFont="1" applyFill="1" applyBorder="1"/>
    <xf numFmtId="0" fontId="32" fillId="4" borderId="0" xfId="0" applyFont="1" applyFill="1" applyAlignment="1">
      <alignment horizontal="center" vertical="center" wrapText="1"/>
    </xf>
    <xf numFmtId="2" fontId="33" fillId="4" borderId="0" xfId="0" applyNumberFormat="1" applyFont="1" applyFill="1" applyAlignment="1">
      <alignment horizontal="center" vertical="center" wrapText="1"/>
    </xf>
    <xf numFmtId="2" fontId="1" fillId="2" borderId="1" xfId="0" applyNumberFormat="1" applyFont="1" applyFill="1" applyBorder="1" applyAlignment="1">
      <alignment horizontal="right"/>
    </xf>
    <xf numFmtId="2" fontId="1" fillId="2" borderId="1" xfId="0" applyNumberFormat="1" applyFont="1" applyFill="1" applyBorder="1" applyAlignment="1">
      <alignment horizontal="center"/>
    </xf>
    <xf numFmtId="0" fontId="34" fillId="0" borderId="0" xfId="0" applyFont="1"/>
    <xf numFmtId="0" fontId="33" fillId="0" borderId="63" xfId="0" applyFont="1" applyBorder="1" applyAlignment="1">
      <alignment horizontal="left" vertical="center"/>
    </xf>
    <xf numFmtId="0" fontId="32" fillId="4" borderId="53" xfId="0" applyFont="1" applyFill="1" applyBorder="1" applyAlignment="1">
      <alignment horizontal="center" vertical="center" wrapText="1"/>
    </xf>
    <xf numFmtId="0" fontId="32" fillId="4" borderId="64" xfId="0" applyFont="1" applyFill="1" applyBorder="1" applyAlignment="1">
      <alignment horizontal="left" vertical="center" wrapText="1"/>
    </xf>
    <xf numFmtId="2" fontId="32" fillId="4" borderId="0" xfId="0" applyNumberFormat="1" applyFont="1" applyFill="1" applyAlignment="1">
      <alignment horizontal="center" vertical="center" wrapText="1"/>
    </xf>
    <xf numFmtId="0" fontId="33" fillId="0" borderId="64" xfId="0" applyFont="1" applyBorder="1" applyAlignment="1">
      <alignment horizontal="left" vertical="center"/>
    </xf>
    <xf numFmtId="0" fontId="33" fillId="4" borderId="0" xfId="0" applyFont="1" applyFill="1" applyAlignment="1">
      <alignment horizontal="center" vertical="center" wrapText="1"/>
    </xf>
    <xf numFmtId="9" fontId="33" fillId="0" borderId="0" xfId="2" applyFont="1" applyAlignment="1">
      <alignment horizontal="center"/>
    </xf>
    <xf numFmtId="0" fontId="33" fillId="0" borderId="0" xfId="0" applyFont="1"/>
    <xf numFmtId="0" fontId="0" fillId="0" borderId="0" xfId="0" quotePrefix="1" applyAlignment="1">
      <alignment horizontal="right"/>
    </xf>
    <xf numFmtId="178" fontId="0" fillId="0" borderId="0" xfId="4" applyNumberFormat="1" applyFont="1"/>
    <xf numFmtId="168" fontId="0" fillId="0" borderId="0" xfId="0" applyNumberFormat="1"/>
    <xf numFmtId="0" fontId="0" fillId="5" borderId="0" xfId="0" applyFill="1" applyAlignment="1">
      <alignment horizontal="left"/>
    </xf>
    <xf numFmtId="0" fontId="0" fillId="0" borderId="0" xfId="0" applyAlignment="1">
      <alignment horizontal="left"/>
    </xf>
    <xf numFmtId="0" fontId="12" fillId="0" borderId="0" xfId="0" applyFont="1"/>
    <xf numFmtId="0" fontId="12" fillId="0" borderId="52" xfId="0" applyFont="1" applyBorder="1" applyAlignment="1">
      <alignment horizontal="left"/>
    </xf>
    <xf numFmtId="0" fontId="35" fillId="6" borderId="0" xfId="0" applyFont="1" applyFill="1"/>
    <xf numFmtId="0" fontId="36" fillId="6" borderId="0" xfId="0" applyFont="1" applyFill="1"/>
    <xf numFmtId="0" fontId="37" fillId="6" borderId="0" xfId="0" applyFont="1" applyFill="1"/>
    <xf numFmtId="0" fontId="38" fillId="6" borderId="0" xfId="0" applyFont="1" applyFill="1"/>
    <xf numFmtId="0" fontId="24" fillId="6" borderId="0" xfId="0" applyFont="1" applyFill="1"/>
    <xf numFmtId="0" fontId="0" fillId="6" borderId="0" xfId="0" applyFill="1" applyAlignment="1">
      <alignment horizontal="center"/>
    </xf>
    <xf numFmtId="0" fontId="0" fillId="0" borderId="67" xfId="0" applyBorder="1"/>
    <xf numFmtId="0" fontId="0" fillId="0" borderId="53" xfId="0" applyBorder="1"/>
    <xf numFmtId="0" fontId="0" fillId="0" borderId="63" xfId="0" applyBorder="1"/>
    <xf numFmtId="0" fontId="0" fillId="7" borderId="51" xfId="0" applyFill="1" applyBorder="1"/>
    <xf numFmtId="0" fontId="0" fillId="7" borderId="65" xfId="0" applyFill="1" applyBorder="1"/>
    <xf numFmtId="44" fontId="0" fillId="0" borderId="0" xfId="1" applyFont="1"/>
    <xf numFmtId="2" fontId="13" fillId="0" borderId="0" xfId="0" applyNumberFormat="1" applyFont="1"/>
    <xf numFmtId="0" fontId="40" fillId="0" borderId="0" xfId="0" applyFont="1"/>
    <xf numFmtId="10" fontId="0" fillId="0" borderId="0" xfId="0" applyNumberFormat="1" applyAlignment="1">
      <alignment horizontal="right"/>
    </xf>
    <xf numFmtId="0" fontId="41" fillId="6" borderId="0" xfId="0" applyFont="1" applyFill="1"/>
    <xf numFmtId="164" fontId="21" fillId="0" borderId="0" xfId="0" applyNumberFormat="1" applyFont="1"/>
    <xf numFmtId="179" fontId="0" fillId="0" borderId="0" xfId="2" applyNumberFormat="1" applyFont="1" applyFill="1" applyBorder="1"/>
    <xf numFmtId="180" fontId="0" fillId="0" borderId="0" xfId="4" applyNumberFormat="1" applyFont="1" applyFill="1" applyBorder="1"/>
    <xf numFmtId="0" fontId="42" fillId="0" borderId="52" xfId="0" applyFont="1" applyBorder="1" applyAlignment="1">
      <alignment vertical="center"/>
    </xf>
    <xf numFmtId="43" fontId="23" fillId="0" borderId="0" xfId="4" applyFont="1" applyBorder="1" applyAlignment="1">
      <alignment horizontal="right"/>
    </xf>
    <xf numFmtId="2" fontId="21" fillId="0" borderId="0" xfId="0" applyNumberFormat="1" applyFont="1"/>
    <xf numFmtId="44" fontId="21" fillId="0" borderId="0" xfId="1" applyFont="1" applyFill="1" applyBorder="1"/>
    <xf numFmtId="169" fontId="43" fillId="0" borderId="17" xfId="3" applyNumberFormat="1" applyFont="1" applyBorder="1" applyAlignment="1">
      <alignment horizontal="right" vertical="top"/>
    </xf>
    <xf numFmtId="2" fontId="0" fillId="0" borderId="69" xfId="0" applyNumberFormat="1" applyBorder="1"/>
    <xf numFmtId="2" fontId="0" fillId="0" borderId="62" xfId="0" applyNumberFormat="1" applyBorder="1"/>
    <xf numFmtId="166" fontId="0" fillId="0" borderId="62" xfId="1" applyNumberFormat="1" applyFont="1" applyBorder="1"/>
    <xf numFmtId="166" fontId="0" fillId="0" borderId="70" xfId="0" applyNumberFormat="1" applyBorder="1"/>
    <xf numFmtId="1" fontId="0" fillId="0" borderId="68" xfId="0" applyNumberFormat="1" applyBorder="1"/>
    <xf numFmtId="1" fontId="0" fillId="0" borderId="67" xfId="0" applyNumberFormat="1" applyBorder="1"/>
    <xf numFmtId="166" fontId="0" fillId="0" borderId="53" xfId="1" applyNumberFormat="1" applyFont="1" applyBorder="1"/>
    <xf numFmtId="166" fontId="0" fillId="0" borderId="69" xfId="0" applyNumberFormat="1" applyBorder="1"/>
    <xf numFmtId="166" fontId="0" fillId="0" borderId="62" xfId="0" applyNumberFormat="1" applyBorder="1"/>
    <xf numFmtId="0" fontId="0" fillId="0" borderId="62" xfId="0" applyBorder="1"/>
    <xf numFmtId="9" fontId="0" fillId="0" borderId="62" xfId="2" applyFont="1" applyBorder="1"/>
    <xf numFmtId="9" fontId="0" fillId="0" borderId="70" xfId="2" applyFont="1" applyBorder="1"/>
    <xf numFmtId="9" fontId="0" fillId="0" borderId="0" xfId="2" applyFont="1" applyBorder="1"/>
    <xf numFmtId="166" fontId="0" fillId="0" borderId="0" xfId="2" applyNumberFormat="1" applyFont="1" applyBorder="1"/>
    <xf numFmtId="166" fontId="0" fillId="0" borderId="64" xfId="2" applyNumberFormat="1" applyFont="1" applyBorder="1"/>
    <xf numFmtId="9" fontId="0" fillId="0" borderId="53" xfId="2" applyFont="1" applyBorder="1"/>
    <xf numFmtId="0" fontId="12" fillId="0" borderId="0" xfId="0" applyFont="1" applyAlignment="1">
      <alignment horizontal="left"/>
    </xf>
    <xf numFmtId="0" fontId="6" fillId="0" borderId="0" xfId="0" applyFont="1" applyAlignment="1">
      <alignment horizontal="left"/>
    </xf>
    <xf numFmtId="166" fontId="44" fillId="0" borderId="0" xfId="1" applyNumberFormat="1" applyFont="1"/>
    <xf numFmtId="178" fontId="0" fillId="0" borderId="0" xfId="4" applyNumberFormat="1" applyFont="1" applyBorder="1"/>
    <xf numFmtId="15" fontId="24" fillId="0" borderId="0" xfId="0" applyNumberFormat="1" applyFont="1" applyAlignment="1">
      <alignment horizontal="right"/>
    </xf>
    <xf numFmtId="0" fontId="24" fillId="6" borderId="0" xfId="0" applyFont="1" applyFill="1" applyAlignment="1">
      <alignment horizontal="right"/>
    </xf>
    <xf numFmtId="0" fontId="24" fillId="0" borderId="0" xfId="0" applyFont="1" applyAlignment="1">
      <alignment horizontal="right"/>
    </xf>
    <xf numFmtId="181" fontId="0" fillId="0" borderId="0" xfId="0" applyNumberFormat="1"/>
    <xf numFmtId="0" fontId="4" fillId="0" borderId="0" xfId="0" applyFont="1" applyAlignment="1">
      <alignment horizontal="right"/>
    </xf>
    <xf numFmtId="0" fontId="0" fillId="0" borderId="53" xfId="0" applyBorder="1" applyAlignment="1">
      <alignment horizontal="center"/>
    </xf>
    <xf numFmtId="0" fontId="0" fillId="0" borderId="54" xfId="0" applyBorder="1" applyAlignment="1">
      <alignment horizontal="center"/>
    </xf>
    <xf numFmtId="168" fontId="0" fillId="0" borderId="53" xfId="0" applyNumberFormat="1" applyBorder="1"/>
    <xf numFmtId="44" fontId="0" fillId="0" borderId="53" xfId="1" applyFont="1" applyBorder="1"/>
    <xf numFmtId="0" fontId="0" fillId="0" borderId="54" xfId="0" applyBorder="1"/>
    <xf numFmtId="44" fontId="0" fillId="0" borderId="53" xfId="0" applyNumberFormat="1" applyBorder="1"/>
    <xf numFmtId="166" fontId="0" fillId="0" borderId="53" xfId="0" applyNumberFormat="1" applyBorder="1"/>
    <xf numFmtId="1" fontId="13" fillId="0" borderId="0" xfId="0" applyNumberFormat="1" applyFont="1"/>
    <xf numFmtId="0" fontId="13" fillId="0" borderId="0" xfId="0" applyFont="1" applyAlignment="1">
      <alignment horizontal="center"/>
    </xf>
    <xf numFmtId="166" fontId="13" fillId="0" borderId="0" xfId="1" applyNumberFormat="1" applyFont="1"/>
    <xf numFmtId="164" fontId="13" fillId="0" borderId="0" xfId="0" applyNumberFormat="1" applyFont="1"/>
    <xf numFmtId="9" fontId="13" fillId="0" borderId="0" xfId="0" applyNumberFormat="1" applyFont="1"/>
    <xf numFmtId="2" fontId="33" fillId="0" borderId="0" xfId="0" applyNumberFormat="1" applyFont="1" applyAlignment="1">
      <alignment horizontal="center" vertical="center"/>
    </xf>
    <xf numFmtId="2" fontId="33" fillId="0" borderId="0" xfId="0" applyNumberFormat="1" applyFont="1"/>
    <xf numFmtId="177" fontId="33" fillId="0" borderId="0" xfId="0" applyNumberFormat="1" applyFont="1" applyAlignment="1">
      <alignment horizontal="center" vertical="center"/>
    </xf>
    <xf numFmtId="0" fontId="49" fillId="0" borderId="57" xfId="0" applyFont="1" applyBorder="1"/>
    <xf numFmtId="44" fontId="2" fillId="0" borderId="0" xfId="1" applyFont="1" applyFill="1" applyBorder="1"/>
    <xf numFmtId="0" fontId="2" fillId="0" borderId="0" xfId="0" applyFont="1"/>
    <xf numFmtId="9" fontId="2" fillId="0" borderId="0" xfId="2" applyFont="1" applyFill="1" applyBorder="1"/>
    <xf numFmtId="1" fontId="2" fillId="0" borderId="0" xfId="0" applyNumberFormat="1" applyFont="1"/>
    <xf numFmtId="2" fontId="2" fillId="0" borderId="0" xfId="0" applyNumberFormat="1" applyFont="1"/>
    <xf numFmtId="0" fontId="2" fillId="0" borderId="0" xfId="0" applyFont="1" applyAlignment="1">
      <alignment horizontal="center"/>
    </xf>
    <xf numFmtId="166" fontId="2" fillId="0" borderId="0" xfId="1" applyNumberFormat="1" applyFont="1"/>
    <xf numFmtId="164" fontId="2" fillId="0" borderId="0" xfId="0" applyNumberFormat="1" applyFont="1"/>
    <xf numFmtId="44" fontId="2" fillId="0" borderId="0" xfId="1" applyFont="1"/>
    <xf numFmtId="168" fontId="2" fillId="0" borderId="0" xfId="0" applyNumberFormat="1" applyFont="1"/>
    <xf numFmtId="165" fontId="2" fillId="0" borderId="0" xfId="0" applyNumberFormat="1" applyFont="1"/>
    <xf numFmtId="182" fontId="0" fillId="0" borderId="0" xfId="0" applyNumberFormat="1"/>
    <xf numFmtId="166" fontId="0" fillId="0" borderId="64" xfId="0" applyNumberFormat="1" applyBorder="1"/>
    <xf numFmtId="166" fontId="0" fillId="0" borderId="52" xfId="0" applyNumberFormat="1" applyBorder="1"/>
    <xf numFmtId="166" fontId="50" fillId="0" borderId="0" xfId="0" applyNumberFormat="1" applyFont="1"/>
    <xf numFmtId="0" fontId="52" fillId="8" borderId="68" xfId="0" applyFont="1" applyFill="1" applyBorder="1"/>
    <xf numFmtId="0" fontId="52" fillId="8" borderId="0" xfId="0" applyFont="1" applyFill="1"/>
    <xf numFmtId="0" fontId="52" fillId="8" borderId="64" xfId="0" applyFont="1" applyFill="1" applyBorder="1"/>
    <xf numFmtId="0" fontId="52" fillId="8" borderId="67" xfId="0" applyFont="1" applyFill="1" applyBorder="1"/>
    <xf numFmtId="0" fontId="52" fillId="8" borderId="53" xfId="0" applyFont="1" applyFill="1" applyBorder="1"/>
    <xf numFmtId="0" fontId="52" fillId="8" borderId="63" xfId="0" applyFont="1" applyFill="1" applyBorder="1"/>
    <xf numFmtId="164" fontId="52" fillId="8" borderId="0" xfId="0" applyNumberFormat="1" applyFont="1" applyFill="1"/>
    <xf numFmtId="0" fontId="53" fillId="8" borderId="0" xfId="0" applyFont="1" applyFill="1"/>
    <xf numFmtId="2" fontId="52" fillId="8" borderId="0" xfId="0" applyNumberFormat="1" applyFont="1" applyFill="1"/>
    <xf numFmtId="166" fontId="54" fillId="8" borderId="0" xfId="1" applyNumberFormat="1" applyFont="1" applyFill="1"/>
    <xf numFmtId="166" fontId="54" fillId="8" borderId="0" xfId="0" applyNumberFormat="1" applyFont="1" applyFill="1"/>
    <xf numFmtId="44" fontId="54" fillId="8" borderId="0" xfId="1" applyFont="1" applyFill="1"/>
    <xf numFmtId="1" fontId="55" fillId="0" borderId="0" xfId="0" applyNumberFormat="1" applyFont="1"/>
    <xf numFmtId="9" fontId="21" fillId="0" borderId="0" xfId="2" applyFont="1" applyFill="1" applyBorder="1"/>
    <xf numFmtId="44" fontId="21" fillId="0" borderId="0" xfId="1" applyFont="1"/>
    <xf numFmtId="168" fontId="21" fillId="0" borderId="0" xfId="0" applyNumberFormat="1" applyFont="1"/>
    <xf numFmtId="3" fontId="0" fillId="0" borderId="0" xfId="0" applyNumberFormat="1"/>
    <xf numFmtId="0" fontId="57" fillId="4" borderId="0" xfId="0" applyFont="1" applyFill="1" applyAlignment="1">
      <alignment horizontal="center" vertical="center" wrapText="1"/>
    </xf>
    <xf numFmtId="0" fontId="57" fillId="4" borderId="71" xfId="0" applyFont="1" applyFill="1" applyBorder="1" applyAlignment="1">
      <alignment horizontal="center" vertical="center" wrapText="1"/>
    </xf>
    <xf numFmtId="0" fontId="57" fillId="4" borderId="0" xfId="0" applyFont="1" applyFill="1" applyAlignment="1">
      <alignment vertical="center" wrapText="1"/>
    </xf>
    <xf numFmtId="0" fontId="57" fillId="4" borderId="73" xfId="0" applyFont="1" applyFill="1" applyBorder="1" applyAlignment="1">
      <alignment vertical="center" wrapText="1"/>
    </xf>
    <xf numFmtId="0" fontId="57" fillId="4" borderId="73" xfId="0" applyFont="1" applyFill="1" applyBorder="1" applyAlignment="1">
      <alignment horizontal="center" vertical="center" wrapText="1"/>
    </xf>
    <xf numFmtId="0" fontId="0" fillId="4" borderId="73" xfId="0" applyFill="1" applyBorder="1" applyAlignment="1">
      <alignment wrapText="1"/>
    </xf>
    <xf numFmtId="0" fontId="0" fillId="0" borderId="53" xfId="0" applyBorder="1" applyAlignment="1">
      <alignment horizontal="center"/>
    </xf>
    <xf numFmtId="0" fontId="7" fillId="0" borderId="24" xfId="0" applyFont="1" applyBorder="1" applyAlignment="1">
      <alignment horizontal="left"/>
    </xf>
    <xf numFmtId="0" fontId="7" fillId="0" borderId="25" xfId="0" applyFont="1" applyBorder="1" applyAlignment="1">
      <alignment horizontal="left"/>
    </xf>
    <xf numFmtId="0" fontId="7" fillId="0" borderId="26" xfId="0" applyFont="1" applyBorder="1" applyAlignment="1">
      <alignment horizontal="center"/>
    </xf>
    <xf numFmtId="0" fontId="7" fillId="0" borderId="27" xfId="0" applyFont="1" applyBorder="1" applyAlignment="1">
      <alignment horizontal="center"/>
    </xf>
    <xf numFmtId="0" fontId="7" fillId="0" borderId="28" xfId="0" applyFont="1" applyBorder="1" applyAlignment="1">
      <alignment horizontal="center"/>
    </xf>
    <xf numFmtId="0" fontId="7" fillId="0" borderId="29" xfId="0" applyFont="1" applyBorder="1" applyAlignment="1">
      <alignment horizontal="center"/>
    </xf>
    <xf numFmtId="0" fontId="9" fillId="0" borderId="4" xfId="3" applyFont="1" applyBorder="1" applyAlignment="1">
      <alignment horizontal="left"/>
    </xf>
    <xf numFmtId="0" fontId="9" fillId="0" borderId="5" xfId="3" applyFont="1" applyBorder="1" applyAlignment="1">
      <alignment horizontal="left"/>
    </xf>
    <xf numFmtId="0" fontId="9" fillId="0" borderId="14" xfId="3" applyFont="1" applyBorder="1" applyAlignment="1">
      <alignment horizontal="left" vertical="top"/>
    </xf>
    <xf numFmtId="0" fontId="9" fillId="0" borderId="19" xfId="3" applyFont="1" applyBorder="1" applyAlignment="1">
      <alignment horizontal="left" vertical="top"/>
    </xf>
    <xf numFmtId="0" fontId="7" fillId="0" borderId="35" xfId="0" applyFont="1" applyBorder="1" applyAlignment="1">
      <alignment horizontal="center"/>
    </xf>
    <xf numFmtId="0" fontId="7" fillId="0" borderId="36" xfId="0" applyFont="1" applyBorder="1" applyAlignment="1">
      <alignment horizontal="center"/>
    </xf>
    <xf numFmtId="0" fontId="4" fillId="0" borderId="0" xfId="0" applyFont="1" applyAlignment="1">
      <alignment horizontal="center"/>
    </xf>
    <xf numFmtId="0" fontId="4" fillId="0" borderId="53" xfId="0" applyFont="1" applyBorder="1" applyAlignment="1">
      <alignment horizontal="center"/>
    </xf>
    <xf numFmtId="0" fontId="9" fillId="0" borderId="32" xfId="3" applyFont="1" applyBorder="1" applyAlignment="1">
      <alignment horizontal="left"/>
    </xf>
    <xf numFmtId="0" fontId="9" fillId="0" borderId="34" xfId="3" applyFont="1" applyBorder="1" applyAlignment="1">
      <alignment horizontal="left"/>
    </xf>
    <xf numFmtId="0" fontId="9" fillId="0" borderId="47" xfId="3" applyFont="1" applyBorder="1" applyAlignment="1">
      <alignment horizontal="center"/>
    </xf>
    <xf numFmtId="0" fontId="9" fillId="0" borderId="49" xfId="3" applyFont="1" applyBorder="1" applyAlignment="1">
      <alignment horizontal="center"/>
    </xf>
    <xf numFmtId="0" fontId="9" fillId="0" borderId="48" xfId="3" applyFont="1" applyBorder="1" applyAlignment="1">
      <alignment horizontal="center"/>
    </xf>
    <xf numFmtId="0" fontId="9" fillId="0" borderId="50" xfId="3" applyFont="1" applyBorder="1" applyAlignment="1">
      <alignment horizontal="center"/>
    </xf>
    <xf numFmtId="0" fontId="7" fillId="0" borderId="41" xfId="0" applyFont="1" applyBorder="1" applyAlignment="1">
      <alignment horizontal="left"/>
    </xf>
    <xf numFmtId="0" fontId="7" fillId="0" borderId="42" xfId="0" applyFont="1" applyBorder="1" applyAlignment="1">
      <alignment horizontal="left"/>
    </xf>
    <xf numFmtId="0" fontId="7" fillId="0" borderId="43" xfId="0" applyFont="1" applyBorder="1" applyAlignment="1">
      <alignment horizontal="center"/>
    </xf>
    <xf numFmtId="0" fontId="7" fillId="0" borderId="44" xfId="0" applyFont="1" applyBorder="1" applyAlignment="1">
      <alignment horizontal="center"/>
    </xf>
    <xf numFmtId="0" fontId="7" fillId="0" borderId="45" xfId="0" applyFont="1" applyBorder="1" applyAlignment="1">
      <alignment horizontal="center"/>
    </xf>
    <xf numFmtId="0" fontId="7" fillId="0" borderId="46" xfId="0" applyFont="1" applyBorder="1" applyAlignment="1">
      <alignment horizontal="center"/>
    </xf>
    <xf numFmtId="0" fontId="39" fillId="7" borderId="65" xfId="0" applyFont="1" applyFill="1" applyBorder="1" applyAlignment="1">
      <alignment horizontal="center"/>
    </xf>
    <xf numFmtId="0" fontId="39" fillId="7" borderId="54" xfId="0" applyFont="1" applyFill="1" applyBorder="1" applyAlignment="1">
      <alignment horizontal="center"/>
    </xf>
    <xf numFmtId="0" fontId="39" fillId="7" borderId="66" xfId="0" applyFont="1" applyFill="1" applyBorder="1" applyAlignment="1">
      <alignment horizontal="center"/>
    </xf>
    <xf numFmtId="0" fontId="0" fillId="7" borderId="65" xfId="0" applyFill="1" applyBorder="1" applyAlignment="1">
      <alignment horizontal="center"/>
    </xf>
    <xf numFmtId="0" fontId="0" fillId="7" borderId="54" xfId="0" applyFill="1" applyBorder="1" applyAlignment="1">
      <alignment horizontal="center"/>
    </xf>
    <xf numFmtId="0" fontId="0" fillId="7" borderId="66" xfId="0" applyFill="1" applyBorder="1" applyAlignment="1">
      <alignment horizontal="center"/>
    </xf>
    <xf numFmtId="0" fontId="0" fillId="0" borderId="54" xfId="0" applyBorder="1" applyAlignment="1">
      <alignment horizontal="center"/>
    </xf>
    <xf numFmtId="0" fontId="0" fillId="0" borderId="0" xfId="0" applyAlignment="1">
      <alignment horizontal="left" wrapText="1"/>
    </xf>
    <xf numFmtId="0" fontId="26" fillId="0" borderId="0" xfId="0" applyFont="1" applyAlignment="1">
      <alignment horizontal="right"/>
    </xf>
    <xf numFmtId="0" fontId="0" fillId="0" borderId="62" xfId="0" applyBorder="1" applyAlignment="1">
      <alignment horizontal="left"/>
    </xf>
    <xf numFmtId="0" fontId="0" fillId="0" borderId="0" xfId="0" applyAlignment="1">
      <alignment horizontal="left"/>
    </xf>
    <xf numFmtId="0" fontId="57" fillId="4" borderId="73" xfId="0" applyFont="1" applyFill="1" applyBorder="1" applyAlignment="1">
      <alignment horizontal="center" vertical="center" wrapText="1"/>
    </xf>
    <xf numFmtId="0" fontId="0" fillId="4" borderId="0" xfId="0" applyFill="1" applyAlignment="1">
      <alignment vertical="center" wrapText="1"/>
    </xf>
    <xf numFmtId="0" fontId="57" fillId="4" borderId="0" xfId="0" applyFont="1" applyFill="1" applyAlignment="1">
      <alignment vertical="center" wrapText="1"/>
    </xf>
    <xf numFmtId="0" fontId="57" fillId="4" borderId="72" xfId="0" applyFont="1" applyFill="1" applyBorder="1" applyAlignment="1">
      <alignment horizontal="center" vertical="center" wrapText="1"/>
    </xf>
    <xf numFmtId="0" fontId="0" fillId="4" borderId="71" xfId="0" applyFill="1" applyBorder="1" applyAlignment="1">
      <alignment vertical="center" wrapText="1"/>
    </xf>
  </cellXfs>
  <cellStyles count="6">
    <cellStyle name="Comma" xfId="4" builtinId="3"/>
    <cellStyle name="Currency" xfId="1" builtinId="4"/>
    <cellStyle name="Hyperlink" xfId="5" builtinId="8"/>
    <cellStyle name="Normal" xfId="0" builtinId="0"/>
    <cellStyle name="Normal_Sheet1" xfId="3" xr:uid="{E88E6E3F-E986-3242-B619-AB3AF9CA748E}"/>
    <cellStyle name="Per cent" xfId="2" builtinId="5"/>
  </cellStyles>
  <dxfs count="0"/>
  <tableStyles count="0" defaultTableStyle="TableStyleMedium2" defaultPivotStyle="PivotStyleLight16"/>
  <colors>
    <mruColors>
      <color rgb="FFCAB68E"/>
      <color rgb="FFCC00FF"/>
      <color rgb="FF4C627F"/>
      <color rgb="FFE9502D"/>
      <color rgb="FFCCB78F"/>
      <color rgb="FF02A8DB"/>
      <color rgb="FFFAC311"/>
      <color rgb="FFDEDEDE"/>
      <color rgb="FFFFFFFF"/>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hartsheet" Target="chartsheets/sheet1.xml"/><Relationship Id="rId26" Type="http://schemas.openxmlformats.org/officeDocument/2006/relationships/chartsheet" Target="chartsheets/sheet9.xml"/><Relationship Id="rId3" Type="http://schemas.openxmlformats.org/officeDocument/2006/relationships/worksheet" Target="worksheets/sheet3.xml"/><Relationship Id="rId21" Type="http://schemas.openxmlformats.org/officeDocument/2006/relationships/chartsheet" Target="chartsheets/sheet4.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8.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3.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7.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6.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hartsheet" Target="chartsheets/sheet2.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5.xml"/><Relationship Id="rId27" Type="http://schemas.openxmlformats.org/officeDocument/2006/relationships/chartsheet" Target="chartsheets/sheet10.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203800582225989E-2"/>
          <c:y val="0.16485750996606596"/>
          <c:w val="0.88711003211910922"/>
          <c:h val="0.70239844496425408"/>
        </c:manualLayout>
      </c:layout>
      <c:scatterChart>
        <c:scatterStyle val="lineMarker"/>
        <c:varyColors val="0"/>
        <c:ser>
          <c:idx val="3"/>
          <c:order val="0"/>
          <c:tx>
            <c:v>Full placebo correction 301 &amp; 303 (ITT analysis)</c:v>
          </c:tx>
          <c:spPr>
            <a:ln w="38100" cap="rnd">
              <a:solidFill>
                <a:schemeClr val="bg2">
                  <a:lumMod val="90000"/>
                </a:schemeClr>
              </a:solidFill>
              <a:prstDash val="sysDot"/>
              <a:round/>
            </a:ln>
            <a:effectLst/>
          </c:spPr>
          <c:marker>
            <c:symbol val="circle"/>
            <c:size val="10"/>
            <c:spPr>
              <a:solidFill>
                <a:schemeClr val="bg2">
                  <a:lumMod val="90000"/>
                </a:schemeClr>
              </a:solidFill>
              <a:ln w="9525">
                <a:solidFill>
                  <a:schemeClr val="bg2">
                    <a:lumMod val="90000"/>
                  </a:schemeClr>
                </a:solidFill>
              </a:ln>
              <a:effectLst/>
            </c:spPr>
          </c:marker>
          <c:dLbls>
            <c:delete val="1"/>
          </c:dLbls>
          <c:xVal>
            <c:numRef>
              <c:f>'Model | 1 Year'!$D$11:$I$11</c:f>
              <c:numCache>
                <c:formatCode>General</c:formatCode>
                <c:ptCount val="6"/>
                <c:pt idx="0">
                  <c:v>0</c:v>
                </c:pt>
                <c:pt idx="1">
                  <c:v>4</c:v>
                </c:pt>
                <c:pt idx="2">
                  <c:v>12</c:v>
                </c:pt>
                <c:pt idx="3">
                  <c:v>26</c:v>
                </c:pt>
                <c:pt idx="4">
                  <c:v>39</c:v>
                </c:pt>
                <c:pt idx="5">
                  <c:v>52</c:v>
                </c:pt>
              </c:numCache>
            </c:numRef>
          </c:xVal>
          <c:yVal>
            <c:numRef>
              <c:f>'Model | 1 Year'!$D$17:$I$17</c:f>
              <c:numCache>
                <c:formatCode>0.000</c:formatCode>
                <c:ptCount val="6"/>
                <c:pt idx="0">
                  <c:v>19.211849999999998</c:v>
                </c:pt>
                <c:pt idx="1">
                  <c:v>15.986287530774998</c:v>
                </c:pt>
                <c:pt idx="2">
                  <c:v>13.884883586174999</c:v>
                </c:pt>
                <c:pt idx="3">
                  <c:v>12.909718410958899</c:v>
                </c:pt>
                <c:pt idx="4">
                  <c:v>12.400829522069998</c:v>
                </c:pt>
                <c:pt idx="5">
                  <c:v>11.885148770896299</c:v>
                </c:pt>
              </c:numCache>
            </c:numRef>
          </c:yVal>
          <c:smooth val="0"/>
          <c:extLst>
            <c:ext xmlns:c16="http://schemas.microsoft.com/office/drawing/2014/chart" uri="{C3380CC4-5D6E-409C-BE32-E72D297353CC}">
              <c16:uniqueId val="{00000004-1E9C-4F43-BEEE-658DCC93FAB8}"/>
            </c:ext>
          </c:extLst>
        </c:ser>
        <c:ser>
          <c:idx val="0"/>
          <c:order val="1"/>
          <c:tx>
            <c:v>Selective attrition (company preferred base case)</c:v>
          </c:tx>
          <c:spPr>
            <a:ln w="38100" cap="rnd" cmpd="sng">
              <a:solidFill>
                <a:schemeClr val="bg2">
                  <a:lumMod val="90000"/>
                </a:schemeClr>
              </a:solidFill>
              <a:prstDash val="solid"/>
              <a:round/>
            </a:ln>
            <a:effectLst/>
          </c:spPr>
          <c:marker>
            <c:symbol val="circle"/>
            <c:size val="10"/>
            <c:spPr>
              <a:solidFill>
                <a:schemeClr val="bg2">
                  <a:lumMod val="90000"/>
                </a:schemeClr>
              </a:solidFill>
              <a:ln w="9525">
                <a:solidFill>
                  <a:schemeClr val="bg2">
                    <a:lumMod val="90000"/>
                  </a:schemeClr>
                </a:solidFill>
              </a:ln>
              <a:effectLst/>
            </c:spPr>
          </c:marker>
          <c:dLbls>
            <c:delete val="1"/>
          </c:dLbls>
          <c:xVal>
            <c:numRef>
              <c:f>'Model | 1 Year'!$D$11:$I$11</c:f>
              <c:numCache>
                <c:formatCode>General</c:formatCode>
                <c:ptCount val="6"/>
                <c:pt idx="0">
                  <c:v>0</c:v>
                </c:pt>
                <c:pt idx="1">
                  <c:v>4</c:v>
                </c:pt>
                <c:pt idx="2">
                  <c:v>12</c:v>
                </c:pt>
                <c:pt idx="3">
                  <c:v>26</c:v>
                </c:pt>
                <c:pt idx="4">
                  <c:v>39</c:v>
                </c:pt>
                <c:pt idx="5">
                  <c:v>52</c:v>
                </c:pt>
              </c:numCache>
            </c:numRef>
          </c:xVal>
          <c:yVal>
            <c:numRef>
              <c:f>'Model | 1 Year'!$D$18:$I$18</c:f>
              <c:numCache>
                <c:formatCode>0.000</c:formatCode>
                <c:ptCount val="6"/>
                <c:pt idx="0">
                  <c:v>19.211849999999998</c:v>
                </c:pt>
                <c:pt idx="1">
                  <c:v>15.986287530774998</c:v>
                </c:pt>
                <c:pt idx="2">
                  <c:v>13.884883586174999</c:v>
                </c:pt>
                <c:pt idx="3">
                  <c:v>13.884883586174999</c:v>
                </c:pt>
                <c:pt idx="4">
                  <c:v>13.884883586174999</c:v>
                </c:pt>
                <c:pt idx="5">
                  <c:v>13.884883586174999</c:v>
                </c:pt>
              </c:numCache>
            </c:numRef>
          </c:yVal>
          <c:smooth val="0"/>
          <c:extLst>
            <c:ext xmlns:c16="http://schemas.microsoft.com/office/drawing/2014/chart" uri="{C3380CC4-5D6E-409C-BE32-E72D297353CC}">
              <c16:uniqueId val="{00000003-1E9C-4F43-BEEE-658DCC93FAB8}"/>
            </c:ext>
          </c:extLst>
        </c:ser>
        <c:ser>
          <c:idx val="2"/>
          <c:order val="2"/>
          <c:tx>
            <c:v>No placebo correction (real-world scenario)</c:v>
          </c:tx>
          <c:spPr>
            <a:ln w="38100" cap="rnd">
              <a:solidFill>
                <a:schemeClr val="bg2">
                  <a:lumMod val="90000"/>
                </a:schemeClr>
              </a:solidFill>
              <a:prstDash val="sysDash"/>
              <a:round/>
            </a:ln>
            <a:effectLst/>
          </c:spPr>
          <c:marker>
            <c:symbol val="circle"/>
            <c:size val="10"/>
            <c:spPr>
              <a:solidFill>
                <a:schemeClr val="bg2">
                  <a:lumMod val="90000"/>
                </a:schemeClr>
              </a:solidFill>
              <a:ln w="19050">
                <a:solidFill>
                  <a:schemeClr val="bg2">
                    <a:lumMod val="90000"/>
                  </a:schemeClr>
                </a:solidFill>
              </a:ln>
              <a:effectLst/>
            </c:spPr>
          </c:marker>
          <c:dLbls>
            <c:delete val="1"/>
          </c:dLbls>
          <c:xVal>
            <c:numRef>
              <c:f>'Model | 1 Year'!$D$11:$I$11</c:f>
              <c:numCache>
                <c:formatCode>General</c:formatCode>
                <c:ptCount val="6"/>
                <c:pt idx="0">
                  <c:v>0</c:v>
                </c:pt>
                <c:pt idx="1">
                  <c:v>4</c:v>
                </c:pt>
                <c:pt idx="2">
                  <c:v>12</c:v>
                </c:pt>
                <c:pt idx="3">
                  <c:v>26</c:v>
                </c:pt>
                <c:pt idx="4">
                  <c:v>39</c:v>
                </c:pt>
                <c:pt idx="5">
                  <c:v>52</c:v>
                </c:pt>
              </c:numCache>
            </c:numRef>
          </c:xVal>
          <c:yVal>
            <c:numRef>
              <c:f>'Model | 1 Year'!$D$16:$I$16</c:f>
              <c:numCache>
                <c:formatCode>0.000</c:formatCode>
                <c:ptCount val="6"/>
                <c:pt idx="0">
                  <c:v>19.211849999999998</c:v>
                </c:pt>
                <c:pt idx="1">
                  <c:v>19.211849999999998</c:v>
                </c:pt>
                <c:pt idx="2">
                  <c:v>19.211849999999998</c:v>
                </c:pt>
                <c:pt idx="3">
                  <c:v>19.211849999999998</c:v>
                </c:pt>
                <c:pt idx="4">
                  <c:v>19.211849999999998</c:v>
                </c:pt>
                <c:pt idx="5">
                  <c:v>19.211849999999998</c:v>
                </c:pt>
              </c:numCache>
            </c:numRef>
          </c:yVal>
          <c:smooth val="0"/>
          <c:extLst>
            <c:ext xmlns:c16="http://schemas.microsoft.com/office/drawing/2014/chart" uri="{C3380CC4-5D6E-409C-BE32-E72D297353CC}">
              <c16:uniqueId val="{00000000-5ACB-5447-93CB-67143B382429}"/>
            </c:ext>
          </c:extLst>
        </c:ser>
        <c:ser>
          <c:idx val="1"/>
          <c:order val="3"/>
          <c:tx>
            <c:v>Daridorexant 50mg</c:v>
          </c:tx>
          <c:spPr>
            <a:ln w="38100" cap="rnd">
              <a:solidFill>
                <a:schemeClr val="tx1">
                  <a:lumMod val="75000"/>
                  <a:lumOff val="25000"/>
                </a:schemeClr>
              </a:solidFill>
              <a:round/>
            </a:ln>
            <a:effectLst/>
          </c:spPr>
          <c:marker>
            <c:symbol val="circle"/>
            <c:size val="10"/>
            <c:spPr>
              <a:solidFill>
                <a:schemeClr val="tx1">
                  <a:lumMod val="75000"/>
                  <a:lumOff val="25000"/>
                </a:schemeClr>
              </a:solidFill>
              <a:ln w="19050">
                <a:solidFill>
                  <a:schemeClr val="tx1">
                    <a:lumMod val="75000"/>
                    <a:lumOff val="25000"/>
                  </a:schemeClr>
                </a:solidFill>
              </a:ln>
              <a:effectLst/>
            </c:spPr>
          </c:marker>
          <c:dLbls>
            <c:delete val="1"/>
          </c:dLbls>
          <c:xVal>
            <c:numRef>
              <c:f>'Model | 1 Year'!$D$11:$I$11</c:f>
              <c:numCache>
                <c:formatCode>General</c:formatCode>
                <c:ptCount val="6"/>
                <c:pt idx="0">
                  <c:v>0</c:v>
                </c:pt>
                <c:pt idx="1">
                  <c:v>4</c:v>
                </c:pt>
                <c:pt idx="2">
                  <c:v>12</c:v>
                </c:pt>
                <c:pt idx="3">
                  <c:v>26</c:v>
                </c:pt>
                <c:pt idx="4">
                  <c:v>39</c:v>
                </c:pt>
                <c:pt idx="5">
                  <c:v>52</c:v>
                </c:pt>
              </c:numCache>
            </c:numRef>
          </c:xVal>
          <c:yVal>
            <c:numRef>
              <c:f>'Model | 1 Year'!$D$35:$I$35</c:f>
              <c:numCache>
                <c:formatCode>0.000</c:formatCode>
                <c:ptCount val="6"/>
                <c:pt idx="0">
                  <c:v>19.211849999999998</c:v>
                </c:pt>
                <c:pt idx="1">
                  <c:v>14.289651530774998</c:v>
                </c:pt>
                <c:pt idx="2">
                  <c:v>11.903234586175</c:v>
                </c:pt>
                <c:pt idx="3">
                  <c:v>11.3</c:v>
                </c:pt>
                <c:pt idx="4">
                  <c:v>10.7</c:v>
                </c:pt>
                <c:pt idx="5">
                  <c:v>10.199999999999999</c:v>
                </c:pt>
              </c:numCache>
            </c:numRef>
          </c:yVal>
          <c:smooth val="0"/>
          <c:extLst>
            <c:ext xmlns:c16="http://schemas.microsoft.com/office/drawing/2014/chart" uri="{C3380CC4-5D6E-409C-BE32-E72D297353CC}">
              <c16:uniqueId val="{00000003-5ACB-5447-93CB-67143B382429}"/>
            </c:ext>
          </c:extLst>
        </c:ser>
        <c:dLbls>
          <c:dLblPos val="t"/>
          <c:showLegendKey val="0"/>
          <c:showVal val="1"/>
          <c:showCatName val="0"/>
          <c:showSerName val="0"/>
          <c:showPercent val="0"/>
          <c:showBubbleSize val="0"/>
        </c:dLbls>
        <c:axId val="643459775"/>
        <c:axId val="642811903"/>
      </c:scatterChart>
      <c:valAx>
        <c:axId val="643459775"/>
        <c:scaling>
          <c:orientation val="minMax"/>
          <c:max val="5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Week</a:t>
                </a:r>
              </a:p>
            </c:rich>
          </c:tx>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42811903"/>
        <c:crosses val="autoZero"/>
        <c:crossBetween val="midCat"/>
        <c:majorUnit val="4"/>
        <c:minorUnit val="4"/>
      </c:valAx>
      <c:valAx>
        <c:axId val="642811903"/>
        <c:scaling>
          <c:orientation val="minMax"/>
          <c:max val="20"/>
          <c:min val="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Insomina Severity Index (ISI) Total Score</a:t>
                </a: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43459775"/>
        <c:crosses val="autoZero"/>
        <c:crossBetween val="midCat"/>
        <c:majorUnit val="2"/>
        <c:minorUnit val="2"/>
      </c:valAx>
      <c:spPr>
        <a:noFill/>
        <a:ln>
          <a:noFill/>
        </a:ln>
        <a:effectLst/>
      </c:spPr>
    </c:plotArea>
    <c:legend>
      <c:legendPos val="t"/>
      <c:layout>
        <c:manualLayout>
          <c:xMode val="edge"/>
          <c:yMode val="edge"/>
          <c:x val="9.3847847804836126E-2"/>
          <c:y val="5.6337100121943261E-5"/>
          <c:w val="0.8881071209891398"/>
          <c:h val="0.14070487266497544"/>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02650095068267E-2"/>
          <c:y val="0.16502701545152043"/>
          <c:w val="0.88228733175065255"/>
          <c:h val="0.7022289394787995"/>
        </c:manualLayout>
      </c:layout>
      <c:scatterChart>
        <c:scatterStyle val="lineMarker"/>
        <c:varyColors val="0"/>
        <c:ser>
          <c:idx val="3"/>
          <c:order val="0"/>
          <c:tx>
            <c:v>Full placebo correction 301 &amp; 303 (ITT analysis)</c:v>
          </c:tx>
          <c:spPr>
            <a:ln w="38100" cap="rnd">
              <a:solidFill>
                <a:schemeClr val="bg1">
                  <a:lumMod val="75000"/>
                </a:schemeClr>
              </a:solidFill>
              <a:prstDash val="sysDot"/>
              <a:round/>
            </a:ln>
            <a:effectLst/>
          </c:spPr>
          <c:marker>
            <c:symbol val="circle"/>
            <c:size val="8"/>
            <c:spPr>
              <a:solidFill>
                <a:schemeClr val="bg1">
                  <a:lumMod val="75000"/>
                </a:schemeClr>
              </a:solidFill>
              <a:ln w="9525">
                <a:noFill/>
              </a:ln>
              <a:effectLst/>
            </c:spPr>
          </c:marker>
          <c:xVal>
            <c:numRef>
              <c:f>'Model | 1 Year'!$D$11:$I$11</c:f>
              <c:numCache>
                <c:formatCode>General</c:formatCode>
                <c:ptCount val="6"/>
                <c:pt idx="0">
                  <c:v>0</c:v>
                </c:pt>
                <c:pt idx="1">
                  <c:v>4</c:v>
                </c:pt>
                <c:pt idx="2">
                  <c:v>12</c:v>
                </c:pt>
                <c:pt idx="3">
                  <c:v>26</c:v>
                </c:pt>
                <c:pt idx="4">
                  <c:v>39</c:v>
                </c:pt>
                <c:pt idx="5">
                  <c:v>52</c:v>
                </c:pt>
              </c:numCache>
            </c:numRef>
          </c:xVal>
          <c:yVal>
            <c:numRef>
              <c:f>'Model | 1 Year'!$D$14:$I$14</c:f>
              <c:numCache>
                <c:formatCode>0.000</c:formatCode>
                <c:ptCount val="6"/>
                <c:pt idx="0">
                  <c:v>0.61362596539047631</c:v>
                </c:pt>
                <c:pt idx="1">
                  <c:v>0.66788811103167522</c:v>
                </c:pt>
                <c:pt idx="2">
                  <c:v>0.69906924495634604</c:v>
                </c:pt>
                <c:pt idx="3">
                  <c:v>0.71252718899549916</c:v>
                </c:pt>
                <c:pt idx="4">
                  <c:v>0.71930948163406527</c:v>
                </c:pt>
                <c:pt idx="5">
                  <c:v>0.72601908002590476</c:v>
                </c:pt>
              </c:numCache>
            </c:numRef>
          </c:yVal>
          <c:smooth val="0"/>
          <c:extLst>
            <c:ext xmlns:c16="http://schemas.microsoft.com/office/drawing/2014/chart" uri="{C3380CC4-5D6E-409C-BE32-E72D297353CC}">
              <c16:uniqueId val="{00000000-8920-824E-B35A-3B4AB7B25D42}"/>
            </c:ext>
          </c:extLst>
        </c:ser>
        <c:ser>
          <c:idx val="0"/>
          <c:order val="1"/>
          <c:tx>
            <c:v>Selective attrition (company preferred base case)</c:v>
          </c:tx>
          <c:spPr>
            <a:ln w="38100" cap="rnd">
              <a:solidFill>
                <a:schemeClr val="bg1">
                  <a:lumMod val="75000"/>
                </a:schemeClr>
              </a:solidFill>
              <a:prstDash val="solid"/>
              <a:round/>
            </a:ln>
            <a:effectLst/>
          </c:spPr>
          <c:marker>
            <c:symbol val="circle"/>
            <c:size val="8"/>
            <c:spPr>
              <a:solidFill>
                <a:schemeClr val="bg1">
                  <a:lumMod val="75000"/>
                </a:schemeClr>
              </a:solidFill>
              <a:ln w="19050">
                <a:solidFill>
                  <a:schemeClr val="bg1">
                    <a:lumMod val="75000"/>
                  </a:schemeClr>
                </a:solidFill>
              </a:ln>
              <a:effectLst/>
            </c:spPr>
          </c:marker>
          <c:xVal>
            <c:numRef>
              <c:f>'Model | 1 Year'!$D$11:$I$11</c:f>
              <c:numCache>
                <c:formatCode>General</c:formatCode>
                <c:ptCount val="6"/>
                <c:pt idx="0">
                  <c:v>0</c:v>
                </c:pt>
                <c:pt idx="1">
                  <c:v>4</c:v>
                </c:pt>
                <c:pt idx="2">
                  <c:v>12</c:v>
                </c:pt>
                <c:pt idx="3">
                  <c:v>26</c:v>
                </c:pt>
                <c:pt idx="4">
                  <c:v>39</c:v>
                </c:pt>
                <c:pt idx="5">
                  <c:v>52</c:v>
                </c:pt>
              </c:numCache>
            </c:numRef>
          </c:xVal>
          <c:yVal>
            <c:numRef>
              <c:f>'Model | 1 Year'!$D$19:$I$19</c:f>
              <c:numCache>
                <c:formatCode>0.000</c:formatCode>
                <c:ptCount val="6"/>
                <c:pt idx="0">
                  <c:v>0.61362596539047631</c:v>
                </c:pt>
                <c:pt idx="1">
                  <c:v>0.66788811103167522</c:v>
                </c:pt>
                <c:pt idx="2">
                  <c:v>0.69906924495634604</c:v>
                </c:pt>
                <c:pt idx="3">
                  <c:v>0.69906924495634604</c:v>
                </c:pt>
                <c:pt idx="4">
                  <c:v>0.69906924495634604</c:v>
                </c:pt>
                <c:pt idx="5">
                  <c:v>0.69906924495634604</c:v>
                </c:pt>
              </c:numCache>
            </c:numRef>
          </c:yVal>
          <c:smooth val="0"/>
          <c:extLst>
            <c:ext xmlns:c16="http://schemas.microsoft.com/office/drawing/2014/chart" uri="{C3380CC4-5D6E-409C-BE32-E72D297353CC}">
              <c16:uniqueId val="{00000000-5EDF-A346-88A2-4502DE30AE1A}"/>
            </c:ext>
          </c:extLst>
        </c:ser>
        <c:ser>
          <c:idx val="2"/>
          <c:order val="2"/>
          <c:tx>
            <c:v>No placebo correction (real world scenario)</c:v>
          </c:tx>
          <c:spPr>
            <a:ln w="38100" cap="rnd">
              <a:solidFill>
                <a:schemeClr val="bg1">
                  <a:lumMod val="75000"/>
                </a:schemeClr>
              </a:solidFill>
              <a:prstDash val="dash"/>
              <a:round/>
            </a:ln>
            <a:effectLst/>
          </c:spPr>
          <c:marker>
            <c:symbol val="circle"/>
            <c:size val="8"/>
            <c:spPr>
              <a:solidFill>
                <a:schemeClr val="bg1">
                  <a:lumMod val="75000"/>
                </a:schemeClr>
              </a:solidFill>
              <a:ln w="19050">
                <a:solidFill>
                  <a:schemeClr val="bg1">
                    <a:lumMod val="75000"/>
                  </a:schemeClr>
                </a:solidFill>
              </a:ln>
              <a:effectLst/>
            </c:spPr>
          </c:marker>
          <c:xVal>
            <c:numRef>
              <c:f>'Model | 1 Year'!$D$11:$I$11</c:f>
              <c:numCache>
                <c:formatCode>General</c:formatCode>
                <c:ptCount val="6"/>
                <c:pt idx="0">
                  <c:v>0</c:v>
                </c:pt>
                <c:pt idx="1">
                  <c:v>4</c:v>
                </c:pt>
                <c:pt idx="2">
                  <c:v>12</c:v>
                </c:pt>
                <c:pt idx="3">
                  <c:v>26</c:v>
                </c:pt>
                <c:pt idx="4">
                  <c:v>39</c:v>
                </c:pt>
                <c:pt idx="5">
                  <c:v>52</c:v>
                </c:pt>
              </c:numCache>
            </c:numRef>
          </c:xVal>
          <c:yVal>
            <c:numRef>
              <c:f>'Model | 1 Year'!$D$13:$I$13</c:f>
              <c:numCache>
                <c:formatCode>0.000</c:formatCode>
                <c:ptCount val="6"/>
                <c:pt idx="0">
                  <c:v>0.61362596539047631</c:v>
                </c:pt>
                <c:pt idx="1">
                  <c:v>0.61362596539047631</c:v>
                </c:pt>
                <c:pt idx="2">
                  <c:v>0.61362596539047631</c:v>
                </c:pt>
                <c:pt idx="3">
                  <c:v>0.61362596539047631</c:v>
                </c:pt>
                <c:pt idx="4">
                  <c:v>0.61362596539047631</c:v>
                </c:pt>
                <c:pt idx="5">
                  <c:v>0.61362596539047631</c:v>
                </c:pt>
              </c:numCache>
            </c:numRef>
          </c:yVal>
          <c:smooth val="0"/>
          <c:extLst>
            <c:ext xmlns:c16="http://schemas.microsoft.com/office/drawing/2014/chart" uri="{C3380CC4-5D6E-409C-BE32-E72D297353CC}">
              <c16:uniqueId val="{00000000-FCFA-0F40-B323-1424E8C7CA8F}"/>
            </c:ext>
          </c:extLst>
        </c:ser>
        <c:ser>
          <c:idx val="1"/>
          <c:order val="3"/>
          <c:tx>
            <c:v>Daridorexant 50mg</c:v>
          </c:tx>
          <c:spPr>
            <a:ln w="38100" cap="rnd">
              <a:solidFill>
                <a:schemeClr val="tx1">
                  <a:lumMod val="75000"/>
                  <a:lumOff val="25000"/>
                </a:schemeClr>
              </a:solidFill>
              <a:round/>
            </a:ln>
            <a:effectLst/>
          </c:spPr>
          <c:marker>
            <c:symbol val="circle"/>
            <c:size val="8"/>
            <c:spPr>
              <a:solidFill>
                <a:schemeClr val="tx1">
                  <a:lumMod val="75000"/>
                  <a:lumOff val="25000"/>
                </a:schemeClr>
              </a:solidFill>
              <a:ln w="19050">
                <a:solidFill>
                  <a:schemeClr val="tx1">
                    <a:lumMod val="75000"/>
                    <a:lumOff val="25000"/>
                  </a:schemeClr>
                </a:solidFill>
              </a:ln>
              <a:effectLst/>
            </c:spPr>
          </c:marker>
          <c:xVal>
            <c:numRef>
              <c:f>'Model | 1 Year'!$D$11:$I$11</c:f>
              <c:numCache>
                <c:formatCode>General</c:formatCode>
                <c:ptCount val="6"/>
                <c:pt idx="0">
                  <c:v>0</c:v>
                </c:pt>
                <c:pt idx="1">
                  <c:v>4</c:v>
                </c:pt>
                <c:pt idx="2">
                  <c:v>12</c:v>
                </c:pt>
                <c:pt idx="3">
                  <c:v>26</c:v>
                </c:pt>
                <c:pt idx="4">
                  <c:v>39</c:v>
                </c:pt>
                <c:pt idx="5">
                  <c:v>52</c:v>
                </c:pt>
              </c:numCache>
            </c:numRef>
          </c:xVal>
          <c:yVal>
            <c:numRef>
              <c:f>'Model | 1 Year'!$D$36:$I$36</c:f>
              <c:numCache>
                <c:formatCode>0.000</c:formatCode>
                <c:ptCount val="6"/>
                <c:pt idx="0">
                  <c:v>0.61362596539047631</c:v>
                </c:pt>
                <c:pt idx="1">
                  <c:v>0.69329980131751356</c:v>
                </c:pt>
                <c:pt idx="2">
                  <c:v>0.72578649933203632</c:v>
                </c:pt>
                <c:pt idx="3">
                  <c:v>0.73343849720188414</c:v>
                </c:pt>
                <c:pt idx="4">
                  <c:v>0.74083763730724606</c:v>
                </c:pt>
                <c:pt idx="5">
                  <c:v>0.74684645347165302</c:v>
                </c:pt>
              </c:numCache>
            </c:numRef>
          </c:yVal>
          <c:smooth val="0"/>
          <c:extLst>
            <c:ext xmlns:c16="http://schemas.microsoft.com/office/drawing/2014/chart" uri="{C3380CC4-5D6E-409C-BE32-E72D297353CC}">
              <c16:uniqueId val="{00000002-5EDF-A346-88A2-4502DE30AE1A}"/>
            </c:ext>
          </c:extLst>
        </c:ser>
        <c:dLbls>
          <c:showLegendKey val="0"/>
          <c:showVal val="0"/>
          <c:showCatName val="0"/>
          <c:showSerName val="0"/>
          <c:showPercent val="0"/>
          <c:showBubbleSize val="0"/>
        </c:dLbls>
        <c:axId val="643459775"/>
        <c:axId val="642811903"/>
      </c:scatterChart>
      <c:valAx>
        <c:axId val="643459775"/>
        <c:scaling>
          <c:orientation val="minMax"/>
          <c:max val="5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Months</a:t>
                </a:r>
              </a:p>
            </c:rich>
          </c:tx>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42811903"/>
        <c:crosses val="autoZero"/>
        <c:crossBetween val="midCat"/>
        <c:majorUnit val="4"/>
        <c:minorUnit val="4"/>
      </c:valAx>
      <c:valAx>
        <c:axId val="6428119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Health</a:t>
                </a:r>
                <a:r>
                  <a:rPr lang="en-US" sz="1800" baseline="0"/>
                  <a:t> Related Quality of Life </a:t>
                </a:r>
                <a:r>
                  <a:rPr lang="en-US" sz="1800"/>
                  <a:t>(QALY)</a:t>
                </a: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43459775"/>
        <c:crosses val="autoZero"/>
        <c:crossBetween val="midCat"/>
        <c:majorUnit val="0.2"/>
        <c:minorUnit val="0.2"/>
      </c:valAx>
      <c:spPr>
        <a:noFill/>
        <a:ln>
          <a:noFill/>
        </a:ln>
        <a:effectLst/>
      </c:spPr>
    </c:plotArea>
    <c:legend>
      <c:legendPos val="t"/>
      <c:layout>
        <c:manualLayout>
          <c:xMode val="edge"/>
          <c:yMode val="edge"/>
          <c:x val="9.0446767141828976E-2"/>
          <c:y val="2.1490791684512265E-2"/>
          <c:w val="0.88226810325380534"/>
          <c:h val="0.13041412710440481"/>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0"/>
          <c:tx>
            <c:strRef>
              <c:f>'Ref | NHWS RU'!$U$9</c:f>
              <c:strCache>
                <c:ptCount val="1"/>
                <c:pt idx="0">
                  <c:v>GP visits</c:v>
                </c:pt>
              </c:strCache>
            </c:strRef>
          </c:tx>
          <c:spPr>
            <a:solidFill>
              <a:schemeClr val="tx1"/>
            </a:solidFill>
            <a:ln w="25400">
              <a:solidFill>
                <a:schemeClr val="tx1"/>
              </a:solidFill>
            </a:ln>
            <a:effectLst/>
          </c:spPr>
          <c:invertIfNegative val="0"/>
          <c:cat>
            <c:numRef>
              <c:f>'Ref | NHWS RU'!$T$10:$T$38</c:f>
              <c:numCache>
                <c:formatCode>0</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'Ref | NHWS RU'!$U$10:$U$38</c:f>
              <c:numCache>
                <c:formatCode>_("£"* #,##0_);_("£"* \(#,##0\);_("£"* "-"??_);_(@_)</c:formatCode>
                <c:ptCount val="29"/>
                <c:pt idx="0">
                  <c:v>256.42545214467509</c:v>
                </c:pt>
                <c:pt idx="1">
                  <c:v>260.56125759243218</c:v>
                </c:pt>
                <c:pt idx="2">
                  <c:v>264.76376814515697</c:v>
                </c:pt>
                <c:pt idx="3">
                  <c:v>269.03405966850244</c:v>
                </c:pt>
                <c:pt idx="4">
                  <c:v>273.37322538042025</c:v>
                </c:pt>
                <c:pt idx="5">
                  <c:v>277.7823761310305</c:v>
                </c:pt>
                <c:pt idx="6">
                  <c:v>282.26264068700539</c:v>
                </c:pt>
                <c:pt idx="7">
                  <c:v>286.81516602053972</c:v>
                </c:pt>
                <c:pt idx="8">
                  <c:v>291.44111760298182</c:v>
                </c:pt>
                <c:pt idx="9">
                  <c:v>296.14167970320102</c:v>
                </c:pt>
                <c:pt idx="10">
                  <c:v>300.91805569076649</c:v>
                </c:pt>
                <c:pt idx="11">
                  <c:v>305.77146834401657</c:v>
                </c:pt>
                <c:pt idx="12">
                  <c:v>310.70316016309687</c:v>
                </c:pt>
                <c:pt idx="13">
                  <c:v>315.71439368804698</c:v>
                </c:pt>
                <c:pt idx="14">
                  <c:v>320.80645182201749</c:v>
                </c:pt>
                <c:pt idx="15">
                  <c:v>325.98063815970028</c:v>
                </c:pt>
                <c:pt idx="16">
                  <c:v>331.23827732105616</c:v>
                </c:pt>
                <c:pt idx="17">
                  <c:v>336.58071529042422</c:v>
                </c:pt>
                <c:pt idx="18">
                  <c:v>342.00931976110184</c:v>
                </c:pt>
                <c:pt idx="19">
                  <c:v>347.52548048548101</c:v>
                </c:pt>
                <c:pt idx="20">
                  <c:v>353.13060963083331</c:v>
                </c:pt>
                <c:pt idx="21">
                  <c:v>358.82614214083151</c:v>
                </c:pt>
                <c:pt idx="22">
                  <c:v>364.61353610290359</c:v>
                </c:pt>
                <c:pt idx="23">
                  <c:v>370.49427312151118</c:v>
                </c:pt>
                <c:pt idx="24">
                  <c:v>376.46985869744782</c:v>
                </c:pt>
                <c:pt idx="25">
                  <c:v>382.54182261325593</c:v>
                </c:pt>
                <c:pt idx="26">
                  <c:v>388.71171932485925</c:v>
                </c:pt>
                <c:pt idx="27">
                  <c:v>394.98112835951213</c:v>
                </c:pt>
                <c:pt idx="28">
                  <c:v>401.35165472016712</c:v>
                </c:pt>
              </c:numCache>
            </c:numRef>
          </c:val>
          <c:extLst>
            <c:ext xmlns:c16="http://schemas.microsoft.com/office/drawing/2014/chart" uri="{C3380CC4-5D6E-409C-BE32-E72D297353CC}">
              <c16:uniqueId val="{00000000-314B-6F44-B383-85764C3374A9}"/>
            </c:ext>
          </c:extLst>
        </c:ser>
        <c:ser>
          <c:idx val="2"/>
          <c:order val="1"/>
          <c:tx>
            <c:strRef>
              <c:f>'Ref | NHWS RU'!$V$9</c:f>
              <c:strCache>
                <c:ptCount val="1"/>
                <c:pt idx="0">
                  <c:v>ER attendances</c:v>
                </c:pt>
              </c:strCache>
            </c:strRef>
          </c:tx>
          <c:spPr>
            <a:solidFill>
              <a:schemeClr val="bg1">
                <a:lumMod val="85000"/>
              </a:schemeClr>
            </a:solidFill>
            <a:ln w="25400">
              <a:solidFill>
                <a:schemeClr val="bg1">
                  <a:lumMod val="75000"/>
                </a:schemeClr>
              </a:solidFill>
            </a:ln>
            <a:effectLst/>
          </c:spPr>
          <c:invertIfNegative val="0"/>
          <c:cat>
            <c:numRef>
              <c:f>'Ref | NHWS RU'!$T$10:$T$38</c:f>
              <c:numCache>
                <c:formatCode>0</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'Ref | NHWS RU'!$V$10:$V$38</c:f>
              <c:numCache>
                <c:formatCode>_("£"* #,##0_);_("£"* \(#,##0\);_("£"* "-"??_);_(@_)</c:formatCode>
                <c:ptCount val="29"/>
                <c:pt idx="0">
                  <c:v>56.84883167475575</c:v>
                </c:pt>
                <c:pt idx="1">
                  <c:v>58.697413860329405</c:v>
                </c:pt>
                <c:pt idx="2">
                  <c:v>60.606107326929397</c:v>
                </c:pt>
                <c:pt idx="3">
                  <c:v>62.576866743455398</c:v>
                </c:pt>
                <c:pt idx="4">
                  <c:v>64.611710339763405</c:v>
                </c:pt>
                <c:pt idx="5">
                  <c:v>66.712721973509417</c:v>
                </c:pt>
                <c:pt idx="6">
                  <c:v>68.8820532642019</c:v>
                </c:pt>
                <c:pt idx="7">
                  <c:v>71.121925796648043</c:v>
                </c:pt>
                <c:pt idx="8">
                  <c:v>73.434633396050785</c:v>
                </c:pt>
                <c:pt idx="9">
                  <c:v>75.822544477086296</c:v>
                </c:pt>
                <c:pt idx="10">
                  <c:v>78.288104469367525</c:v>
                </c:pt>
                <c:pt idx="11">
                  <c:v>80.833838321777847</c:v>
                </c:pt>
                <c:pt idx="12">
                  <c:v>83.462353088239354</c:v>
                </c:pt>
                <c:pt idx="13">
                  <c:v>86.176340597563836</c:v>
                </c:pt>
                <c:pt idx="14">
                  <c:v>88.978580210120796</c:v>
                </c:pt>
                <c:pt idx="15">
                  <c:v>91.871941664145311</c:v>
                </c:pt>
                <c:pt idx="16">
                  <c:v>94.859388014600682</c:v>
                </c:pt>
                <c:pt idx="17">
                  <c:v>97.943978667605762</c:v>
                </c:pt>
                <c:pt idx="18">
                  <c:v>101.12887251353403</c:v>
                </c:pt>
                <c:pt idx="19">
                  <c:v>104.41733116199352</c:v>
                </c:pt>
                <c:pt idx="20">
                  <c:v>107.81272228199994</c:v>
                </c:pt>
                <c:pt idx="21">
                  <c:v>111.31852305076414</c:v>
                </c:pt>
                <c:pt idx="22">
                  <c:v>114.9383237146253</c:v>
                </c:pt>
                <c:pt idx="23">
                  <c:v>118.67583126577705</c:v>
                </c:pt>
                <c:pt idx="24">
                  <c:v>122.5348732385513</c:v>
                </c:pt>
                <c:pt idx="25">
                  <c:v>126.51940162914791</c:v>
                </c:pt>
                <c:pt idx="26">
                  <c:v>130.63349694282414</c:v>
                </c:pt>
                <c:pt idx="27">
                  <c:v>134.88137237268859</c:v>
                </c:pt>
                <c:pt idx="28">
                  <c:v>139.26737811437914</c:v>
                </c:pt>
              </c:numCache>
            </c:numRef>
          </c:val>
          <c:extLst>
            <c:ext xmlns:c16="http://schemas.microsoft.com/office/drawing/2014/chart" uri="{C3380CC4-5D6E-409C-BE32-E72D297353CC}">
              <c16:uniqueId val="{00000001-314B-6F44-B383-85764C3374A9}"/>
            </c:ext>
          </c:extLst>
        </c:ser>
        <c:ser>
          <c:idx val="3"/>
          <c:order val="2"/>
          <c:tx>
            <c:strRef>
              <c:f>'Ref | NHWS RU'!$W$9</c:f>
              <c:strCache>
                <c:ptCount val="1"/>
                <c:pt idx="0">
                  <c:v> IP stays </c:v>
                </c:pt>
              </c:strCache>
            </c:strRef>
          </c:tx>
          <c:spPr>
            <a:solidFill>
              <a:schemeClr val="bg2">
                <a:lumMod val="50000"/>
              </a:schemeClr>
            </a:solidFill>
            <a:ln w="25400">
              <a:solidFill>
                <a:schemeClr val="bg2">
                  <a:lumMod val="50000"/>
                </a:schemeClr>
              </a:solidFill>
            </a:ln>
            <a:effectLst/>
          </c:spPr>
          <c:invertIfNegative val="0"/>
          <c:cat>
            <c:numRef>
              <c:f>'Ref | NHWS RU'!$T$10:$T$38</c:f>
              <c:numCache>
                <c:formatCode>0</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'Ref | NHWS RU'!$W$10:$W$38</c:f>
              <c:numCache>
                <c:formatCode>_("£"* #,##0_);_("£"* \(#,##0\);_("£"* "-"??_);_(@_)</c:formatCode>
                <c:ptCount val="29"/>
                <c:pt idx="0">
                  <c:v>164.59501122780273</c:v>
                </c:pt>
                <c:pt idx="1">
                  <c:v>167.45498568498022</c:v>
                </c:pt>
                <c:pt idx="2">
                  <c:v>170.36465456384579</c:v>
                </c:pt>
                <c:pt idx="3">
                  <c:v>173.32488134607874</c:v>
                </c:pt>
                <c:pt idx="4">
                  <c:v>176.33654451706659</c:v>
                </c:pt>
                <c:pt idx="5">
                  <c:v>179.40053782660726</c:v>
                </c:pt>
                <c:pt idx="6">
                  <c:v>182.5177705541405</c:v>
                </c:pt>
                <c:pt idx="7">
                  <c:v>185.6891677785884</c:v>
                </c:pt>
                <c:pt idx="8">
                  <c:v>188.91567065288456</c:v>
                </c:pt>
                <c:pt idx="9">
                  <c:v>192.19823668327311</c:v>
                </c:pt>
                <c:pt idx="10">
                  <c:v>195.53784001346122</c:v>
                </c:pt>
                <c:pt idx="11">
                  <c:v>198.93547171370864</c:v>
                </c:pt>
                <c:pt idx="12">
                  <c:v>202.39214007494064</c:v>
                </c:pt>
                <c:pt idx="13">
                  <c:v>205.90887090797114</c:v>
                </c:pt>
                <c:pt idx="14">
                  <c:v>209.48670784792566</c:v>
                </c:pt>
                <c:pt idx="15">
                  <c:v>213.12671266395301</c:v>
                </c:pt>
                <c:pt idx="16">
                  <c:v>216.82996557431917</c:v>
                </c:pt>
                <c:pt idx="17">
                  <c:v>220.5975655669761</c:v>
                </c:pt>
                <c:pt idx="18">
                  <c:v>224.43063072570021</c:v>
                </c:pt>
                <c:pt idx="19">
                  <c:v>228.33029856189842</c:v>
                </c:pt>
                <c:pt idx="20">
                  <c:v>232.29772635217907</c:v>
                </c:pt>
                <c:pt idx="21">
                  <c:v>236.33409148178893</c:v>
                </c:pt>
                <c:pt idx="22">
                  <c:v>240.44059179401711</c:v>
                </c:pt>
                <c:pt idx="23">
                  <c:v>244.61844594567063</c:v>
                </c:pt>
                <c:pt idx="24">
                  <c:v>248.86889376872654</c:v>
                </c:pt>
                <c:pt idx="25">
                  <c:v>253.19319663826792</c:v>
                </c:pt>
                <c:pt idx="26">
                  <c:v>257.5926378468132</c:v>
                </c:pt>
                <c:pt idx="27">
                  <c:v>262.0685229851498</c:v>
                </c:pt>
                <c:pt idx="28">
                  <c:v>266.62218032978478</c:v>
                </c:pt>
              </c:numCache>
            </c:numRef>
          </c:val>
          <c:extLst>
            <c:ext xmlns:c16="http://schemas.microsoft.com/office/drawing/2014/chart" uri="{C3380CC4-5D6E-409C-BE32-E72D297353CC}">
              <c16:uniqueId val="{00000002-314B-6F44-B383-85764C3374A9}"/>
            </c:ext>
          </c:extLst>
        </c:ser>
        <c:ser>
          <c:idx val="0"/>
          <c:order val="3"/>
          <c:tx>
            <c:v>OP+meds</c:v>
          </c:tx>
          <c:spPr>
            <a:noFill/>
            <a:ln w="25400">
              <a:solidFill>
                <a:schemeClr val="bg1">
                  <a:lumMod val="65000"/>
                </a:schemeClr>
              </a:solidFill>
            </a:ln>
            <a:effectLst/>
          </c:spPr>
          <c:invertIfNegative val="0"/>
          <c:val>
            <c:numRef>
              <c:f>'Ref | NHWS RU'!$X$10:$X$38</c:f>
              <c:numCache>
                <c:formatCode>_("£"* #,##0_);_("£"* \(#,##0\);_("£"* "-"??_);_(@_)</c:formatCode>
                <c:ptCount val="29"/>
                <c:pt idx="0">
                  <c:v>185.83805918503526</c:v>
                </c:pt>
                <c:pt idx="1">
                  <c:v>189.27753333134405</c:v>
                </c:pt>
                <c:pt idx="2">
                  <c:v>192.78565056952925</c:v>
                </c:pt>
                <c:pt idx="3">
                  <c:v>196.36392523923644</c:v>
                </c:pt>
                <c:pt idx="4">
                  <c:v>200.01390898115289</c:v>
                </c:pt>
                <c:pt idx="5">
                  <c:v>203.73719175100166</c:v>
                </c:pt>
                <c:pt idx="6">
                  <c:v>207.53540286319082</c:v>
                </c:pt>
                <c:pt idx="7">
                  <c:v>211.4102120650241</c:v>
                </c:pt>
                <c:pt idx="8">
                  <c:v>215.36333064241228</c:v>
                </c:pt>
                <c:pt idx="9">
                  <c:v>219.39651255805131</c:v>
                </c:pt>
                <c:pt idx="10">
                  <c:v>223.51155562306485</c:v>
                </c:pt>
                <c:pt idx="11">
                  <c:v>227.71030270314009</c:v>
                </c:pt>
                <c:pt idx="12">
                  <c:v>231.99464296021881</c:v>
                </c:pt>
                <c:pt idx="13">
                  <c:v>236.36651313083746</c:v>
                </c:pt>
                <c:pt idx="14">
                  <c:v>240.82789884224712</c:v>
                </c:pt>
                <c:pt idx="15">
                  <c:v>245.38083596747731</c:v>
                </c:pt>
                <c:pt idx="16">
                  <c:v>250.02741202054631</c:v>
                </c:pt>
                <c:pt idx="17">
                  <c:v>254.76976759305796</c:v>
                </c:pt>
                <c:pt idx="18">
                  <c:v>259.61009783346412</c:v>
                </c:pt>
                <c:pt idx="19">
                  <c:v>264.55065397031171</c:v>
                </c:pt>
                <c:pt idx="20">
                  <c:v>269.59374488083813</c:v>
                </c:pt>
                <c:pt idx="21">
                  <c:v>274.74173870631626</c:v>
                </c:pt>
                <c:pt idx="22">
                  <c:v>279.99706451560121</c:v>
                </c:pt>
                <c:pt idx="23">
                  <c:v>285.36221401837292</c:v>
                </c:pt>
                <c:pt idx="24">
                  <c:v>290.83974332961554</c:v>
                </c:pt>
                <c:pt idx="25">
                  <c:v>296.43227478692791</c:v>
                </c:pt>
                <c:pt idx="26">
                  <c:v>302.14249882230433</c:v>
                </c:pt>
                <c:pt idx="27">
                  <c:v>307.97317589008082</c:v>
                </c:pt>
                <c:pt idx="28">
                  <c:v>313.92713845279548</c:v>
                </c:pt>
              </c:numCache>
            </c:numRef>
          </c:val>
          <c:extLst>
            <c:ext xmlns:c16="http://schemas.microsoft.com/office/drawing/2014/chart" uri="{C3380CC4-5D6E-409C-BE32-E72D297353CC}">
              <c16:uniqueId val="{00000000-23C8-2543-A892-BD541B4FD2E4}"/>
            </c:ext>
          </c:extLst>
        </c:ser>
        <c:dLbls>
          <c:showLegendKey val="0"/>
          <c:showVal val="0"/>
          <c:showCatName val="0"/>
          <c:showSerName val="0"/>
          <c:showPercent val="0"/>
          <c:showBubbleSize val="0"/>
        </c:dLbls>
        <c:gapWidth val="150"/>
        <c:overlap val="100"/>
        <c:axId val="464361056"/>
        <c:axId val="371476688"/>
      </c:barChart>
      <c:catAx>
        <c:axId val="464361056"/>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ISI Total Score</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1476688"/>
        <c:crosses val="autoZero"/>
        <c:auto val="1"/>
        <c:lblAlgn val="ctr"/>
        <c:lblOffset val="100"/>
        <c:noMultiLvlLbl val="0"/>
      </c:catAx>
      <c:valAx>
        <c:axId val="37147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Total</a:t>
                </a:r>
                <a:r>
                  <a:rPr lang="en-GB" sz="2000" baseline="0"/>
                  <a:t> cost of HCRU</a:t>
                </a:r>
                <a:endParaRPr lang="en-GB" sz="2000"/>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464361056"/>
        <c:crosses val="autoZero"/>
        <c:crossBetween val="between"/>
      </c:valAx>
      <c:spPr>
        <a:noFill/>
        <a:ln>
          <a:noFill/>
        </a:ln>
        <a:effectLst/>
      </c:spPr>
    </c:plotArea>
    <c:legend>
      <c:legendPos val="b"/>
      <c:layout>
        <c:manualLayout>
          <c:xMode val="edge"/>
          <c:yMode val="edge"/>
          <c:x val="0.24317548632754268"/>
          <c:y val="3.2327010595744846E-2"/>
          <c:w val="0.49163968589874424"/>
          <c:h val="4.794764932626099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0"/>
          <c:tx>
            <c:strRef>
              <c:f>'Ref | NHWS RU'!$Y$9</c:f>
              <c:strCache>
                <c:ptCount val="1"/>
                <c:pt idx="0">
                  <c:v> GP visits </c:v>
                </c:pt>
              </c:strCache>
            </c:strRef>
          </c:tx>
          <c:spPr>
            <a:solidFill>
              <a:srgbClr val="4C627F"/>
            </a:solidFill>
            <a:ln>
              <a:noFill/>
            </a:ln>
            <a:effectLst/>
          </c:spPr>
          <c:invertIfNegative val="0"/>
          <c:cat>
            <c:numRef>
              <c:f>'Ref | NHWS RU'!$T$10:$T$37</c:f>
              <c:numCache>
                <c:formatCode>0</c:formatCode>
                <c:ptCount val="2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numCache>
            </c:numRef>
          </c:cat>
          <c:val>
            <c:numRef>
              <c:f>'Ref | NHWS RU'!$Y$10:$Y$37</c:f>
              <c:numCache>
                <c:formatCode>_("£"* #,##0_);_("£"* \(#,##0\);_("£"* "-"??_);_(@_)</c:formatCode>
                <c:ptCount val="28"/>
                <c:pt idx="0">
                  <c:v>4.1358054477570931</c:v>
                </c:pt>
                <c:pt idx="1">
                  <c:v>4.2025105527247888</c:v>
                </c:pt>
                <c:pt idx="2">
                  <c:v>4.2702915233454632</c:v>
                </c:pt>
                <c:pt idx="3">
                  <c:v>4.3391657119178149</c:v>
                </c:pt>
                <c:pt idx="4">
                  <c:v>4.4091507506102516</c:v>
                </c:pt>
                <c:pt idx="5">
                  <c:v>4.4802645559748839</c:v>
                </c:pt>
                <c:pt idx="6">
                  <c:v>4.5525253335343336</c:v>
                </c:pt>
                <c:pt idx="7">
                  <c:v>4.6259515824420987</c:v>
                </c:pt>
                <c:pt idx="8">
                  <c:v>4.7005621002192015</c:v>
                </c:pt>
                <c:pt idx="9">
                  <c:v>4.7763759875654728</c:v>
                </c:pt>
                <c:pt idx="10">
                  <c:v>4.853412653250075</c:v>
                </c:pt>
                <c:pt idx="11">
                  <c:v>4.9316918190802994</c:v>
                </c:pt>
                <c:pt idx="12">
                  <c:v>5.0112335249501143</c:v>
                </c:pt>
                <c:pt idx="13">
                  <c:v>5.0920581339705109</c:v>
                </c:pt>
                <c:pt idx="14">
                  <c:v>5.1741863376827837</c:v>
                </c:pt>
                <c:pt idx="15">
                  <c:v>5.2576391613558826</c:v>
                </c:pt>
                <c:pt idx="16">
                  <c:v>5.3424379693680635</c:v>
                </c:pt>
                <c:pt idx="17">
                  <c:v>5.4286044706776124</c:v>
                </c:pt>
                <c:pt idx="18">
                  <c:v>5.5161607243791764</c:v>
                </c:pt>
                <c:pt idx="19">
                  <c:v>5.6051291453522936</c:v>
                </c:pt>
                <c:pt idx="20">
                  <c:v>5.6955325099982019</c:v>
                </c:pt>
                <c:pt idx="21">
                  <c:v>5.7873939620720876</c:v>
                </c:pt>
                <c:pt idx="22">
                  <c:v>5.88073701860759</c:v>
                </c:pt>
                <c:pt idx="23">
                  <c:v>5.9755855759366341</c:v>
                </c:pt>
                <c:pt idx="24">
                  <c:v>6.0719639158081122</c:v>
                </c:pt>
                <c:pt idx="25">
                  <c:v>6.1698967116033145</c:v>
                </c:pt>
                <c:pt idx="26">
                  <c:v>6.269409034652881</c:v>
                </c:pt>
                <c:pt idx="27">
                  <c:v>6.370526360654992</c:v>
                </c:pt>
              </c:numCache>
            </c:numRef>
          </c:val>
          <c:extLst>
            <c:ext xmlns:c16="http://schemas.microsoft.com/office/drawing/2014/chart" uri="{C3380CC4-5D6E-409C-BE32-E72D297353CC}">
              <c16:uniqueId val="{00000000-1F5D-4F40-8090-CE7243AE059F}"/>
            </c:ext>
          </c:extLst>
        </c:ser>
        <c:ser>
          <c:idx val="2"/>
          <c:order val="1"/>
          <c:tx>
            <c:strRef>
              <c:f>'Ref | NHWS RU'!$Z$9</c:f>
              <c:strCache>
                <c:ptCount val="1"/>
                <c:pt idx="0">
                  <c:v> ER attendances </c:v>
                </c:pt>
              </c:strCache>
            </c:strRef>
          </c:tx>
          <c:spPr>
            <a:solidFill>
              <a:schemeClr val="accent3"/>
            </a:solidFill>
            <a:ln>
              <a:noFill/>
            </a:ln>
            <a:effectLst/>
          </c:spPr>
          <c:invertIfNegative val="0"/>
          <c:cat>
            <c:numRef>
              <c:f>'Ref | NHWS RU'!$T$10:$T$37</c:f>
              <c:numCache>
                <c:formatCode>0</c:formatCode>
                <c:ptCount val="2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numCache>
            </c:numRef>
          </c:cat>
          <c:val>
            <c:numRef>
              <c:f>'Ref | NHWS RU'!$Z$10:$Z$37</c:f>
              <c:numCache>
                <c:formatCode>_("£"* #,##0_);_("£"* \(#,##0\);_("£"* "-"??_);_(@_)</c:formatCode>
                <c:ptCount val="28"/>
                <c:pt idx="0">
                  <c:v>1.8485821855736546</c:v>
                </c:pt>
                <c:pt idx="1">
                  <c:v>1.908693466599992</c:v>
                </c:pt>
                <c:pt idx="2">
                  <c:v>1.9707594165260005</c:v>
                </c:pt>
                <c:pt idx="3">
                  <c:v>2.0348435963080078</c:v>
                </c:pt>
                <c:pt idx="4">
                  <c:v>2.1010116337460119</c:v>
                </c:pt>
                <c:pt idx="5">
                  <c:v>2.1693312906924831</c:v>
                </c:pt>
                <c:pt idx="6">
                  <c:v>2.2398725324461424</c:v>
                </c:pt>
                <c:pt idx="7">
                  <c:v>2.3127075994027422</c:v>
                </c:pt>
                <c:pt idx="8">
                  <c:v>2.3879110810355115</c:v>
                </c:pt>
                <c:pt idx="9">
                  <c:v>2.4655599922812286</c:v>
                </c:pt>
                <c:pt idx="10">
                  <c:v>2.5457338524103221</c:v>
                </c:pt>
                <c:pt idx="11">
                  <c:v>2.6285147664615067</c:v>
                </c:pt>
                <c:pt idx="12">
                  <c:v>2.7139875093244825</c:v>
                </c:pt>
                <c:pt idx="13">
                  <c:v>2.80223961255696</c:v>
                </c:pt>
                <c:pt idx="14">
                  <c:v>2.8933614540245145</c:v>
                </c:pt>
                <c:pt idx="15">
                  <c:v>2.9874463504553717</c:v>
                </c:pt>
                <c:pt idx="16">
                  <c:v>3.0845906530050797</c:v>
                </c:pt>
                <c:pt idx="17">
                  <c:v>3.1848938459282721</c:v>
                </c:pt>
                <c:pt idx="18">
                  <c:v>3.288458648459482</c:v>
                </c:pt>
                <c:pt idx="19">
                  <c:v>3.3953911200064226</c:v>
                </c:pt>
                <c:pt idx="20">
                  <c:v>3.5058007687642032</c:v>
                </c:pt>
                <c:pt idx="21">
                  <c:v>3.619800663861156</c:v>
                </c:pt>
                <c:pt idx="22">
                  <c:v>3.7375075511517508</c:v>
                </c:pt>
                <c:pt idx="23">
                  <c:v>3.85904197277425</c:v>
                </c:pt>
                <c:pt idx="24">
                  <c:v>3.9845283905966085</c:v>
                </c:pt>
                <c:pt idx="25">
                  <c:v>4.1140953136762306</c:v>
                </c:pt>
                <c:pt idx="26">
                  <c:v>4.2478754298644503</c:v>
                </c:pt>
                <c:pt idx="27">
                  <c:v>4.3860057416905534</c:v>
                </c:pt>
              </c:numCache>
            </c:numRef>
          </c:val>
          <c:extLst>
            <c:ext xmlns:c16="http://schemas.microsoft.com/office/drawing/2014/chart" uri="{C3380CC4-5D6E-409C-BE32-E72D297353CC}">
              <c16:uniqueId val="{00000001-1F5D-4F40-8090-CE7243AE059F}"/>
            </c:ext>
          </c:extLst>
        </c:ser>
        <c:ser>
          <c:idx val="3"/>
          <c:order val="2"/>
          <c:tx>
            <c:strRef>
              <c:f>'Ref | NHWS RU'!$AA$9</c:f>
              <c:strCache>
                <c:ptCount val="1"/>
                <c:pt idx="0">
                  <c:v> IP stays </c:v>
                </c:pt>
              </c:strCache>
            </c:strRef>
          </c:tx>
          <c:spPr>
            <a:solidFill>
              <a:srgbClr val="CAB68E"/>
            </a:solidFill>
            <a:ln>
              <a:noFill/>
            </a:ln>
            <a:effectLst/>
          </c:spPr>
          <c:invertIfNegative val="0"/>
          <c:cat>
            <c:numRef>
              <c:f>'Ref | NHWS RU'!$T$10:$T$37</c:f>
              <c:numCache>
                <c:formatCode>0</c:formatCode>
                <c:ptCount val="2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numCache>
            </c:numRef>
          </c:cat>
          <c:val>
            <c:numRef>
              <c:f>'Ref | NHWS RU'!$AA$10:$AA$37</c:f>
              <c:numCache>
                <c:formatCode>_("£"* #,##0_);_("£"* \(#,##0\);_("£"* "-"??_);_(@_)</c:formatCode>
                <c:ptCount val="28"/>
                <c:pt idx="0">
                  <c:v>2.8599744571774863</c:v>
                </c:pt>
                <c:pt idx="1">
                  <c:v>2.909668878865574</c:v>
                </c:pt>
                <c:pt idx="2">
                  <c:v>2.9602267822329509</c:v>
                </c:pt>
                <c:pt idx="3">
                  <c:v>3.0116631709878448</c:v>
                </c:pt>
                <c:pt idx="4">
                  <c:v>3.0639933095406775</c:v>
                </c:pt>
                <c:pt idx="5">
                  <c:v>3.117232727533235</c:v>
                </c:pt>
                <c:pt idx="6">
                  <c:v>3.171397224447901</c:v>
                </c:pt>
                <c:pt idx="7">
                  <c:v>3.226502874296159</c:v>
                </c:pt>
                <c:pt idx="8">
                  <c:v>3.2825660303885513</c:v>
                </c:pt>
                <c:pt idx="9">
                  <c:v>3.3396033301881118</c:v>
                </c:pt>
                <c:pt idx="10">
                  <c:v>3.3976317002474161</c:v>
                </c:pt>
                <c:pt idx="11">
                  <c:v>3.4566683612320048</c:v>
                </c:pt>
                <c:pt idx="12">
                  <c:v>3.5167308330304934</c:v>
                </c:pt>
                <c:pt idx="13">
                  <c:v>3.5778369399545227</c:v>
                </c:pt>
                <c:pt idx="14">
                  <c:v>3.640004816027357</c:v>
                </c:pt>
                <c:pt idx="15">
                  <c:v>3.7032529103661602</c:v>
                </c:pt>
                <c:pt idx="16">
                  <c:v>3.7675999926569261</c:v>
                </c:pt>
                <c:pt idx="17">
                  <c:v>3.8330651587241107</c:v>
                </c:pt>
                <c:pt idx="18">
                  <c:v>3.8996678361982049</c:v>
                </c:pt>
                <c:pt idx="19">
                  <c:v>3.9674277902806523</c:v>
                </c:pt>
                <c:pt idx="20">
                  <c:v>4.0363651296098624</c:v>
                </c:pt>
                <c:pt idx="21">
                  <c:v>4.106500312228178</c:v>
                </c:pt>
                <c:pt idx="22">
                  <c:v>4.1778541516535199</c:v>
                </c:pt>
                <c:pt idx="23">
                  <c:v>4.2504478230559073</c:v>
                </c:pt>
                <c:pt idx="24">
                  <c:v>4.3243028695413841</c:v>
                </c:pt>
                <c:pt idx="25">
                  <c:v>4.3994412085452836</c:v>
                </c:pt>
                <c:pt idx="26">
                  <c:v>4.4758851383365936</c:v>
                </c:pt>
                <c:pt idx="27">
                  <c:v>4.5536573446349848</c:v>
                </c:pt>
              </c:numCache>
            </c:numRef>
          </c:val>
          <c:extLst>
            <c:ext xmlns:c16="http://schemas.microsoft.com/office/drawing/2014/chart" uri="{C3380CC4-5D6E-409C-BE32-E72D297353CC}">
              <c16:uniqueId val="{00000002-1F5D-4F40-8090-CE7243AE059F}"/>
            </c:ext>
          </c:extLst>
        </c:ser>
        <c:dLbls>
          <c:showLegendKey val="0"/>
          <c:showVal val="0"/>
          <c:showCatName val="0"/>
          <c:showSerName val="0"/>
          <c:showPercent val="0"/>
          <c:showBubbleSize val="0"/>
        </c:dLbls>
        <c:gapWidth val="150"/>
        <c:overlap val="100"/>
        <c:axId val="464361056"/>
        <c:axId val="371476688"/>
      </c:barChart>
      <c:catAx>
        <c:axId val="464361056"/>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ISI Total Score</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1476688"/>
        <c:crosses val="autoZero"/>
        <c:auto val="1"/>
        <c:lblAlgn val="ctr"/>
        <c:lblOffset val="100"/>
        <c:noMultiLvlLbl val="0"/>
      </c:catAx>
      <c:valAx>
        <c:axId val="37147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Total</a:t>
                </a:r>
                <a:r>
                  <a:rPr lang="en-GB" sz="2000" baseline="0"/>
                  <a:t> cost of HCRU</a:t>
                </a:r>
                <a:endParaRPr lang="en-GB" sz="2000"/>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464361056"/>
        <c:crosses val="autoZero"/>
        <c:crossBetween val="between"/>
      </c:valAx>
      <c:spPr>
        <a:noFill/>
        <a:ln>
          <a:noFill/>
        </a:ln>
        <a:effectLst/>
      </c:spPr>
    </c:plotArea>
    <c:legend>
      <c:legendPos val="b"/>
      <c:layout>
        <c:manualLayout>
          <c:xMode val="edge"/>
          <c:yMode val="edge"/>
          <c:x val="0.24317548632754268"/>
          <c:y val="3.2327010595744846E-2"/>
          <c:w val="0.18469451736751269"/>
          <c:h val="0.11287357675716327"/>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'Ref | NHWS RU'!$AG$9</c:f>
              <c:strCache>
                <c:ptCount val="1"/>
                <c:pt idx="0">
                  <c:v>Absenteeism</c:v>
                </c:pt>
              </c:strCache>
            </c:strRef>
          </c:tx>
          <c:spPr>
            <a:solidFill>
              <a:schemeClr val="tx1">
                <a:lumMod val="75000"/>
                <a:lumOff val="25000"/>
              </a:schemeClr>
            </a:solidFill>
            <a:ln>
              <a:solidFill>
                <a:schemeClr val="tx1">
                  <a:lumMod val="75000"/>
                  <a:lumOff val="25000"/>
                </a:schemeClr>
              </a:solidFill>
            </a:ln>
            <a:effectLst/>
          </c:spPr>
          <c:invertIfNegative val="0"/>
          <c:cat>
            <c:numRef>
              <c:f>'Ref | NHWS RU'!$AD$10:$AD$38</c:f>
              <c:numCache>
                <c:formatCode>0</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'Ref | NHWS RU'!$AG$10:$AG$38</c:f>
              <c:numCache>
                <c:formatCode>_("£"* #,##0_);_("£"* \(#,##0\);_("£"* "-"??_);_(@_)</c:formatCode>
                <c:ptCount val="29"/>
                <c:pt idx="0">
                  <c:v>1587.3874462221131</c:v>
                </c:pt>
                <c:pt idx="1">
                  <c:v>1709.3096050512363</c:v>
                </c:pt>
                <c:pt idx="2">
                  <c:v>1840.5962154192271</c:v>
                </c:pt>
                <c:pt idx="3">
                  <c:v>1981.9665309340098</c:v>
                </c:pt>
                <c:pt idx="4">
                  <c:v>2134.1950487754757</c:v>
                </c:pt>
                <c:pt idx="5">
                  <c:v>2298.11575277777</c:v>
                </c:pt>
                <c:pt idx="6">
                  <c:v>2474.6266824091708</c:v>
                </c:pt>
                <c:pt idx="7">
                  <c:v>2664.6948526807278</c:v>
                </c:pt>
                <c:pt idx="8">
                  <c:v>2869.3615519373552</c:v>
                </c:pt>
                <c:pt idx="9">
                  <c:v>3089.7480465553385</c:v>
                </c:pt>
                <c:pt idx="10">
                  <c:v>3327.0617237994416</c:v>
                </c:pt>
                <c:pt idx="11">
                  <c:v>3582.6027064932223</c:v>
                </c:pt>
                <c:pt idx="12">
                  <c:v>3857.7709757410776</c:v>
                </c:pt>
                <c:pt idx="13">
                  <c:v>4154.0740407237845</c:v>
                </c:pt>
                <c:pt idx="14">
                  <c:v>4473.1351975865537</c:v>
                </c:pt>
                <c:pt idx="15">
                  <c:v>4816.7024226658777</c:v>
                </c:pt>
                <c:pt idx="16">
                  <c:v>5186.6579487767494</c:v>
                </c:pt>
                <c:pt idx="17">
                  <c:v>5585.028577023867</c:v>
                </c:pt>
                <c:pt idx="18">
                  <c:v>6013.9967806301684</c:v>
                </c:pt>
                <c:pt idx="19">
                  <c:v>6475.9126616149215</c:v>
                </c:pt>
                <c:pt idx="20">
                  <c:v>6973.3068258260873</c:v>
                </c:pt>
                <c:pt idx="21">
                  <c:v>7508.9042468627731</c:v>
                </c:pt>
                <c:pt idx="22">
                  <c:v>8085.6391948413057</c:v>
                </c:pt>
                <c:pt idx="23">
                  <c:v>8706.6713117920899</c:v>
                </c:pt>
                <c:pt idx="24">
                  <c:v>9375.4029217564221</c:v>
                </c:pt>
                <c:pt idx="25">
                  <c:v>10095.497670416458</c:v>
                </c:pt>
                <c:pt idx="26">
                  <c:v>10870.900596375679</c:v>
                </c:pt>
                <c:pt idx="27">
                  <c:v>11705.859744050249</c:v>
                </c:pt>
                <c:pt idx="28">
                  <c:v>12604.949436577546</c:v>
                </c:pt>
              </c:numCache>
            </c:numRef>
          </c:val>
          <c:extLst>
            <c:ext xmlns:c16="http://schemas.microsoft.com/office/drawing/2014/chart" uri="{C3380CC4-5D6E-409C-BE32-E72D297353CC}">
              <c16:uniqueId val="{00000000-CF6D-B543-B583-2AD73A42535F}"/>
            </c:ext>
          </c:extLst>
        </c:ser>
        <c:ser>
          <c:idx val="1"/>
          <c:order val="1"/>
          <c:tx>
            <c:strRef>
              <c:f>'Ref | NHWS RU'!$AH$9</c:f>
              <c:strCache>
                <c:ptCount val="1"/>
                <c:pt idx="0">
                  <c:v>Presenteeism</c:v>
                </c:pt>
              </c:strCache>
            </c:strRef>
          </c:tx>
          <c:spPr>
            <a:solidFill>
              <a:schemeClr val="bg1">
                <a:lumMod val="75000"/>
              </a:schemeClr>
            </a:solidFill>
            <a:ln>
              <a:solidFill>
                <a:schemeClr val="bg1">
                  <a:lumMod val="85000"/>
                </a:schemeClr>
              </a:solidFill>
            </a:ln>
            <a:effectLst/>
          </c:spPr>
          <c:invertIfNegative val="0"/>
          <c:cat>
            <c:numRef>
              <c:f>'Ref | NHWS RU'!$AD$10:$AD$38</c:f>
              <c:numCache>
                <c:formatCode>0</c:formatCode>
                <c:ptCount val="2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'Ref | NHWS RU'!$AH$10:$AH$38</c:f>
              <c:numCache>
                <c:formatCode>_("£"* #,##0_);_("£"* \(#,##0\);_("£"* "-"??_);_(@_)</c:formatCode>
                <c:ptCount val="29"/>
                <c:pt idx="0">
                  <c:v>4832.7444806594212</c:v>
                </c:pt>
                <c:pt idx="1">
                  <c:v>5024.8811960915336</c:v>
                </c:pt>
                <c:pt idx="2">
                  <c:v>5222.4980702779612</c:v>
                </c:pt>
                <c:pt idx="3">
                  <c:v>5425.4455162414561</c:v>
                </c:pt>
                <c:pt idx="4">
                  <c:v>5633.5176093604978</c:v>
                </c:pt>
                <c:pt idx="5">
                  <c:v>5846.4433399505597</c:v>
                </c:pt>
                <c:pt idx="6">
                  <c:v>6063.8766941968433</c:v>
                </c:pt>
                <c:pt idx="7">
                  <c:v>6285.3854132738179</c:v>
                </c:pt>
                <c:pt idx="8">
                  <c:v>6510.4382615258155</c:v>
                </c:pt>
                <c:pt idx="9">
                  <c:v>6738.3906132399916</c:v>
                </c:pt>
                <c:pt idx="10">
                  <c:v>6968.4681435197717</c:v>
                </c:pt>
                <c:pt idx="11">
                  <c:v>7199.7483817273969</c:v>
                </c:pt>
                <c:pt idx="12">
                  <c:v>7431.1398555302067</c:v>
                </c:pt>
                <c:pt idx="13">
                  <c:v>7661.3585193313975</c:v>
                </c:pt>
                <c:pt idx="14">
                  <c:v>7888.9011223133948</c:v>
                </c:pt>
                <c:pt idx="15">
                  <c:v>8112.0151279317843</c:v>
                </c:pt>
                <c:pt idx="16">
                  <c:v>8328.6647478639497</c:v>
                </c:pt>
                <c:pt idx="17">
                  <c:v>8536.4925984564434</c:v>
                </c:pt>
                <c:pt idx="18">
                  <c:v>8732.7764258617954</c:v>
                </c:pt>
                <c:pt idx="19">
                  <c:v>8914.3802764439588</c:v>
                </c:pt>
                <c:pt idx="20">
                  <c:v>9077.6994106910606</c:v>
                </c:pt>
                <c:pt idx="21">
                  <c:v>9218.5981707097417</c:v>
                </c:pt>
                <c:pt idx="22">
                  <c:v>9332.3399121567672</c:v>
                </c:pt>
                <c:pt idx="23">
                  <c:v>9413.5079998057317</c:v>
                </c:pt>
                <c:pt idx="24">
                  <c:v>9455.9167402907151</c:v>
                </c:pt>
                <c:pt idx="25">
                  <c:v>9452.510984161323</c:v>
                </c:pt>
                <c:pt idx="26">
                  <c:v>9395.2529702509019</c:v>
                </c:pt>
                <c:pt idx="27">
                  <c:v>9274.9948062814674</c:v>
                </c:pt>
                <c:pt idx="28">
                  <c:v>9081.334778105931</c:v>
                </c:pt>
              </c:numCache>
            </c:numRef>
          </c:val>
          <c:extLst>
            <c:ext xmlns:c16="http://schemas.microsoft.com/office/drawing/2014/chart" uri="{C3380CC4-5D6E-409C-BE32-E72D297353CC}">
              <c16:uniqueId val="{00000001-CF6D-B543-B583-2AD73A42535F}"/>
            </c:ext>
          </c:extLst>
        </c:ser>
        <c:dLbls>
          <c:showLegendKey val="0"/>
          <c:showVal val="0"/>
          <c:showCatName val="0"/>
          <c:showSerName val="0"/>
          <c:showPercent val="0"/>
          <c:showBubbleSize val="0"/>
        </c:dLbls>
        <c:gapWidth val="150"/>
        <c:overlap val="100"/>
        <c:axId val="1325028080"/>
        <c:axId val="1324731728"/>
      </c:barChart>
      <c:catAx>
        <c:axId val="1325028080"/>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24731728"/>
        <c:crosses val="autoZero"/>
        <c:auto val="1"/>
        <c:lblAlgn val="ctr"/>
        <c:lblOffset val="100"/>
        <c:noMultiLvlLbl val="0"/>
      </c:catAx>
      <c:valAx>
        <c:axId val="13247317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Annual Productivity Losses</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25028080"/>
        <c:crosses val="autoZero"/>
        <c:crossBetween val="between"/>
      </c:valAx>
      <c:spPr>
        <a:noFill/>
        <a:ln>
          <a:noFill/>
        </a:ln>
        <a:effectLst/>
      </c:spPr>
    </c:plotArea>
    <c:legend>
      <c:legendPos val="b"/>
      <c:layout>
        <c:manualLayout>
          <c:xMode val="edge"/>
          <c:yMode val="edge"/>
          <c:x val="0.34217498451035644"/>
          <c:y val="0.12452223735695161"/>
          <c:w val="0.20647571333489073"/>
          <c:h val="0.1422031462677476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'Ref | NHWS RU'!$AI$9</c:f>
              <c:strCache>
                <c:ptCount val="1"/>
                <c:pt idx="0">
                  <c:v>Absenteeism</c:v>
                </c:pt>
              </c:strCache>
            </c:strRef>
          </c:tx>
          <c:spPr>
            <a:solidFill>
              <a:srgbClr val="4C627F"/>
            </a:solidFill>
            <a:ln>
              <a:noFill/>
            </a:ln>
            <a:effectLst/>
          </c:spPr>
          <c:invertIfNegative val="0"/>
          <c:cat>
            <c:numRef>
              <c:f>'Ref | NHWS RU'!$AD$10:$AD$37</c:f>
              <c:numCache>
                <c:formatCode>0</c:formatCode>
                <c:ptCount val="2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numCache>
            </c:numRef>
          </c:cat>
          <c:val>
            <c:numRef>
              <c:f>'Ref | NHWS RU'!$AI$10:$AI$37</c:f>
              <c:numCache>
                <c:formatCode>_("£"* #,##0_);_("£"* \(#,##0\);_("£"* "-"??_);_(@_)</c:formatCode>
                <c:ptCount val="28"/>
                <c:pt idx="0">
                  <c:v>121.92215882912319</c:v>
                </c:pt>
                <c:pt idx="1">
                  <c:v>131.28661036799076</c:v>
                </c:pt>
                <c:pt idx="2">
                  <c:v>141.37031551478276</c:v>
                </c:pt>
                <c:pt idx="3">
                  <c:v>152.22851784146587</c:v>
                </c:pt>
                <c:pt idx="4">
                  <c:v>163.92070400229431</c:v>
                </c:pt>
                <c:pt idx="5">
                  <c:v>176.51092963140081</c:v>
                </c:pt>
                <c:pt idx="6">
                  <c:v>190.06817027155694</c:v>
                </c:pt>
                <c:pt idx="7">
                  <c:v>204.66669925662745</c:v>
                </c:pt>
                <c:pt idx="8">
                  <c:v>220.38649461798332</c:v>
                </c:pt>
                <c:pt idx="9">
                  <c:v>237.31367724410302</c:v>
                </c:pt>
                <c:pt idx="10">
                  <c:v>255.54098269378073</c:v>
                </c:pt>
                <c:pt idx="11">
                  <c:v>275.16826924785528</c:v>
                </c:pt>
                <c:pt idx="12">
                  <c:v>296.30306498270693</c:v>
                </c:pt>
                <c:pt idx="13">
                  <c:v>319.06115686276917</c:v>
                </c:pt>
                <c:pt idx="14">
                  <c:v>343.56722507932409</c:v>
                </c:pt>
                <c:pt idx="15">
                  <c:v>369.95552611087169</c:v>
                </c:pt>
                <c:pt idx="16">
                  <c:v>398.37062824711757</c:v>
                </c:pt>
                <c:pt idx="17">
                  <c:v>428.96820360630136</c:v>
                </c:pt>
                <c:pt idx="18">
                  <c:v>461.91588098475313</c:v>
                </c:pt>
                <c:pt idx="19">
                  <c:v>497.39416421116584</c:v>
                </c:pt>
                <c:pt idx="20">
                  <c:v>535.59742103668577</c:v>
                </c:pt>
                <c:pt idx="21">
                  <c:v>576.73494797853255</c:v>
                </c:pt>
                <c:pt idx="22">
                  <c:v>621.03211695078426</c:v>
                </c:pt>
                <c:pt idx="23">
                  <c:v>668.73160996433216</c:v>
                </c:pt>
                <c:pt idx="24">
                  <c:v>720.0947486600362</c:v>
                </c:pt>
                <c:pt idx="25">
                  <c:v>775.40292595922074</c:v>
                </c:pt>
                <c:pt idx="26">
                  <c:v>834.95914767456998</c:v>
                </c:pt>
                <c:pt idx="27">
                  <c:v>899.0896925272973</c:v>
                </c:pt>
              </c:numCache>
            </c:numRef>
          </c:val>
          <c:extLst>
            <c:ext xmlns:c16="http://schemas.microsoft.com/office/drawing/2014/chart" uri="{C3380CC4-5D6E-409C-BE32-E72D297353CC}">
              <c16:uniqueId val="{00000000-3F5B-3244-A86E-F93F160169B9}"/>
            </c:ext>
          </c:extLst>
        </c:ser>
        <c:ser>
          <c:idx val="1"/>
          <c:order val="1"/>
          <c:tx>
            <c:strRef>
              <c:f>'Ref | NHWS RU'!$AJ$9</c:f>
              <c:strCache>
                <c:ptCount val="1"/>
                <c:pt idx="0">
                  <c:v>Presenteeism</c:v>
                </c:pt>
              </c:strCache>
            </c:strRef>
          </c:tx>
          <c:spPr>
            <a:solidFill>
              <a:srgbClr val="CAB68E"/>
            </a:solidFill>
            <a:ln>
              <a:noFill/>
            </a:ln>
            <a:effectLst/>
          </c:spPr>
          <c:invertIfNegative val="0"/>
          <c:cat>
            <c:numRef>
              <c:f>'Ref | NHWS RU'!$AD$10:$AD$37</c:f>
              <c:numCache>
                <c:formatCode>0</c:formatCode>
                <c:ptCount val="2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numCache>
            </c:numRef>
          </c:cat>
          <c:val>
            <c:numRef>
              <c:f>'Ref | NHWS RU'!$AJ$10:$AJ$37</c:f>
              <c:numCache>
                <c:formatCode>_("£"* #,##0_);_("£"* \(#,##0\);_("£"* "-"??_);_(@_)</c:formatCode>
                <c:ptCount val="28"/>
                <c:pt idx="0">
                  <c:v>192.1367154321124</c:v>
                </c:pt>
                <c:pt idx="1">
                  <c:v>197.61687418642759</c:v>
                </c:pt>
                <c:pt idx="2">
                  <c:v>202.94744596349483</c:v>
                </c:pt>
                <c:pt idx="3">
                  <c:v>208.07209311904171</c:v>
                </c:pt>
                <c:pt idx="4">
                  <c:v>212.9257305900619</c:v>
                </c:pt>
                <c:pt idx="5">
                  <c:v>217.43335424628367</c:v>
                </c:pt>
                <c:pt idx="6">
                  <c:v>221.50871907697456</c:v>
                </c:pt>
                <c:pt idx="7">
                  <c:v>225.0528482519976</c:v>
                </c:pt>
                <c:pt idx="8">
                  <c:v>227.95235171417607</c:v>
                </c:pt>
                <c:pt idx="9">
                  <c:v>230.07753027978015</c:v>
                </c:pt>
                <c:pt idx="10">
                  <c:v>231.28023820762519</c:v>
                </c:pt>
                <c:pt idx="11">
                  <c:v>231.39147380280974</c:v>
                </c:pt>
                <c:pt idx="12">
                  <c:v>230.21866380119081</c:v>
                </c:pt>
                <c:pt idx="13">
                  <c:v>227.54260298199733</c:v>
                </c:pt>
                <c:pt idx="14">
                  <c:v>223.11400561838946</c:v>
                </c:pt>
                <c:pt idx="15">
                  <c:v>216.64961993216548</c:v>
                </c:pt>
                <c:pt idx="16">
                  <c:v>207.82785059249363</c:v>
                </c:pt>
                <c:pt idx="17">
                  <c:v>196.28382740535199</c:v>
                </c:pt>
                <c:pt idx="18">
                  <c:v>181.60385058216343</c:v>
                </c:pt>
                <c:pt idx="19">
                  <c:v>163.31913424710183</c:v>
                </c:pt>
                <c:pt idx="20">
                  <c:v>140.89876001868106</c:v>
                </c:pt>
                <c:pt idx="21">
                  <c:v>113.74174144702556</c:v>
                </c:pt>
                <c:pt idx="22">
                  <c:v>81.168087648964502</c:v>
                </c:pt>
                <c:pt idx="23">
                  <c:v>42.408740484983355</c:v>
                </c:pt>
                <c:pt idx="24">
                  <c:v>-3.4057561293921026</c:v>
                </c:pt>
                <c:pt idx="25">
                  <c:v>-57.258013910421141</c:v>
                </c:pt>
                <c:pt idx="26">
                  <c:v>-120.25816396943446</c:v>
                </c:pt>
                <c:pt idx="27">
                  <c:v>-193.66002817553635</c:v>
                </c:pt>
              </c:numCache>
            </c:numRef>
          </c:val>
          <c:extLst>
            <c:ext xmlns:c16="http://schemas.microsoft.com/office/drawing/2014/chart" uri="{C3380CC4-5D6E-409C-BE32-E72D297353CC}">
              <c16:uniqueId val="{00000001-3F5B-3244-A86E-F93F160169B9}"/>
            </c:ext>
          </c:extLst>
        </c:ser>
        <c:dLbls>
          <c:showLegendKey val="0"/>
          <c:showVal val="0"/>
          <c:showCatName val="0"/>
          <c:showSerName val="0"/>
          <c:showPercent val="0"/>
          <c:showBubbleSize val="0"/>
        </c:dLbls>
        <c:gapWidth val="150"/>
        <c:overlap val="100"/>
        <c:axId val="751725728"/>
        <c:axId val="374771424"/>
      </c:barChart>
      <c:catAx>
        <c:axId val="751725728"/>
        <c:scaling>
          <c:orientation val="minMax"/>
        </c:scaling>
        <c:delete val="0"/>
        <c:axPos val="b"/>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ISI score</a:t>
                </a:r>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4771424"/>
        <c:crosses val="autoZero"/>
        <c:auto val="1"/>
        <c:lblAlgn val="ctr"/>
        <c:lblOffset val="100"/>
        <c:noMultiLvlLbl val="0"/>
      </c:catAx>
      <c:valAx>
        <c:axId val="374771424"/>
        <c:scaling>
          <c:orientation val="minMax"/>
          <c:min val="-2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Annual productivity losses</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51725728"/>
        <c:crosses val="autoZero"/>
        <c:crossBetween val="between"/>
      </c:valAx>
      <c:spPr>
        <a:noFill/>
        <a:ln>
          <a:noFill/>
        </a:ln>
        <a:effectLst/>
      </c:spPr>
    </c:plotArea>
    <c:legend>
      <c:legendPos val="b"/>
      <c:layout>
        <c:manualLayout>
          <c:xMode val="edge"/>
          <c:yMode val="edge"/>
          <c:x val="0.35921165826977186"/>
          <c:y val="0.10147646369944222"/>
          <c:w val="0.14101474949329576"/>
          <c:h val="9.1921458287727048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rnd">
              <a:noFill/>
              <a:round/>
            </a:ln>
            <a:effectLst/>
          </c:spPr>
          <c:marker>
            <c:symbol val="circle"/>
            <c:size val="5"/>
            <c:spPr>
              <a:noFill/>
              <a:ln w="9525">
                <a:solidFill>
                  <a:schemeClr val="bg1">
                    <a:lumMod val="75000"/>
                  </a:schemeClr>
                </a:solidFill>
              </a:ln>
              <a:effectLst/>
            </c:spPr>
          </c:marker>
          <c:xVal>
            <c:numRef>
              <c:f>'Model | Simulation'!$I$9:$I$1008</c:f>
              <c:numCache>
                <c:formatCode>0.00</c:formatCode>
                <c:ptCount val="1000"/>
                <c:pt idx="0" formatCode="0.000">
                  <c:v>2.2021429627372479E-2</c:v>
                </c:pt>
                <c:pt idx="1">
                  <c:v>1.7938279278031009E-2</c:v>
                </c:pt>
                <c:pt idx="2">
                  <c:v>2.5809800473368897E-2</c:v>
                </c:pt>
                <c:pt idx="3">
                  <c:v>2.1241524201885249E-2</c:v>
                </c:pt>
                <c:pt idx="4">
                  <c:v>2.2128845120082959E-2</c:v>
                </c:pt>
                <c:pt idx="5">
                  <c:v>2.7013422664201519E-2</c:v>
                </c:pt>
                <c:pt idx="6">
                  <c:v>2.1490733115154165E-2</c:v>
                </c:pt>
                <c:pt idx="7">
                  <c:v>2.4795067248382277E-2</c:v>
                </c:pt>
                <c:pt idx="8">
                  <c:v>2.1401999114944344E-2</c:v>
                </c:pt>
                <c:pt idx="9">
                  <c:v>1.807348922244497E-2</c:v>
                </c:pt>
                <c:pt idx="10">
                  <c:v>3.0375981989929704E-2</c:v>
                </c:pt>
                <c:pt idx="11">
                  <c:v>2.3617722232356534E-2</c:v>
                </c:pt>
                <c:pt idx="12">
                  <c:v>1.1724365779880577E-2</c:v>
                </c:pt>
                <c:pt idx="13">
                  <c:v>1.5194936921609817E-2</c:v>
                </c:pt>
                <c:pt idx="14">
                  <c:v>3.2181223761425425E-2</c:v>
                </c:pt>
                <c:pt idx="15">
                  <c:v>2.4893501919243857E-2</c:v>
                </c:pt>
                <c:pt idx="16">
                  <c:v>1.5171435128234788E-2</c:v>
                </c:pt>
                <c:pt idx="17">
                  <c:v>2.5765085634321068E-2</c:v>
                </c:pt>
                <c:pt idx="18">
                  <c:v>2.084818774782712E-2</c:v>
                </c:pt>
                <c:pt idx="19">
                  <c:v>2.0900916514083212E-2</c:v>
                </c:pt>
                <c:pt idx="20">
                  <c:v>3.31922956079359E-2</c:v>
                </c:pt>
                <c:pt idx="21">
                  <c:v>2.77017296476419E-2</c:v>
                </c:pt>
                <c:pt idx="22">
                  <c:v>2.4118121710679664E-2</c:v>
                </c:pt>
                <c:pt idx="23">
                  <c:v>2.0277963813995707E-2</c:v>
                </c:pt>
                <c:pt idx="24">
                  <c:v>2.5584816458204304E-2</c:v>
                </c:pt>
                <c:pt idx="25">
                  <c:v>1.7361892007750939E-2</c:v>
                </c:pt>
                <c:pt idx="26">
                  <c:v>2.8090444392823155E-2</c:v>
                </c:pt>
                <c:pt idx="27">
                  <c:v>2.0011308168342921E-2</c:v>
                </c:pt>
                <c:pt idx="28">
                  <c:v>2.6139871372794519E-2</c:v>
                </c:pt>
                <c:pt idx="29">
                  <c:v>2.1656094359744971E-2</c:v>
                </c:pt>
                <c:pt idx="30">
                  <c:v>1.7475979266464946E-2</c:v>
                </c:pt>
                <c:pt idx="31">
                  <c:v>2.4205981792761285E-2</c:v>
                </c:pt>
                <c:pt idx="32">
                  <c:v>3.0282938299412834E-2</c:v>
                </c:pt>
                <c:pt idx="33">
                  <c:v>1.940634489724823E-2</c:v>
                </c:pt>
                <c:pt idx="34">
                  <c:v>1.6778956474440762E-2</c:v>
                </c:pt>
                <c:pt idx="35">
                  <c:v>2.7083707691667184E-2</c:v>
                </c:pt>
                <c:pt idx="36">
                  <c:v>2.2084989062703307E-2</c:v>
                </c:pt>
                <c:pt idx="37">
                  <c:v>2.3978899292654399E-2</c:v>
                </c:pt>
                <c:pt idx="38">
                  <c:v>2.234330741994859E-2</c:v>
                </c:pt>
                <c:pt idx="39">
                  <c:v>1.909146942209829E-2</c:v>
                </c:pt>
                <c:pt idx="40">
                  <c:v>1.9577615648824435E-2</c:v>
                </c:pt>
                <c:pt idx="41">
                  <c:v>2.1361272947009069E-2</c:v>
                </c:pt>
                <c:pt idx="42">
                  <c:v>2.4128920698201207E-2</c:v>
                </c:pt>
                <c:pt idx="43">
                  <c:v>2.6062477504797645E-2</c:v>
                </c:pt>
                <c:pt idx="44">
                  <c:v>2.359372855813879E-2</c:v>
                </c:pt>
                <c:pt idx="45">
                  <c:v>2.8529166585538165E-2</c:v>
                </c:pt>
                <c:pt idx="46">
                  <c:v>1.6000301588311588E-2</c:v>
                </c:pt>
                <c:pt idx="47">
                  <c:v>2.0164216973641919E-2</c:v>
                </c:pt>
                <c:pt idx="48">
                  <c:v>1.6364353261236326E-2</c:v>
                </c:pt>
                <c:pt idx="49">
                  <c:v>2.0708194017037326E-2</c:v>
                </c:pt>
                <c:pt idx="50">
                  <c:v>3.576424101763033E-2</c:v>
                </c:pt>
                <c:pt idx="51">
                  <c:v>2.6989280393325876E-2</c:v>
                </c:pt>
                <c:pt idx="52">
                  <c:v>1.7571309131840115E-2</c:v>
                </c:pt>
                <c:pt idx="53">
                  <c:v>3.4339441288950452E-2</c:v>
                </c:pt>
                <c:pt idx="54">
                  <c:v>3.4399040044286511E-2</c:v>
                </c:pt>
                <c:pt idx="55">
                  <c:v>2.6769260139083303E-2</c:v>
                </c:pt>
                <c:pt idx="56">
                  <c:v>2.7339314760940554E-2</c:v>
                </c:pt>
                <c:pt idx="57">
                  <c:v>2.4684830177933232E-2</c:v>
                </c:pt>
                <c:pt idx="58">
                  <c:v>2.7398438458312285E-2</c:v>
                </c:pt>
                <c:pt idx="59">
                  <c:v>2.3144635172829012E-2</c:v>
                </c:pt>
                <c:pt idx="60">
                  <c:v>1.9839127694451633E-2</c:v>
                </c:pt>
                <c:pt idx="61">
                  <c:v>1.8445030259112184E-2</c:v>
                </c:pt>
                <c:pt idx="62">
                  <c:v>2.2431540798084251E-2</c:v>
                </c:pt>
                <c:pt idx="63">
                  <c:v>2.0543344962300127E-2</c:v>
                </c:pt>
                <c:pt idx="64">
                  <c:v>2.90745320143324E-2</c:v>
                </c:pt>
                <c:pt idx="65">
                  <c:v>2.8741378186167395E-2</c:v>
                </c:pt>
                <c:pt idx="66">
                  <c:v>2.0519858219380568E-2</c:v>
                </c:pt>
                <c:pt idx="67">
                  <c:v>2.3908170306813862E-2</c:v>
                </c:pt>
                <c:pt idx="68">
                  <c:v>2.2057976368981578E-2</c:v>
                </c:pt>
                <c:pt idx="69">
                  <c:v>2.3967512604442392E-2</c:v>
                </c:pt>
                <c:pt idx="70">
                  <c:v>2.1554921931247285E-2</c:v>
                </c:pt>
                <c:pt idx="71">
                  <c:v>3.2762661832336899E-2</c:v>
                </c:pt>
                <c:pt idx="72">
                  <c:v>1.2896455306636011E-2</c:v>
                </c:pt>
                <c:pt idx="73">
                  <c:v>2.9665666631963655E-2</c:v>
                </c:pt>
                <c:pt idx="74">
                  <c:v>1.5995824691703252E-2</c:v>
                </c:pt>
                <c:pt idx="75">
                  <c:v>1.6431362223748532E-2</c:v>
                </c:pt>
                <c:pt idx="76">
                  <c:v>3.28829990345227E-2</c:v>
                </c:pt>
                <c:pt idx="77">
                  <c:v>1.9607146289835894E-2</c:v>
                </c:pt>
                <c:pt idx="78">
                  <c:v>2.8116184080364339E-2</c:v>
                </c:pt>
                <c:pt idx="79">
                  <c:v>3.1100950940571127E-2</c:v>
                </c:pt>
                <c:pt idx="80">
                  <c:v>2.2113817285488852E-2</c:v>
                </c:pt>
                <c:pt idx="81">
                  <c:v>1.4487699403795726E-2</c:v>
                </c:pt>
                <c:pt idx="82">
                  <c:v>2.9374576478666856E-2</c:v>
                </c:pt>
                <c:pt idx="83">
                  <c:v>2.1912633079318837E-2</c:v>
                </c:pt>
                <c:pt idx="84">
                  <c:v>2.287646753824725E-2</c:v>
                </c:pt>
                <c:pt idx="85">
                  <c:v>2.3363346159616195E-2</c:v>
                </c:pt>
                <c:pt idx="86">
                  <c:v>2.5821187886263055E-2</c:v>
                </c:pt>
                <c:pt idx="87">
                  <c:v>2.1073174608856576E-2</c:v>
                </c:pt>
                <c:pt idx="88">
                  <c:v>2.7619232160245196E-2</c:v>
                </c:pt>
                <c:pt idx="89">
                  <c:v>2.4398033067291425E-2</c:v>
                </c:pt>
                <c:pt idx="90">
                  <c:v>2.3128314902039208E-2</c:v>
                </c:pt>
                <c:pt idx="91">
                  <c:v>2.4283344871784102E-2</c:v>
                </c:pt>
                <c:pt idx="92">
                  <c:v>1.8935866345681576E-2</c:v>
                </c:pt>
                <c:pt idx="93">
                  <c:v>2.0382172318983673E-2</c:v>
                </c:pt>
                <c:pt idx="94">
                  <c:v>2.6705644313296594E-2</c:v>
                </c:pt>
                <c:pt idx="95">
                  <c:v>2.5838320281586724E-2</c:v>
                </c:pt>
                <c:pt idx="96">
                  <c:v>3.1139875139018922E-2</c:v>
                </c:pt>
                <c:pt idx="97">
                  <c:v>3.0797216520698664E-2</c:v>
                </c:pt>
                <c:pt idx="98">
                  <c:v>1.9218362390257336E-2</c:v>
                </c:pt>
                <c:pt idx="99">
                  <c:v>1.780297227691412E-2</c:v>
                </c:pt>
                <c:pt idx="100">
                  <c:v>3.2023834092120118E-2</c:v>
                </c:pt>
                <c:pt idx="101">
                  <c:v>1.4025389764007218E-2</c:v>
                </c:pt>
                <c:pt idx="102">
                  <c:v>2.3348208891851727E-2</c:v>
                </c:pt>
                <c:pt idx="103">
                  <c:v>2.4192957729729781E-2</c:v>
                </c:pt>
                <c:pt idx="104">
                  <c:v>2.99989973471942E-2</c:v>
                </c:pt>
                <c:pt idx="105">
                  <c:v>1.9270254457360907E-2</c:v>
                </c:pt>
                <c:pt idx="106">
                  <c:v>2.5751655065319998E-2</c:v>
                </c:pt>
                <c:pt idx="107">
                  <c:v>1.8897654509172593E-2</c:v>
                </c:pt>
                <c:pt idx="108">
                  <c:v>2.182900851036219E-2</c:v>
                </c:pt>
                <c:pt idx="109">
                  <c:v>1.9371454049987046E-2</c:v>
                </c:pt>
                <c:pt idx="110">
                  <c:v>2.963096984794255E-2</c:v>
                </c:pt>
                <c:pt idx="111">
                  <c:v>1.7285881699095621E-2</c:v>
                </c:pt>
                <c:pt idx="112">
                  <c:v>2.5369948988252761E-2</c:v>
                </c:pt>
                <c:pt idx="113">
                  <c:v>2.5294503819866608E-2</c:v>
                </c:pt>
                <c:pt idx="114">
                  <c:v>2.2872996269222619E-2</c:v>
                </c:pt>
                <c:pt idx="115">
                  <c:v>3.0010798055916978E-2</c:v>
                </c:pt>
                <c:pt idx="116">
                  <c:v>2.4281094571151591E-2</c:v>
                </c:pt>
                <c:pt idx="117">
                  <c:v>2.2301712398283453E-2</c:v>
                </c:pt>
                <c:pt idx="118">
                  <c:v>1.7939703313878379E-2</c:v>
                </c:pt>
                <c:pt idx="119">
                  <c:v>2.4967273029397243E-2</c:v>
                </c:pt>
                <c:pt idx="120">
                  <c:v>1.9253098869351351E-2</c:v>
                </c:pt>
                <c:pt idx="121">
                  <c:v>3.3069371121840704E-2</c:v>
                </c:pt>
                <c:pt idx="122">
                  <c:v>1.9406123465392642E-2</c:v>
                </c:pt>
                <c:pt idx="123">
                  <c:v>2.2437736882301735E-2</c:v>
                </c:pt>
                <c:pt idx="124">
                  <c:v>1.8811558054257677E-2</c:v>
                </c:pt>
                <c:pt idx="125">
                  <c:v>2.1539389457652089E-2</c:v>
                </c:pt>
                <c:pt idx="126">
                  <c:v>2.7988229759786893E-2</c:v>
                </c:pt>
                <c:pt idx="127">
                  <c:v>2.9480674230848363E-2</c:v>
                </c:pt>
                <c:pt idx="128">
                  <c:v>3.09278102157775E-2</c:v>
                </c:pt>
                <c:pt idx="129">
                  <c:v>3.9756382454317132E-2</c:v>
                </c:pt>
                <c:pt idx="130">
                  <c:v>1.966378229870892E-2</c:v>
                </c:pt>
                <c:pt idx="131">
                  <c:v>2.1799608036390271E-2</c:v>
                </c:pt>
                <c:pt idx="132">
                  <c:v>2.1407404168310169E-2</c:v>
                </c:pt>
                <c:pt idx="133">
                  <c:v>3.3135775476525464E-2</c:v>
                </c:pt>
                <c:pt idx="134">
                  <c:v>2.3915701283756301E-2</c:v>
                </c:pt>
                <c:pt idx="135">
                  <c:v>1.9400064789299971E-2</c:v>
                </c:pt>
                <c:pt idx="136">
                  <c:v>2.4097659164169987E-2</c:v>
                </c:pt>
                <c:pt idx="137">
                  <c:v>3.5400734664706487E-2</c:v>
                </c:pt>
                <c:pt idx="138">
                  <c:v>2.6340307934404287E-2</c:v>
                </c:pt>
                <c:pt idx="139">
                  <c:v>2.2640115755874147E-2</c:v>
                </c:pt>
                <c:pt idx="140">
                  <c:v>2.4807944143195142E-2</c:v>
                </c:pt>
                <c:pt idx="141">
                  <c:v>2.8478288332764463E-2</c:v>
                </c:pt>
                <c:pt idx="142">
                  <c:v>2.1193455224086076E-2</c:v>
                </c:pt>
                <c:pt idx="143">
                  <c:v>1.9551718968980308E-2</c:v>
                </c:pt>
                <c:pt idx="144">
                  <c:v>2.7787162892263805E-2</c:v>
                </c:pt>
                <c:pt idx="145">
                  <c:v>2.9173309473352955E-2</c:v>
                </c:pt>
                <c:pt idx="146">
                  <c:v>2.4721767808868141E-2</c:v>
                </c:pt>
                <c:pt idx="147">
                  <c:v>2.9323594713370739E-2</c:v>
                </c:pt>
                <c:pt idx="148">
                  <c:v>2.1669230954433554E-2</c:v>
                </c:pt>
                <c:pt idx="149">
                  <c:v>1.950970529643287E-2</c:v>
                </c:pt>
                <c:pt idx="150">
                  <c:v>2.2427459843929597E-2</c:v>
                </c:pt>
                <c:pt idx="151">
                  <c:v>2.4452984964294246E-2</c:v>
                </c:pt>
                <c:pt idx="152">
                  <c:v>2.6294236999212947E-2</c:v>
                </c:pt>
                <c:pt idx="153">
                  <c:v>2.4687335822608306E-2</c:v>
                </c:pt>
                <c:pt idx="154">
                  <c:v>1.5619762153466664E-2</c:v>
                </c:pt>
                <c:pt idx="155">
                  <c:v>2.8502819499069465E-2</c:v>
                </c:pt>
                <c:pt idx="156">
                  <c:v>1.1789890299514327E-2</c:v>
                </c:pt>
                <c:pt idx="157">
                  <c:v>2.5009325203519474E-2</c:v>
                </c:pt>
                <c:pt idx="158">
                  <c:v>2.7923747378842532E-2</c:v>
                </c:pt>
                <c:pt idx="159">
                  <c:v>1.8535091254125585E-2</c:v>
                </c:pt>
                <c:pt idx="160">
                  <c:v>2.375367323905302E-2</c:v>
                </c:pt>
                <c:pt idx="161">
                  <c:v>2.8566539472734371E-2</c:v>
                </c:pt>
                <c:pt idx="162">
                  <c:v>1.709289589427879E-2</c:v>
                </c:pt>
                <c:pt idx="163">
                  <c:v>2.2464356765218605E-2</c:v>
                </c:pt>
                <c:pt idx="164">
                  <c:v>2.4018159926045321E-2</c:v>
                </c:pt>
                <c:pt idx="165">
                  <c:v>2.4051610977366817E-2</c:v>
                </c:pt>
                <c:pt idx="166">
                  <c:v>2.2181952005528933E-2</c:v>
                </c:pt>
                <c:pt idx="167">
                  <c:v>2.3428733666196504E-2</c:v>
                </c:pt>
                <c:pt idx="168">
                  <c:v>2.6718616874060182E-2</c:v>
                </c:pt>
                <c:pt idx="169">
                  <c:v>2.9596780292071592E-2</c:v>
                </c:pt>
                <c:pt idx="170">
                  <c:v>2.29991559098419E-2</c:v>
                </c:pt>
                <c:pt idx="171">
                  <c:v>1.0845762748861721E-2</c:v>
                </c:pt>
                <c:pt idx="172">
                  <c:v>2.9650667155005389E-2</c:v>
                </c:pt>
                <c:pt idx="173">
                  <c:v>2.0481497640461255E-2</c:v>
                </c:pt>
                <c:pt idx="174">
                  <c:v>2.5825311529496457E-2</c:v>
                </c:pt>
                <c:pt idx="175">
                  <c:v>2.8757491026696412E-2</c:v>
                </c:pt>
                <c:pt idx="176">
                  <c:v>2.2826760410076537E-2</c:v>
                </c:pt>
                <c:pt idx="177">
                  <c:v>2.6454861715710098E-2</c:v>
                </c:pt>
                <c:pt idx="178">
                  <c:v>3.5345838922636541E-2</c:v>
                </c:pt>
                <c:pt idx="179">
                  <c:v>2.7997410720789356E-2</c:v>
                </c:pt>
                <c:pt idx="180">
                  <c:v>2.7542206389456914E-2</c:v>
                </c:pt>
                <c:pt idx="181">
                  <c:v>3.2955240681329809E-2</c:v>
                </c:pt>
                <c:pt idx="182">
                  <c:v>3.0368841318472391E-2</c:v>
                </c:pt>
                <c:pt idx="183">
                  <c:v>2.504455084009365E-2</c:v>
                </c:pt>
                <c:pt idx="184">
                  <c:v>2.1545057965314297E-2</c:v>
                </c:pt>
                <c:pt idx="185">
                  <c:v>2.0042283933069505E-2</c:v>
                </c:pt>
                <c:pt idx="186">
                  <c:v>2.3580241975012788E-2</c:v>
                </c:pt>
                <c:pt idx="187">
                  <c:v>2.2185269664029294E-2</c:v>
                </c:pt>
                <c:pt idx="188">
                  <c:v>2.3533440708406888E-2</c:v>
                </c:pt>
                <c:pt idx="189">
                  <c:v>2.3939989342708797E-2</c:v>
                </c:pt>
                <c:pt idx="190">
                  <c:v>1.3616125834719784E-2</c:v>
                </c:pt>
                <c:pt idx="191">
                  <c:v>2.0895498126789498E-2</c:v>
                </c:pt>
                <c:pt idx="192">
                  <c:v>3.2778616771773114E-2</c:v>
                </c:pt>
                <c:pt idx="193">
                  <c:v>2.2752943088840977E-2</c:v>
                </c:pt>
                <c:pt idx="194">
                  <c:v>2.7474927403184902E-2</c:v>
                </c:pt>
                <c:pt idx="195">
                  <c:v>3.1129843250015221E-2</c:v>
                </c:pt>
                <c:pt idx="196">
                  <c:v>2.9949874068327706E-2</c:v>
                </c:pt>
                <c:pt idx="197">
                  <c:v>2.6675417816283686E-2</c:v>
                </c:pt>
                <c:pt idx="198">
                  <c:v>2.9227887089877717E-2</c:v>
                </c:pt>
                <c:pt idx="199">
                  <c:v>1.8900821865348905E-2</c:v>
                </c:pt>
                <c:pt idx="200">
                  <c:v>1.5698165345024957E-2</c:v>
                </c:pt>
                <c:pt idx="201">
                  <c:v>3.2742318414931401E-2</c:v>
                </c:pt>
                <c:pt idx="202">
                  <c:v>2.4331071785036046E-2</c:v>
                </c:pt>
                <c:pt idx="203">
                  <c:v>2.2128435083855431E-2</c:v>
                </c:pt>
                <c:pt idx="204">
                  <c:v>2.2845801564802124E-2</c:v>
                </c:pt>
                <c:pt idx="205">
                  <c:v>1.6157853762088246E-2</c:v>
                </c:pt>
                <c:pt idx="206">
                  <c:v>2.7626451782012708E-2</c:v>
                </c:pt>
                <c:pt idx="207">
                  <c:v>2.7622158206808557E-2</c:v>
                </c:pt>
                <c:pt idx="208">
                  <c:v>1.5840195767447596E-2</c:v>
                </c:pt>
                <c:pt idx="209">
                  <c:v>2.3449518601203666E-2</c:v>
                </c:pt>
                <c:pt idx="210">
                  <c:v>2.4609867308048577E-2</c:v>
                </c:pt>
                <c:pt idx="211">
                  <c:v>2.5331095468377831E-2</c:v>
                </c:pt>
                <c:pt idx="212">
                  <c:v>3.0303981809434773E-2</c:v>
                </c:pt>
                <c:pt idx="213">
                  <c:v>3.2287498917965438E-2</c:v>
                </c:pt>
                <c:pt idx="214">
                  <c:v>1.9811503183883587E-2</c:v>
                </c:pt>
                <c:pt idx="215">
                  <c:v>3.1842906055780544E-2</c:v>
                </c:pt>
                <c:pt idx="216">
                  <c:v>3.0961559012638164E-2</c:v>
                </c:pt>
                <c:pt idx="217">
                  <c:v>2.9653575331169444E-2</c:v>
                </c:pt>
                <c:pt idx="218">
                  <c:v>3.0203550942422521E-2</c:v>
                </c:pt>
                <c:pt idx="219">
                  <c:v>2.1383888877529636E-2</c:v>
                </c:pt>
                <c:pt idx="220">
                  <c:v>2.1895632273468031E-2</c:v>
                </c:pt>
                <c:pt idx="221">
                  <c:v>2.4023160393791224E-2</c:v>
                </c:pt>
                <c:pt idx="222">
                  <c:v>2.2124653328644717E-2</c:v>
                </c:pt>
                <c:pt idx="223">
                  <c:v>1.9561561901295346E-2</c:v>
                </c:pt>
                <c:pt idx="224">
                  <c:v>2.0347827602210516E-2</c:v>
                </c:pt>
                <c:pt idx="225">
                  <c:v>2.089216755022669E-2</c:v>
                </c:pt>
                <c:pt idx="226">
                  <c:v>1.9999574284120546E-2</c:v>
                </c:pt>
                <c:pt idx="227">
                  <c:v>3.1252205226001799E-2</c:v>
                </c:pt>
                <c:pt idx="228">
                  <c:v>1.6524029776211029E-2</c:v>
                </c:pt>
                <c:pt idx="229">
                  <c:v>2.1222008028703325E-2</c:v>
                </c:pt>
                <c:pt idx="230">
                  <c:v>1.4967331339186601E-2</c:v>
                </c:pt>
                <c:pt idx="231">
                  <c:v>2.9753307776873419E-2</c:v>
                </c:pt>
                <c:pt idx="232">
                  <c:v>2.5287380637627341E-2</c:v>
                </c:pt>
                <c:pt idx="233">
                  <c:v>3.0644896122741114E-2</c:v>
                </c:pt>
                <c:pt idx="234">
                  <c:v>2.4495318216736811E-2</c:v>
                </c:pt>
                <c:pt idx="235">
                  <c:v>2.1259693175641355E-2</c:v>
                </c:pt>
                <c:pt idx="236">
                  <c:v>2.7675194344863284E-2</c:v>
                </c:pt>
                <c:pt idx="237">
                  <c:v>2.3877317534380358E-2</c:v>
                </c:pt>
                <c:pt idx="238">
                  <c:v>3.110715282726198E-2</c:v>
                </c:pt>
                <c:pt idx="239">
                  <c:v>1.978346787670052E-2</c:v>
                </c:pt>
                <c:pt idx="240">
                  <c:v>2.1106729129922876E-2</c:v>
                </c:pt>
                <c:pt idx="241">
                  <c:v>3.4295842425856093E-2</c:v>
                </c:pt>
                <c:pt idx="242">
                  <c:v>3.8675923983131764E-2</c:v>
                </c:pt>
                <c:pt idx="243">
                  <c:v>2.6910370170333615E-2</c:v>
                </c:pt>
                <c:pt idx="244">
                  <c:v>2.8928826739132295E-2</c:v>
                </c:pt>
                <c:pt idx="245">
                  <c:v>3.1713825041656998E-2</c:v>
                </c:pt>
                <c:pt idx="246">
                  <c:v>3.0648709852604022E-2</c:v>
                </c:pt>
                <c:pt idx="247">
                  <c:v>2.150386271750767E-2</c:v>
                </c:pt>
                <c:pt idx="248">
                  <c:v>2.9780637326133026E-2</c:v>
                </c:pt>
                <c:pt idx="249">
                  <c:v>1.7958088975798866E-2</c:v>
                </c:pt>
                <c:pt idx="250">
                  <c:v>1.5292806952108785E-2</c:v>
                </c:pt>
                <c:pt idx="251">
                  <c:v>3.2063928760128008E-2</c:v>
                </c:pt>
                <c:pt idx="252">
                  <c:v>2.6608340603405917E-2</c:v>
                </c:pt>
                <c:pt idx="253">
                  <c:v>2.5838122713251997E-2</c:v>
                </c:pt>
                <c:pt idx="254">
                  <c:v>1.7710691433014059E-2</c:v>
                </c:pt>
                <c:pt idx="255">
                  <c:v>2.4472561934100252E-2</c:v>
                </c:pt>
                <c:pt idx="256">
                  <c:v>1.9872079881002744E-2</c:v>
                </c:pt>
                <c:pt idx="257">
                  <c:v>2.7794836615131081E-2</c:v>
                </c:pt>
                <c:pt idx="258">
                  <c:v>2.6098419780903093E-2</c:v>
                </c:pt>
                <c:pt idx="259">
                  <c:v>2.3838439928511722E-2</c:v>
                </c:pt>
                <c:pt idx="260">
                  <c:v>2.5057680364400828E-2</c:v>
                </c:pt>
                <c:pt idx="261">
                  <c:v>2.1729658414394993E-2</c:v>
                </c:pt>
                <c:pt idx="262">
                  <c:v>2.5883608047304954E-2</c:v>
                </c:pt>
                <c:pt idx="263">
                  <c:v>3.4797543569020407E-2</c:v>
                </c:pt>
                <c:pt idx="264">
                  <c:v>2.712332952032866E-2</c:v>
                </c:pt>
                <c:pt idx="265">
                  <c:v>2.7883072804446775E-2</c:v>
                </c:pt>
                <c:pt idx="266">
                  <c:v>2.4095022809859545E-2</c:v>
                </c:pt>
                <c:pt idx="267">
                  <c:v>2.9041084301588593E-2</c:v>
                </c:pt>
                <c:pt idx="268">
                  <c:v>2.4018803263285222E-2</c:v>
                </c:pt>
                <c:pt idx="269">
                  <c:v>2.3215651202094026E-2</c:v>
                </c:pt>
                <c:pt idx="270">
                  <c:v>2.4579203374307596E-2</c:v>
                </c:pt>
                <c:pt idx="271">
                  <c:v>1.8725334138477878E-2</c:v>
                </c:pt>
                <c:pt idx="272">
                  <c:v>2.1106206180744481E-2</c:v>
                </c:pt>
                <c:pt idx="273">
                  <c:v>2.6959696927059965E-2</c:v>
                </c:pt>
                <c:pt idx="274">
                  <c:v>1.3780715584754839E-2</c:v>
                </c:pt>
                <c:pt idx="275">
                  <c:v>2.6584154860711463E-2</c:v>
                </c:pt>
                <c:pt idx="276">
                  <c:v>3.0686873904608031E-2</c:v>
                </c:pt>
                <c:pt idx="277">
                  <c:v>2.7601809899203873E-2</c:v>
                </c:pt>
                <c:pt idx="278">
                  <c:v>2.8773436445205473E-2</c:v>
                </c:pt>
                <c:pt idx="279">
                  <c:v>2.3306830964642214E-2</c:v>
                </c:pt>
                <c:pt idx="280">
                  <c:v>2.0901201362624695E-2</c:v>
                </c:pt>
                <c:pt idx="281">
                  <c:v>2.5462130407104874E-2</c:v>
                </c:pt>
                <c:pt idx="282">
                  <c:v>1.6010353637844994E-2</c:v>
                </c:pt>
                <c:pt idx="283">
                  <c:v>2.5032187069381238E-2</c:v>
                </c:pt>
                <c:pt idx="284">
                  <c:v>2.2611665679172471E-2</c:v>
                </c:pt>
                <c:pt idx="285">
                  <c:v>2.5606439095586069E-2</c:v>
                </c:pt>
                <c:pt idx="286">
                  <c:v>1.4249567479378911E-2</c:v>
                </c:pt>
                <c:pt idx="287">
                  <c:v>3.3217899423384323E-2</c:v>
                </c:pt>
                <c:pt idx="288">
                  <c:v>1.8548234240543263E-2</c:v>
                </c:pt>
                <c:pt idx="289">
                  <c:v>1.9282341659243037E-2</c:v>
                </c:pt>
                <c:pt idx="290">
                  <c:v>1.4529656959744928E-2</c:v>
                </c:pt>
                <c:pt idx="291">
                  <c:v>1.1931687868098209E-2</c:v>
                </c:pt>
                <c:pt idx="292">
                  <c:v>3.6884916420154248E-2</c:v>
                </c:pt>
                <c:pt idx="293">
                  <c:v>3.2172739506910158E-2</c:v>
                </c:pt>
                <c:pt idx="294">
                  <c:v>1.4485373115159496E-2</c:v>
                </c:pt>
                <c:pt idx="295">
                  <c:v>3.1286009262929189E-2</c:v>
                </c:pt>
                <c:pt idx="296">
                  <c:v>1.8548316656844251E-2</c:v>
                </c:pt>
                <c:pt idx="297">
                  <c:v>1.8724673284107658E-2</c:v>
                </c:pt>
                <c:pt idx="298">
                  <c:v>2.5970609772610859E-2</c:v>
                </c:pt>
                <c:pt idx="299">
                  <c:v>2.2124003698550651E-2</c:v>
                </c:pt>
                <c:pt idx="300">
                  <c:v>2.5370885534940737E-2</c:v>
                </c:pt>
                <c:pt idx="301">
                  <c:v>1.5940606720280061E-2</c:v>
                </c:pt>
                <c:pt idx="302">
                  <c:v>1.7172933386822964E-2</c:v>
                </c:pt>
                <c:pt idx="303">
                  <c:v>2.1930461870523776E-2</c:v>
                </c:pt>
                <c:pt idx="304">
                  <c:v>1.4298426874415559E-2</c:v>
                </c:pt>
                <c:pt idx="305">
                  <c:v>2.6597826112045371E-2</c:v>
                </c:pt>
                <c:pt idx="306">
                  <c:v>2.9047263996081915E-2</c:v>
                </c:pt>
                <c:pt idx="307">
                  <c:v>2.1861860276738775E-2</c:v>
                </c:pt>
                <c:pt idx="308">
                  <c:v>1.6956491699849217E-2</c:v>
                </c:pt>
                <c:pt idx="309">
                  <c:v>2.1800395755918148E-2</c:v>
                </c:pt>
                <c:pt idx="310">
                  <c:v>2.1323628516792516E-2</c:v>
                </c:pt>
                <c:pt idx="311">
                  <c:v>2.5697618322916074E-2</c:v>
                </c:pt>
                <c:pt idx="312">
                  <c:v>2.8755179050589719E-2</c:v>
                </c:pt>
                <c:pt idx="313">
                  <c:v>2.2950652475376872E-2</c:v>
                </c:pt>
                <c:pt idx="314">
                  <c:v>2.3333466221468431E-2</c:v>
                </c:pt>
                <c:pt idx="315">
                  <c:v>2.7273903727116442E-2</c:v>
                </c:pt>
                <c:pt idx="316">
                  <c:v>1.1806515629940496E-2</c:v>
                </c:pt>
                <c:pt idx="317">
                  <c:v>1.9845598415361154E-2</c:v>
                </c:pt>
                <c:pt idx="318">
                  <c:v>2.469011759502248E-2</c:v>
                </c:pt>
                <c:pt idx="319">
                  <c:v>1.9707265975194899E-2</c:v>
                </c:pt>
                <c:pt idx="320">
                  <c:v>1.9856482964396432E-2</c:v>
                </c:pt>
                <c:pt idx="321">
                  <c:v>1.9138908215290708E-2</c:v>
                </c:pt>
                <c:pt idx="322">
                  <c:v>2.4242627934782671E-2</c:v>
                </c:pt>
                <c:pt idx="323">
                  <c:v>1.6947678838953966E-2</c:v>
                </c:pt>
                <c:pt idx="324">
                  <c:v>1.0998070696472602E-2</c:v>
                </c:pt>
                <c:pt idx="325">
                  <c:v>2.6115276165371782E-2</c:v>
                </c:pt>
                <c:pt idx="326">
                  <c:v>3.3022628765967441E-2</c:v>
                </c:pt>
                <c:pt idx="327">
                  <c:v>2.2127113916392722E-2</c:v>
                </c:pt>
                <c:pt idx="328">
                  <c:v>2.7907247095901897E-2</c:v>
                </c:pt>
                <c:pt idx="329">
                  <c:v>1.8956527348867935E-2</c:v>
                </c:pt>
                <c:pt idx="330">
                  <c:v>2.102638300670389E-2</c:v>
                </c:pt>
                <c:pt idx="331">
                  <c:v>2.2066271453935252E-2</c:v>
                </c:pt>
                <c:pt idx="332">
                  <c:v>1.2264634674227415E-2</c:v>
                </c:pt>
                <c:pt idx="333">
                  <c:v>2.6574310107787651E-2</c:v>
                </c:pt>
                <c:pt idx="334">
                  <c:v>2.8056356135602888E-2</c:v>
                </c:pt>
                <c:pt idx="335">
                  <c:v>2.853138106538395E-2</c:v>
                </c:pt>
                <c:pt idx="336">
                  <c:v>2.0851105768555513E-2</c:v>
                </c:pt>
                <c:pt idx="337">
                  <c:v>2.3406682468023004E-2</c:v>
                </c:pt>
                <c:pt idx="338">
                  <c:v>1.7337314499491139E-2</c:v>
                </c:pt>
                <c:pt idx="339">
                  <c:v>2.1578249084829852E-2</c:v>
                </c:pt>
                <c:pt idx="340">
                  <c:v>2.4467402426165817E-2</c:v>
                </c:pt>
                <c:pt idx="341">
                  <c:v>2.7719433944150072E-2</c:v>
                </c:pt>
                <c:pt idx="342">
                  <c:v>2.5714808464861908E-2</c:v>
                </c:pt>
                <c:pt idx="343">
                  <c:v>3.1031916586004155E-2</c:v>
                </c:pt>
                <c:pt idx="344">
                  <c:v>3.0431128695732695E-2</c:v>
                </c:pt>
                <c:pt idx="345">
                  <c:v>1.3068362060172953E-2</c:v>
                </c:pt>
                <c:pt idx="346">
                  <c:v>1.7575421241503571E-2</c:v>
                </c:pt>
                <c:pt idx="347">
                  <c:v>2.6341960916243638E-2</c:v>
                </c:pt>
                <c:pt idx="348">
                  <c:v>2.457997563499021E-2</c:v>
                </c:pt>
                <c:pt idx="349">
                  <c:v>2.9270101204848919E-2</c:v>
                </c:pt>
                <c:pt idx="350">
                  <c:v>3.2120886067800274E-2</c:v>
                </c:pt>
                <c:pt idx="351">
                  <c:v>1.4998897264327904E-2</c:v>
                </c:pt>
                <c:pt idx="352">
                  <c:v>2.2971295256347158E-2</c:v>
                </c:pt>
                <c:pt idx="353">
                  <c:v>2.7313089798559724E-2</c:v>
                </c:pt>
                <c:pt idx="354">
                  <c:v>2.6971197312314066E-2</c:v>
                </c:pt>
                <c:pt idx="355">
                  <c:v>1.857154445287967E-2</c:v>
                </c:pt>
                <c:pt idx="356">
                  <c:v>1.9610515512631221E-2</c:v>
                </c:pt>
                <c:pt idx="357">
                  <c:v>2.301772542209686E-2</c:v>
                </c:pt>
                <c:pt idx="358">
                  <c:v>2.0145748115461042E-2</c:v>
                </c:pt>
                <c:pt idx="359">
                  <c:v>1.96198448806729E-2</c:v>
                </c:pt>
                <c:pt idx="360">
                  <c:v>1.5563360038997259E-2</c:v>
                </c:pt>
                <c:pt idx="361">
                  <c:v>2.7102134135695746E-2</c:v>
                </c:pt>
                <c:pt idx="362">
                  <c:v>2.9104915970020916E-2</c:v>
                </c:pt>
                <c:pt idx="363">
                  <c:v>2.0933333549778291E-2</c:v>
                </c:pt>
                <c:pt idx="364">
                  <c:v>1.8709834935486093E-2</c:v>
                </c:pt>
                <c:pt idx="365">
                  <c:v>2.1282492825471795E-2</c:v>
                </c:pt>
                <c:pt idx="366">
                  <c:v>1.9663645862161419E-2</c:v>
                </c:pt>
                <c:pt idx="367">
                  <c:v>2.7682621848231385E-2</c:v>
                </c:pt>
                <c:pt idx="368">
                  <c:v>2.4385092395709941E-2</c:v>
                </c:pt>
                <c:pt idx="369">
                  <c:v>1.4547523093140382E-2</c:v>
                </c:pt>
                <c:pt idx="370">
                  <c:v>3.0717635176238694E-2</c:v>
                </c:pt>
                <c:pt idx="371">
                  <c:v>2.7265462601953169E-2</c:v>
                </c:pt>
                <c:pt idx="372">
                  <c:v>2.6025039309114217E-2</c:v>
                </c:pt>
                <c:pt idx="373">
                  <c:v>2.037645255466787E-2</c:v>
                </c:pt>
                <c:pt idx="374">
                  <c:v>2.3308319911662923E-2</c:v>
                </c:pt>
                <c:pt idx="375">
                  <c:v>2.5875332586744126E-2</c:v>
                </c:pt>
                <c:pt idx="376">
                  <c:v>3.1460575160488689E-2</c:v>
                </c:pt>
                <c:pt idx="377">
                  <c:v>2.5164570556390507E-2</c:v>
                </c:pt>
                <c:pt idx="378">
                  <c:v>2.9811399645133792E-2</c:v>
                </c:pt>
                <c:pt idx="379">
                  <c:v>2.3845099669466404E-2</c:v>
                </c:pt>
                <c:pt idx="380">
                  <c:v>1.4232189055395784E-2</c:v>
                </c:pt>
                <c:pt idx="381">
                  <c:v>2.6378262701832619E-2</c:v>
                </c:pt>
                <c:pt idx="382">
                  <c:v>1.7770871574676599E-2</c:v>
                </c:pt>
                <c:pt idx="383">
                  <c:v>2.3473372390962359E-2</c:v>
                </c:pt>
                <c:pt idx="384">
                  <c:v>2.0942212362976633E-2</c:v>
                </c:pt>
                <c:pt idx="385">
                  <c:v>1.9486784628182343E-2</c:v>
                </c:pt>
                <c:pt idx="386">
                  <c:v>3.2027747626455487E-2</c:v>
                </c:pt>
                <c:pt idx="387">
                  <c:v>2.6482182907986797E-2</c:v>
                </c:pt>
                <c:pt idx="388">
                  <c:v>2.0912064589595731E-2</c:v>
                </c:pt>
                <c:pt idx="389">
                  <c:v>2.7183755008281796E-2</c:v>
                </c:pt>
                <c:pt idx="390">
                  <c:v>2.8507766056526586E-2</c:v>
                </c:pt>
                <c:pt idx="391">
                  <c:v>2.6221043367921564E-2</c:v>
                </c:pt>
                <c:pt idx="392">
                  <c:v>2.5258451020197449E-2</c:v>
                </c:pt>
                <c:pt idx="393">
                  <c:v>3.7278109715749859E-2</c:v>
                </c:pt>
                <c:pt idx="394">
                  <c:v>2.2053305060347132E-2</c:v>
                </c:pt>
                <c:pt idx="395">
                  <c:v>2.404823320458049E-2</c:v>
                </c:pt>
                <c:pt idx="396">
                  <c:v>2.0809976478875711E-2</c:v>
                </c:pt>
                <c:pt idx="397">
                  <c:v>2.7379167496794216E-2</c:v>
                </c:pt>
                <c:pt idx="398">
                  <c:v>1.9220191674816714E-2</c:v>
                </c:pt>
                <c:pt idx="399">
                  <c:v>2.1606162043072391E-2</c:v>
                </c:pt>
                <c:pt idx="400">
                  <c:v>1.4649075320035532E-2</c:v>
                </c:pt>
                <c:pt idx="401">
                  <c:v>3.1509694292932114E-2</c:v>
                </c:pt>
                <c:pt idx="402">
                  <c:v>1.7407240455999447E-2</c:v>
                </c:pt>
                <c:pt idx="403">
                  <c:v>2.8880159175803759E-2</c:v>
                </c:pt>
                <c:pt idx="404">
                  <c:v>2.0526772048862097E-2</c:v>
                </c:pt>
                <c:pt idx="405">
                  <c:v>2.706022171016725E-2</c:v>
                </c:pt>
                <c:pt idx="406">
                  <c:v>1.9563836887628118E-2</c:v>
                </c:pt>
                <c:pt idx="407">
                  <c:v>2.6121335212636293E-2</c:v>
                </c:pt>
                <c:pt idx="408">
                  <c:v>1.4574766816487179E-2</c:v>
                </c:pt>
                <c:pt idx="409">
                  <c:v>1.6102689909660912E-2</c:v>
                </c:pt>
                <c:pt idx="410">
                  <c:v>2.2728373568330792E-2</c:v>
                </c:pt>
                <c:pt idx="411">
                  <c:v>2.9456718757481567E-2</c:v>
                </c:pt>
                <c:pt idx="412">
                  <c:v>2.3912293997132406E-2</c:v>
                </c:pt>
                <c:pt idx="413">
                  <c:v>2.1914049330898203E-2</c:v>
                </c:pt>
                <c:pt idx="414">
                  <c:v>1.9743930703222775E-2</c:v>
                </c:pt>
                <c:pt idx="415">
                  <c:v>2.8338893848189103E-2</c:v>
                </c:pt>
                <c:pt idx="416">
                  <c:v>2.3561092097770471E-2</c:v>
                </c:pt>
                <c:pt idx="417">
                  <c:v>1.7122919491316009E-2</c:v>
                </c:pt>
                <c:pt idx="418">
                  <c:v>1.7866499127101445E-2</c:v>
                </c:pt>
                <c:pt idx="419">
                  <c:v>2.2591062025039087E-2</c:v>
                </c:pt>
                <c:pt idx="420">
                  <c:v>2.0967015607165636E-2</c:v>
                </c:pt>
                <c:pt idx="421">
                  <c:v>1.7596469876789828E-2</c:v>
                </c:pt>
                <c:pt idx="422">
                  <c:v>2.899828372223193E-2</c:v>
                </c:pt>
                <c:pt idx="423">
                  <c:v>2.596138775980688E-2</c:v>
                </c:pt>
                <c:pt idx="424">
                  <c:v>2.2974111051095734E-2</c:v>
                </c:pt>
                <c:pt idx="425">
                  <c:v>2.288192750522796E-2</c:v>
                </c:pt>
                <c:pt idx="426">
                  <c:v>2.1985368262666144E-2</c:v>
                </c:pt>
                <c:pt idx="427">
                  <c:v>2.4458096822067905E-2</c:v>
                </c:pt>
                <c:pt idx="428">
                  <c:v>1.7877166137071368E-2</c:v>
                </c:pt>
                <c:pt idx="429">
                  <c:v>2.2072147528729876E-2</c:v>
                </c:pt>
                <c:pt idx="430">
                  <c:v>2.7009862309550731E-2</c:v>
                </c:pt>
                <c:pt idx="431">
                  <c:v>2.8585214381309329E-2</c:v>
                </c:pt>
                <c:pt idx="432">
                  <c:v>2.4781057926022972E-2</c:v>
                </c:pt>
                <c:pt idx="433">
                  <c:v>2.4365050633964814E-2</c:v>
                </c:pt>
                <c:pt idx="434">
                  <c:v>2.2873749239866809E-2</c:v>
                </c:pt>
                <c:pt idx="435">
                  <c:v>1.6282701539169647E-2</c:v>
                </c:pt>
                <c:pt idx="436">
                  <c:v>1.796040562411021E-2</c:v>
                </c:pt>
                <c:pt idx="437">
                  <c:v>2.5242696150250106E-2</c:v>
                </c:pt>
                <c:pt idx="438">
                  <c:v>3.5400931549479729E-2</c:v>
                </c:pt>
                <c:pt idx="439">
                  <c:v>2.3367972883439225E-2</c:v>
                </c:pt>
                <c:pt idx="440">
                  <c:v>2.3455186247943554E-2</c:v>
                </c:pt>
                <c:pt idx="441">
                  <c:v>2.0903904277421732E-2</c:v>
                </c:pt>
                <c:pt idx="442">
                  <c:v>2.3678209530357954E-2</c:v>
                </c:pt>
                <c:pt idx="443">
                  <c:v>2.5776459883170268E-2</c:v>
                </c:pt>
                <c:pt idx="444">
                  <c:v>2.8680712682886956E-2</c:v>
                </c:pt>
                <c:pt idx="445">
                  <c:v>2.0049323748720645E-2</c:v>
                </c:pt>
                <c:pt idx="446">
                  <c:v>3.0216443361670196E-2</c:v>
                </c:pt>
                <c:pt idx="447">
                  <c:v>2.4804133359617519E-2</c:v>
                </c:pt>
                <c:pt idx="448">
                  <c:v>2.4424730733544193E-2</c:v>
                </c:pt>
                <c:pt idx="449">
                  <c:v>3.3467048096221155E-2</c:v>
                </c:pt>
                <c:pt idx="450">
                  <c:v>2.9016875592688129E-2</c:v>
                </c:pt>
                <c:pt idx="451">
                  <c:v>2.0144814937261175E-2</c:v>
                </c:pt>
                <c:pt idx="452">
                  <c:v>2.7564021080945637E-2</c:v>
                </c:pt>
                <c:pt idx="453">
                  <c:v>1.7961190330016245E-2</c:v>
                </c:pt>
                <c:pt idx="454">
                  <c:v>3.3147042575075114E-2</c:v>
                </c:pt>
                <c:pt idx="455">
                  <c:v>3.6746432472656812E-2</c:v>
                </c:pt>
                <c:pt idx="456">
                  <c:v>2.7508109943837792E-2</c:v>
                </c:pt>
                <c:pt idx="457">
                  <c:v>2.6249019278252801E-2</c:v>
                </c:pt>
                <c:pt idx="458">
                  <c:v>2.8115759047218032E-2</c:v>
                </c:pt>
                <c:pt idx="459">
                  <c:v>2.3601056732159342E-2</c:v>
                </c:pt>
                <c:pt idx="460">
                  <c:v>1.7293002812486063E-2</c:v>
                </c:pt>
                <c:pt idx="461">
                  <c:v>2.2751429714535022E-2</c:v>
                </c:pt>
                <c:pt idx="462">
                  <c:v>1.7912550335084487E-2</c:v>
                </c:pt>
                <c:pt idx="463">
                  <c:v>2.0568330185954029E-2</c:v>
                </c:pt>
                <c:pt idx="464">
                  <c:v>1.5982380613654656E-2</c:v>
                </c:pt>
                <c:pt idx="465">
                  <c:v>2.6894798810828714E-2</c:v>
                </c:pt>
                <c:pt idx="466">
                  <c:v>2.8745172038787764E-2</c:v>
                </c:pt>
                <c:pt idx="467">
                  <c:v>2.176660936247991E-2</c:v>
                </c:pt>
                <c:pt idx="468">
                  <c:v>2.6651291487554383E-2</c:v>
                </c:pt>
                <c:pt idx="469">
                  <c:v>1.5836415423946263E-2</c:v>
                </c:pt>
                <c:pt idx="470">
                  <c:v>2.4582502309270261E-2</c:v>
                </c:pt>
                <c:pt idx="471">
                  <c:v>2.6153864617055562E-2</c:v>
                </c:pt>
                <c:pt idx="472">
                  <c:v>2.8700600959087205E-2</c:v>
                </c:pt>
                <c:pt idx="473">
                  <c:v>2.882279024872798E-2</c:v>
                </c:pt>
                <c:pt idx="474">
                  <c:v>2.0072210747472553E-2</c:v>
                </c:pt>
                <c:pt idx="475">
                  <c:v>1.7670855315293183E-2</c:v>
                </c:pt>
                <c:pt idx="476">
                  <c:v>2.3296825363755894E-2</c:v>
                </c:pt>
                <c:pt idx="477">
                  <c:v>2.4726225659837703E-2</c:v>
                </c:pt>
                <c:pt idx="478">
                  <c:v>2.251727765697294E-2</c:v>
                </c:pt>
                <c:pt idx="479">
                  <c:v>3.3970652585870093E-2</c:v>
                </c:pt>
                <c:pt idx="480">
                  <c:v>1.7861090914290993E-2</c:v>
                </c:pt>
                <c:pt idx="481">
                  <c:v>2.2854681213245739E-2</c:v>
                </c:pt>
                <c:pt idx="482">
                  <c:v>2.4174837272723217E-2</c:v>
                </c:pt>
                <c:pt idx="483">
                  <c:v>2.5226936542198878E-2</c:v>
                </c:pt>
                <c:pt idx="484">
                  <c:v>2.6778244534087808E-2</c:v>
                </c:pt>
                <c:pt idx="485">
                  <c:v>2.9225604310536332E-2</c:v>
                </c:pt>
                <c:pt idx="486">
                  <c:v>1.5933433087565899E-2</c:v>
                </c:pt>
                <c:pt idx="487">
                  <c:v>2.6957044030663655E-2</c:v>
                </c:pt>
                <c:pt idx="488">
                  <c:v>2.536309614449361E-2</c:v>
                </c:pt>
                <c:pt idx="489">
                  <c:v>2.9631960531293609E-2</c:v>
                </c:pt>
                <c:pt idx="490">
                  <c:v>2.4189681865835307E-2</c:v>
                </c:pt>
                <c:pt idx="491">
                  <c:v>2.9442864730597283E-2</c:v>
                </c:pt>
                <c:pt idx="492">
                  <c:v>2.1924189380345644E-2</c:v>
                </c:pt>
                <c:pt idx="493">
                  <c:v>2.5677477292735732E-2</c:v>
                </c:pt>
                <c:pt idx="494">
                  <c:v>2.2744307380157494E-2</c:v>
                </c:pt>
                <c:pt idx="495">
                  <c:v>2.2235957560388767E-2</c:v>
                </c:pt>
                <c:pt idx="496">
                  <c:v>1.6382177042501569E-2</c:v>
                </c:pt>
                <c:pt idx="497">
                  <c:v>2.2392273998694853E-2</c:v>
                </c:pt>
                <c:pt idx="498">
                  <c:v>2.1765957424385692E-2</c:v>
                </c:pt>
                <c:pt idx="499">
                  <c:v>2.7650382586604221E-2</c:v>
                </c:pt>
                <c:pt idx="500">
                  <c:v>1.8566353822821662E-2</c:v>
                </c:pt>
                <c:pt idx="501">
                  <c:v>3.0288659886319264E-2</c:v>
                </c:pt>
                <c:pt idx="502">
                  <c:v>1.9468311126844447E-2</c:v>
                </c:pt>
                <c:pt idx="503">
                  <c:v>2.312953693241044E-2</c:v>
                </c:pt>
                <c:pt idx="504">
                  <c:v>2.0492686539160344E-2</c:v>
                </c:pt>
                <c:pt idx="505">
                  <c:v>1.7788665473756363E-2</c:v>
                </c:pt>
                <c:pt idx="506">
                  <c:v>1.8001783783721467E-2</c:v>
                </c:pt>
                <c:pt idx="507">
                  <c:v>2.7618949446783489E-2</c:v>
                </c:pt>
                <c:pt idx="508">
                  <c:v>2.2067828955640297E-2</c:v>
                </c:pt>
                <c:pt idx="509">
                  <c:v>1.8216565679092699E-2</c:v>
                </c:pt>
                <c:pt idx="510">
                  <c:v>2.1164647098420294E-2</c:v>
                </c:pt>
                <c:pt idx="511">
                  <c:v>2.5125533304627738E-2</c:v>
                </c:pt>
                <c:pt idx="512">
                  <c:v>2.5804766484643703E-2</c:v>
                </c:pt>
                <c:pt idx="513">
                  <c:v>2.542698242894622E-2</c:v>
                </c:pt>
                <c:pt idx="514">
                  <c:v>2.9524070698922197E-2</c:v>
                </c:pt>
                <c:pt idx="515">
                  <c:v>2.0781169519282956E-2</c:v>
                </c:pt>
                <c:pt idx="516">
                  <c:v>2.6860328637792311E-2</c:v>
                </c:pt>
                <c:pt idx="517">
                  <c:v>2.8605130515057996E-2</c:v>
                </c:pt>
                <c:pt idx="518">
                  <c:v>2.9106964903445387E-2</c:v>
                </c:pt>
                <c:pt idx="519">
                  <c:v>2.4361392368023416E-2</c:v>
                </c:pt>
                <c:pt idx="520">
                  <c:v>2.3697705107347859E-2</c:v>
                </c:pt>
                <c:pt idx="521">
                  <c:v>1.4542192720587026E-2</c:v>
                </c:pt>
                <c:pt idx="522">
                  <c:v>2.5224187435771706E-2</c:v>
                </c:pt>
                <c:pt idx="523">
                  <c:v>1.6136633485742135E-2</c:v>
                </c:pt>
                <c:pt idx="524">
                  <c:v>1.6429486000625916E-2</c:v>
                </c:pt>
                <c:pt idx="525">
                  <c:v>2.5559023764424614E-2</c:v>
                </c:pt>
                <c:pt idx="526">
                  <c:v>2.7175460885031696E-2</c:v>
                </c:pt>
                <c:pt idx="527">
                  <c:v>2.7963823999343988E-2</c:v>
                </c:pt>
                <c:pt idx="528">
                  <c:v>1.8633051157873899E-2</c:v>
                </c:pt>
                <c:pt idx="529">
                  <c:v>2.4923612714534863E-2</c:v>
                </c:pt>
                <c:pt idx="530">
                  <c:v>1.4950578669062643E-2</c:v>
                </c:pt>
                <c:pt idx="531">
                  <c:v>2.7845527384922332E-2</c:v>
                </c:pt>
                <c:pt idx="532">
                  <c:v>2.179482867715796E-2</c:v>
                </c:pt>
                <c:pt idx="533">
                  <c:v>2.1169096515816888E-2</c:v>
                </c:pt>
                <c:pt idx="534">
                  <c:v>2.2710895370560369E-2</c:v>
                </c:pt>
                <c:pt idx="535">
                  <c:v>2.6629373901366358E-2</c:v>
                </c:pt>
                <c:pt idx="536">
                  <c:v>1.7783440414829786E-2</c:v>
                </c:pt>
                <c:pt idx="537">
                  <c:v>2.2575792665169802E-2</c:v>
                </c:pt>
                <c:pt idx="538">
                  <c:v>2.3810247819215362E-2</c:v>
                </c:pt>
                <c:pt idx="539">
                  <c:v>3.0499193610545823E-2</c:v>
                </c:pt>
                <c:pt idx="540">
                  <c:v>2.2902275702525295E-2</c:v>
                </c:pt>
                <c:pt idx="541">
                  <c:v>2.9599358798776534E-2</c:v>
                </c:pt>
                <c:pt idx="542">
                  <c:v>1.9032395649074402E-2</c:v>
                </c:pt>
                <c:pt idx="543">
                  <c:v>2.059008906566594E-2</c:v>
                </c:pt>
                <c:pt idx="544">
                  <c:v>2.5438340454694151E-2</c:v>
                </c:pt>
                <c:pt idx="545">
                  <c:v>2.6608186608617752E-2</c:v>
                </c:pt>
                <c:pt idx="546">
                  <c:v>3.963800325417615E-2</c:v>
                </c:pt>
                <c:pt idx="547">
                  <c:v>1.9574266480474726E-2</c:v>
                </c:pt>
                <c:pt idx="548">
                  <c:v>2.3426318383928026E-2</c:v>
                </c:pt>
                <c:pt idx="549">
                  <c:v>2.2239372248769426E-2</c:v>
                </c:pt>
                <c:pt idx="550">
                  <c:v>2.7990503652620784E-2</c:v>
                </c:pt>
                <c:pt idx="551">
                  <c:v>2.0872154538137989E-2</c:v>
                </c:pt>
                <c:pt idx="552">
                  <c:v>3.3901845937625151E-2</c:v>
                </c:pt>
                <c:pt idx="553">
                  <c:v>1.7712917256100417E-2</c:v>
                </c:pt>
                <c:pt idx="554">
                  <c:v>2.639521614596976E-2</c:v>
                </c:pt>
                <c:pt idx="555">
                  <c:v>1.3634012703306371E-2</c:v>
                </c:pt>
                <c:pt idx="556">
                  <c:v>1.8143873581364555E-2</c:v>
                </c:pt>
                <c:pt idx="557">
                  <c:v>2.5123087142556375E-2</c:v>
                </c:pt>
                <c:pt idx="558">
                  <c:v>1.8104706371752481E-2</c:v>
                </c:pt>
                <c:pt idx="559">
                  <c:v>2.5628519862939413E-2</c:v>
                </c:pt>
                <c:pt idx="560">
                  <c:v>1.5364203056495097E-2</c:v>
                </c:pt>
                <c:pt idx="561">
                  <c:v>1.7150198813693663E-2</c:v>
                </c:pt>
                <c:pt idx="562">
                  <c:v>2.2748318173730658E-2</c:v>
                </c:pt>
                <c:pt idx="563">
                  <c:v>2.2645936186413664E-2</c:v>
                </c:pt>
                <c:pt idx="564">
                  <c:v>2.787050973708223E-2</c:v>
                </c:pt>
                <c:pt idx="565">
                  <c:v>2.0392353067149097E-2</c:v>
                </c:pt>
                <c:pt idx="566">
                  <c:v>3.363348826607173E-2</c:v>
                </c:pt>
                <c:pt idx="567">
                  <c:v>2.1249384490447616E-2</c:v>
                </c:pt>
                <c:pt idx="568">
                  <c:v>2.3744174656172113E-2</c:v>
                </c:pt>
                <c:pt idx="569">
                  <c:v>3.0295029855542364E-2</c:v>
                </c:pt>
                <c:pt idx="570">
                  <c:v>2.2608911870171531E-2</c:v>
                </c:pt>
                <c:pt idx="571">
                  <c:v>2.2889235406667565E-2</c:v>
                </c:pt>
                <c:pt idx="572">
                  <c:v>2.1302753727346763E-2</c:v>
                </c:pt>
                <c:pt idx="573">
                  <c:v>2.9226698936800553E-2</c:v>
                </c:pt>
                <c:pt idx="574">
                  <c:v>2.5120866080174387E-2</c:v>
                </c:pt>
                <c:pt idx="575">
                  <c:v>1.8277767061225136E-2</c:v>
                </c:pt>
                <c:pt idx="576">
                  <c:v>2.4257625036475178E-2</c:v>
                </c:pt>
                <c:pt idx="577">
                  <c:v>2.1575633059756863E-2</c:v>
                </c:pt>
                <c:pt idx="578">
                  <c:v>2.1101184901464769E-2</c:v>
                </c:pt>
                <c:pt idx="579">
                  <c:v>2.0535240569871414E-2</c:v>
                </c:pt>
                <c:pt idx="580">
                  <c:v>3.0440470955210807E-2</c:v>
                </c:pt>
                <c:pt idx="581">
                  <c:v>2.8322035826893639E-2</c:v>
                </c:pt>
                <c:pt idx="582">
                  <c:v>1.9247564218315076E-2</c:v>
                </c:pt>
                <c:pt idx="583">
                  <c:v>1.8749332372559432E-2</c:v>
                </c:pt>
                <c:pt idx="584">
                  <c:v>2.8583058005122959E-2</c:v>
                </c:pt>
                <c:pt idx="585">
                  <c:v>2.538508749969616E-2</c:v>
                </c:pt>
                <c:pt idx="586">
                  <c:v>1.8971479457321024E-2</c:v>
                </c:pt>
                <c:pt idx="587">
                  <c:v>2.3840933952590227E-2</c:v>
                </c:pt>
                <c:pt idx="588">
                  <c:v>1.4709793939950611E-2</c:v>
                </c:pt>
                <c:pt idx="589">
                  <c:v>1.7822906708970757E-2</c:v>
                </c:pt>
                <c:pt idx="590">
                  <c:v>2.022797389221808E-2</c:v>
                </c:pt>
                <c:pt idx="591">
                  <c:v>1.9647046462900258E-2</c:v>
                </c:pt>
                <c:pt idx="592">
                  <c:v>1.8458417066150059E-2</c:v>
                </c:pt>
                <c:pt idx="593">
                  <c:v>3.1649674762965582E-2</c:v>
                </c:pt>
                <c:pt idx="594">
                  <c:v>2.7187424210256193E-2</c:v>
                </c:pt>
                <c:pt idx="595">
                  <c:v>2.2948036834227595E-2</c:v>
                </c:pt>
                <c:pt idx="596">
                  <c:v>3.024122057142432E-2</c:v>
                </c:pt>
                <c:pt idx="597">
                  <c:v>1.6366759489686574E-2</c:v>
                </c:pt>
                <c:pt idx="598">
                  <c:v>1.7159482593500544E-2</c:v>
                </c:pt>
                <c:pt idx="599">
                  <c:v>2.3574927822825067E-2</c:v>
                </c:pt>
                <c:pt idx="600">
                  <c:v>2.2310056273289882E-2</c:v>
                </c:pt>
                <c:pt idx="601">
                  <c:v>1.8184187487648207E-2</c:v>
                </c:pt>
                <c:pt idx="602">
                  <c:v>1.3445244101635447E-2</c:v>
                </c:pt>
                <c:pt idx="603">
                  <c:v>2.7020487148785851E-2</c:v>
                </c:pt>
                <c:pt idx="604">
                  <c:v>2.9022505851760874E-2</c:v>
                </c:pt>
                <c:pt idx="605">
                  <c:v>2.7064746526077054E-2</c:v>
                </c:pt>
                <c:pt idx="606">
                  <c:v>2.6677054143722255E-2</c:v>
                </c:pt>
                <c:pt idx="607">
                  <c:v>1.9535491507152773E-2</c:v>
                </c:pt>
                <c:pt idx="608">
                  <c:v>3.4904929465936284E-2</c:v>
                </c:pt>
                <c:pt idx="609">
                  <c:v>2.6477340270645171E-2</c:v>
                </c:pt>
                <c:pt idx="610">
                  <c:v>2.2657445936076329E-2</c:v>
                </c:pt>
                <c:pt idx="611">
                  <c:v>2.2405331638568372E-2</c:v>
                </c:pt>
                <c:pt idx="612">
                  <c:v>2.417914753754484E-2</c:v>
                </c:pt>
                <c:pt idx="613">
                  <c:v>2.9119127516287507E-2</c:v>
                </c:pt>
                <c:pt idx="614">
                  <c:v>1.9174846229413907E-2</c:v>
                </c:pt>
                <c:pt idx="615">
                  <c:v>2.1597017292609058E-2</c:v>
                </c:pt>
                <c:pt idx="616">
                  <c:v>1.6517290120338667E-2</c:v>
                </c:pt>
                <c:pt idx="617">
                  <c:v>2.0862576111502315E-2</c:v>
                </c:pt>
                <c:pt idx="618">
                  <c:v>2.4970795023360033E-2</c:v>
                </c:pt>
                <c:pt idx="619">
                  <c:v>2.5396511182945555E-2</c:v>
                </c:pt>
                <c:pt idx="620">
                  <c:v>1.4636717494082612E-2</c:v>
                </c:pt>
                <c:pt idx="621">
                  <c:v>2.7149692514504085E-2</c:v>
                </c:pt>
                <c:pt idx="622">
                  <c:v>3.1289441988703495E-2</c:v>
                </c:pt>
                <c:pt idx="623">
                  <c:v>1.526208320934694E-2</c:v>
                </c:pt>
                <c:pt idx="624">
                  <c:v>2.638267022216282E-2</c:v>
                </c:pt>
                <c:pt idx="625">
                  <c:v>2.5120392808496095E-2</c:v>
                </c:pt>
                <c:pt idx="626">
                  <c:v>2.9507789566175443E-2</c:v>
                </c:pt>
                <c:pt idx="627">
                  <c:v>2.5904097944662852E-2</c:v>
                </c:pt>
                <c:pt idx="628">
                  <c:v>2.2872380945118426E-2</c:v>
                </c:pt>
                <c:pt idx="629">
                  <c:v>3.4274859644661815E-2</c:v>
                </c:pt>
                <c:pt idx="630">
                  <c:v>2.3621810537160143E-2</c:v>
                </c:pt>
                <c:pt idx="631">
                  <c:v>2.779580484098812E-2</c:v>
                </c:pt>
                <c:pt idx="632">
                  <c:v>2.1051687063778579E-2</c:v>
                </c:pt>
                <c:pt idx="633">
                  <c:v>1.5234378213120934E-2</c:v>
                </c:pt>
                <c:pt idx="634">
                  <c:v>2.9122117964095889E-2</c:v>
                </c:pt>
                <c:pt idx="635">
                  <c:v>3.0519801333346065E-2</c:v>
                </c:pt>
                <c:pt idx="636">
                  <c:v>2.2931208031689038E-2</c:v>
                </c:pt>
                <c:pt idx="637">
                  <c:v>2.609289067705985E-2</c:v>
                </c:pt>
                <c:pt idx="638">
                  <c:v>2.1615341658279875E-2</c:v>
                </c:pt>
                <c:pt idx="639">
                  <c:v>1.9802197171328726E-2</c:v>
                </c:pt>
                <c:pt idx="640">
                  <c:v>1.3558331094918552E-2</c:v>
                </c:pt>
                <c:pt idx="641">
                  <c:v>2.9573236075913334E-2</c:v>
                </c:pt>
                <c:pt idx="642">
                  <c:v>2.2330744122572372E-2</c:v>
                </c:pt>
                <c:pt idx="643">
                  <c:v>1.4630212570961993E-2</c:v>
                </c:pt>
                <c:pt idx="644">
                  <c:v>2.8611027185732718E-2</c:v>
                </c:pt>
                <c:pt idx="645">
                  <c:v>1.7882837447173932E-2</c:v>
                </c:pt>
                <c:pt idx="646">
                  <c:v>1.579496067321463E-2</c:v>
                </c:pt>
                <c:pt idx="647">
                  <c:v>2.4937376923956187E-2</c:v>
                </c:pt>
                <c:pt idx="648">
                  <c:v>3.0506788902177177E-2</c:v>
                </c:pt>
                <c:pt idx="649">
                  <c:v>2.4913358578611752E-2</c:v>
                </c:pt>
                <c:pt idx="650">
                  <c:v>2.5772675116050199E-2</c:v>
                </c:pt>
                <c:pt idx="651">
                  <c:v>2.9117276740791662E-2</c:v>
                </c:pt>
                <c:pt idx="652">
                  <c:v>2.2955775781296296E-2</c:v>
                </c:pt>
                <c:pt idx="653">
                  <c:v>2.4234017213147514E-2</c:v>
                </c:pt>
                <c:pt idx="654">
                  <c:v>1.8380081383859392E-2</c:v>
                </c:pt>
                <c:pt idx="655">
                  <c:v>3.3656849290674036E-2</c:v>
                </c:pt>
                <c:pt idx="656">
                  <c:v>3.1567319962155428E-2</c:v>
                </c:pt>
                <c:pt idx="657">
                  <c:v>2.0907897919307233E-2</c:v>
                </c:pt>
                <c:pt idx="658">
                  <c:v>1.9804067182123287E-2</c:v>
                </c:pt>
                <c:pt idx="659">
                  <c:v>1.8255171040955736E-2</c:v>
                </c:pt>
                <c:pt idx="660">
                  <c:v>2.7166816493405719E-2</c:v>
                </c:pt>
                <c:pt idx="661">
                  <c:v>2.3225874831837062E-2</c:v>
                </c:pt>
                <c:pt idx="662">
                  <c:v>2.1984122530130261E-2</c:v>
                </c:pt>
                <c:pt idx="663">
                  <c:v>2.5553998411754129E-2</c:v>
                </c:pt>
                <c:pt idx="664">
                  <c:v>2.0964021213262532E-2</c:v>
                </c:pt>
                <c:pt idx="665">
                  <c:v>2.3150279550649428E-2</c:v>
                </c:pt>
                <c:pt idx="666">
                  <c:v>2.1257079763153861E-2</c:v>
                </c:pt>
                <c:pt idx="667">
                  <c:v>2.2266903114042443E-2</c:v>
                </c:pt>
                <c:pt idx="668">
                  <c:v>1.1117214058017454E-2</c:v>
                </c:pt>
                <c:pt idx="669">
                  <c:v>2.9066343823488813E-2</c:v>
                </c:pt>
                <c:pt idx="670">
                  <c:v>2.490487820770557E-2</c:v>
                </c:pt>
                <c:pt idx="671">
                  <c:v>2.5749348529290537E-2</c:v>
                </c:pt>
                <c:pt idx="672">
                  <c:v>2.7306769064810204E-2</c:v>
                </c:pt>
                <c:pt idx="673">
                  <c:v>2.4203474582395395E-2</c:v>
                </c:pt>
                <c:pt idx="674">
                  <c:v>1.4010109178538491E-2</c:v>
                </c:pt>
                <c:pt idx="675">
                  <c:v>2.6440281032374571E-2</c:v>
                </c:pt>
                <c:pt idx="676">
                  <c:v>1.6032152618073434E-2</c:v>
                </c:pt>
                <c:pt idx="677">
                  <c:v>3.4156133996185022E-2</c:v>
                </c:pt>
                <c:pt idx="678">
                  <c:v>3.3537553087130072E-2</c:v>
                </c:pt>
                <c:pt idx="679">
                  <c:v>2.0795889369962756E-2</c:v>
                </c:pt>
                <c:pt idx="680">
                  <c:v>1.9822636848315343E-2</c:v>
                </c:pt>
                <c:pt idx="681">
                  <c:v>2.966077828644343E-2</c:v>
                </c:pt>
                <c:pt idx="682">
                  <c:v>2.1165592048913048E-2</c:v>
                </c:pt>
                <c:pt idx="683">
                  <c:v>3.2549389368158273E-2</c:v>
                </c:pt>
                <c:pt idx="684">
                  <c:v>2.3531040848618751E-2</c:v>
                </c:pt>
                <c:pt idx="685">
                  <c:v>2.289393432553289E-2</c:v>
                </c:pt>
                <c:pt idx="686">
                  <c:v>2.1513308365774218E-2</c:v>
                </c:pt>
                <c:pt idx="687">
                  <c:v>2.3386708131448049E-2</c:v>
                </c:pt>
                <c:pt idx="688">
                  <c:v>1.7491145265716705E-2</c:v>
                </c:pt>
                <c:pt idx="689">
                  <c:v>2.35464000714329E-2</c:v>
                </c:pt>
                <c:pt idx="690">
                  <c:v>2.6912657837174447E-2</c:v>
                </c:pt>
                <c:pt idx="691">
                  <c:v>9.5896530134184626E-3</c:v>
                </c:pt>
                <c:pt idx="692">
                  <c:v>2.4169816823911745E-2</c:v>
                </c:pt>
                <c:pt idx="693">
                  <c:v>1.9799066350067902E-2</c:v>
                </c:pt>
                <c:pt idx="694">
                  <c:v>2.226087281772739E-2</c:v>
                </c:pt>
                <c:pt idx="695">
                  <c:v>2.8017852796412567E-2</c:v>
                </c:pt>
                <c:pt idx="696">
                  <c:v>1.9002929711869485E-2</c:v>
                </c:pt>
                <c:pt idx="697">
                  <c:v>1.8051021657951607E-2</c:v>
                </c:pt>
                <c:pt idx="698">
                  <c:v>3.2466252248483603E-2</c:v>
                </c:pt>
                <c:pt idx="699">
                  <c:v>2.7156772895190577E-2</c:v>
                </c:pt>
                <c:pt idx="700">
                  <c:v>1.4357304351320661E-2</c:v>
                </c:pt>
                <c:pt idx="701">
                  <c:v>1.8814967639979321E-2</c:v>
                </c:pt>
                <c:pt idx="702">
                  <c:v>2.4742049476222237E-2</c:v>
                </c:pt>
                <c:pt idx="703">
                  <c:v>2.9908733571640166E-2</c:v>
                </c:pt>
                <c:pt idx="704">
                  <c:v>2.0044064733751938E-2</c:v>
                </c:pt>
                <c:pt idx="705">
                  <c:v>2.441930549243463E-2</c:v>
                </c:pt>
                <c:pt idx="706">
                  <c:v>1.9216804999434341E-2</c:v>
                </c:pt>
                <c:pt idx="707">
                  <c:v>2.2559577738012725E-2</c:v>
                </c:pt>
                <c:pt idx="708">
                  <c:v>2.4398333091027541E-2</c:v>
                </c:pt>
                <c:pt idx="709">
                  <c:v>2.2772789883486789E-2</c:v>
                </c:pt>
                <c:pt idx="710">
                  <c:v>2.4975676413645426E-2</c:v>
                </c:pt>
                <c:pt idx="711">
                  <c:v>2.8773356870051729E-2</c:v>
                </c:pt>
                <c:pt idx="712">
                  <c:v>1.758661916197354E-2</c:v>
                </c:pt>
                <c:pt idx="713">
                  <c:v>2.4005255655864539E-2</c:v>
                </c:pt>
                <c:pt idx="714">
                  <c:v>2.6735619932842816E-2</c:v>
                </c:pt>
                <c:pt idx="715">
                  <c:v>2.2428785613762652E-2</c:v>
                </c:pt>
                <c:pt idx="716">
                  <c:v>2.9860458201280887E-2</c:v>
                </c:pt>
                <c:pt idx="717">
                  <c:v>2.5074538810656202E-2</c:v>
                </c:pt>
                <c:pt idx="718">
                  <c:v>2.1528688413992681E-2</c:v>
                </c:pt>
                <c:pt idx="719">
                  <c:v>2.5443060723204715E-2</c:v>
                </c:pt>
                <c:pt idx="720">
                  <c:v>2.7460045513137764E-2</c:v>
                </c:pt>
                <c:pt idx="721">
                  <c:v>2.2439467986109084E-2</c:v>
                </c:pt>
                <c:pt idx="722">
                  <c:v>2.0857862217158993E-2</c:v>
                </c:pt>
                <c:pt idx="723">
                  <c:v>2.0346184632085075E-2</c:v>
                </c:pt>
                <c:pt idx="724">
                  <c:v>2.2581092363166185E-2</c:v>
                </c:pt>
                <c:pt idx="725">
                  <c:v>1.6906231631402303E-2</c:v>
                </c:pt>
                <c:pt idx="726">
                  <c:v>2.0551475767630247E-2</c:v>
                </c:pt>
                <c:pt idx="727">
                  <c:v>2.9030933876406175E-2</c:v>
                </c:pt>
                <c:pt idx="728">
                  <c:v>1.4141427587708691E-2</c:v>
                </c:pt>
                <c:pt idx="729">
                  <c:v>2.3599442022109479E-2</c:v>
                </c:pt>
                <c:pt idx="730">
                  <c:v>2.0365639490135222E-2</c:v>
                </c:pt>
                <c:pt idx="731">
                  <c:v>2.95521786327008E-2</c:v>
                </c:pt>
                <c:pt idx="732">
                  <c:v>2.7032319396804252E-2</c:v>
                </c:pt>
                <c:pt idx="733">
                  <c:v>2.3169165754906962E-2</c:v>
                </c:pt>
                <c:pt idx="734">
                  <c:v>2.4544414014386767E-2</c:v>
                </c:pt>
                <c:pt idx="735">
                  <c:v>1.795958676745401E-2</c:v>
                </c:pt>
                <c:pt idx="736">
                  <c:v>1.7279109613903405E-2</c:v>
                </c:pt>
                <c:pt idx="737">
                  <c:v>2.8319211913648747E-2</c:v>
                </c:pt>
                <c:pt idx="738">
                  <c:v>2.5519406916904769E-2</c:v>
                </c:pt>
                <c:pt idx="739">
                  <c:v>1.7323898475148879E-2</c:v>
                </c:pt>
                <c:pt idx="740">
                  <c:v>1.5423023562341926E-2</c:v>
                </c:pt>
                <c:pt idx="741">
                  <c:v>2.4051514592751268E-2</c:v>
                </c:pt>
                <c:pt idx="742">
                  <c:v>2.5447871699167814E-2</c:v>
                </c:pt>
                <c:pt idx="743">
                  <c:v>2.1472003807926032E-2</c:v>
                </c:pt>
                <c:pt idx="744">
                  <c:v>1.8213445007074981E-2</c:v>
                </c:pt>
                <c:pt idx="745">
                  <c:v>1.3603897078705875E-2</c:v>
                </c:pt>
                <c:pt idx="746">
                  <c:v>2.1966378119560488E-2</c:v>
                </c:pt>
                <c:pt idx="747">
                  <c:v>2.7690785358336967E-2</c:v>
                </c:pt>
                <c:pt idx="748">
                  <c:v>1.7658151049900803E-2</c:v>
                </c:pt>
                <c:pt idx="749">
                  <c:v>2.6291379821518225E-2</c:v>
                </c:pt>
                <c:pt idx="750">
                  <c:v>1.6844646655783183E-2</c:v>
                </c:pt>
                <c:pt idx="751">
                  <c:v>2.4698013285301891E-2</c:v>
                </c:pt>
                <c:pt idx="752">
                  <c:v>2.1431162542315012E-2</c:v>
                </c:pt>
                <c:pt idx="753">
                  <c:v>2.3148647570460493E-2</c:v>
                </c:pt>
                <c:pt idx="754">
                  <c:v>2.5005605572707545E-2</c:v>
                </c:pt>
                <c:pt idx="755">
                  <c:v>3.0489770569896921E-2</c:v>
                </c:pt>
                <c:pt idx="756">
                  <c:v>2.5248540807193503E-2</c:v>
                </c:pt>
                <c:pt idx="757">
                  <c:v>2.2993827048541426E-2</c:v>
                </c:pt>
                <c:pt idx="758">
                  <c:v>2.7137580534080465E-2</c:v>
                </c:pt>
                <c:pt idx="759">
                  <c:v>1.6163584219468806E-2</c:v>
                </c:pt>
                <c:pt idx="760">
                  <c:v>2.9262615378499723E-2</c:v>
                </c:pt>
                <c:pt idx="761">
                  <c:v>2.4121730543396575E-2</c:v>
                </c:pt>
                <c:pt idx="762">
                  <c:v>2.8389586179411327E-2</c:v>
                </c:pt>
                <c:pt idx="763">
                  <c:v>2.4752807417292879E-2</c:v>
                </c:pt>
                <c:pt idx="764">
                  <c:v>3.075457899612484E-2</c:v>
                </c:pt>
                <c:pt idx="765">
                  <c:v>6.5334222471965069E-3</c:v>
                </c:pt>
                <c:pt idx="766">
                  <c:v>2.3191008889835787E-2</c:v>
                </c:pt>
                <c:pt idx="767">
                  <c:v>2.5805052085829415E-2</c:v>
                </c:pt>
                <c:pt idx="768">
                  <c:v>2.2748782447871398E-2</c:v>
                </c:pt>
                <c:pt idx="769">
                  <c:v>3.8875659883888178E-2</c:v>
                </c:pt>
                <c:pt idx="770">
                  <c:v>1.7227832547934929E-2</c:v>
                </c:pt>
                <c:pt idx="771">
                  <c:v>2.0370449219539628E-2</c:v>
                </c:pt>
                <c:pt idx="772">
                  <c:v>1.9368293833838597E-2</c:v>
                </c:pt>
                <c:pt idx="773">
                  <c:v>2.2344480224140279E-2</c:v>
                </c:pt>
                <c:pt idx="774">
                  <c:v>1.4470978511976366E-2</c:v>
                </c:pt>
                <c:pt idx="775">
                  <c:v>2.6582685947433918E-2</c:v>
                </c:pt>
                <c:pt idx="776">
                  <c:v>2.4460018314947134E-2</c:v>
                </c:pt>
                <c:pt idx="777">
                  <c:v>1.68842017638824E-2</c:v>
                </c:pt>
                <c:pt idx="778">
                  <c:v>1.8215442073947454E-2</c:v>
                </c:pt>
                <c:pt idx="779">
                  <c:v>2.6163074834669668E-2</c:v>
                </c:pt>
                <c:pt idx="780">
                  <c:v>2.849496018813865E-2</c:v>
                </c:pt>
                <c:pt idx="781">
                  <c:v>2.378007698730664E-2</c:v>
                </c:pt>
                <c:pt idx="782">
                  <c:v>2.9401083100854517E-2</c:v>
                </c:pt>
                <c:pt idx="783">
                  <c:v>1.7431544413436258E-2</c:v>
                </c:pt>
                <c:pt idx="784">
                  <c:v>2.1528976873391087E-2</c:v>
                </c:pt>
                <c:pt idx="785">
                  <c:v>2.8500111318261762E-2</c:v>
                </c:pt>
                <c:pt idx="786">
                  <c:v>1.8488637733685531E-2</c:v>
                </c:pt>
                <c:pt idx="787">
                  <c:v>2.6290920403983922E-2</c:v>
                </c:pt>
                <c:pt idx="788">
                  <c:v>2.0537226993900412E-2</c:v>
                </c:pt>
                <c:pt idx="789">
                  <c:v>2.2505612670428415E-2</c:v>
                </c:pt>
                <c:pt idx="790">
                  <c:v>2.2242579121943683E-2</c:v>
                </c:pt>
                <c:pt idx="791">
                  <c:v>2.1971899015330056E-2</c:v>
                </c:pt>
                <c:pt idx="792">
                  <c:v>2.1995611721856972E-2</c:v>
                </c:pt>
                <c:pt idx="793">
                  <c:v>3.062322722826823E-2</c:v>
                </c:pt>
                <c:pt idx="794">
                  <c:v>2.1752882925520117E-2</c:v>
                </c:pt>
                <c:pt idx="795">
                  <c:v>3.2515395168362042E-2</c:v>
                </c:pt>
                <c:pt idx="796">
                  <c:v>2.8029843117717133E-2</c:v>
                </c:pt>
                <c:pt idx="797">
                  <c:v>2.411625052026483E-2</c:v>
                </c:pt>
                <c:pt idx="798">
                  <c:v>2.8515431511541803E-2</c:v>
                </c:pt>
                <c:pt idx="799">
                  <c:v>2.3976226234248971E-2</c:v>
                </c:pt>
                <c:pt idx="800">
                  <c:v>2.542353271886166E-2</c:v>
                </c:pt>
                <c:pt idx="801">
                  <c:v>2.9500198116209617E-2</c:v>
                </c:pt>
                <c:pt idx="802">
                  <c:v>1.7420941705473099E-2</c:v>
                </c:pt>
                <c:pt idx="803">
                  <c:v>2.2806092762561122E-2</c:v>
                </c:pt>
                <c:pt idx="804">
                  <c:v>1.3778117421660921E-2</c:v>
                </c:pt>
                <c:pt idx="805">
                  <c:v>1.9769685057399039E-2</c:v>
                </c:pt>
                <c:pt idx="806">
                  <c:v>2.2291285241055971E-2</c:v>
                </c:pt>
                <c:pt idx="807">
                  <c:v>2.7358383323762551E-2</c:v>
                </c:pt>
                <c:pt idx="808">
                  <c:v>2.3853669272112216E-2</c:v>
                </c:pt>
                <c:pt idx="809">
                  <c:v>2.4026436349534306E-2</c:v>
                </c:pt>
                <c:pt idx="810">
                  <c:v>2.238804657796872E-2</c:v>
                </c:pt>
                <c:pt idx="811">
                  <c:v>2.126420365294018E-2</c:v>
                </c:pt>
                <c:pt idx="812">
                  <c:v>2.7312017460896683E-2</c:v>
                </c:pt>
                <c:pt idx="813">
                  <c:v>2.9924246729097641E-2</c:v>
                </c:pt>
                <c:pt idx="814">
                  <c:v>3.3916642128055806E-2</c:v>
                </c:pt>
                <c:pt idx="815">
                  <c:v>2.1927765573611393E-2</c:v>
                </c:pt>
                <c:pt idx="816">
                  <c:v>1.997082893095516E-2</c:v>
                </c:pt>
                <c:pt idx="817">
                  <c:v>2.9907110621580638E-2</c:v>
                </c:pt>
                <c:pt idx="818">
                  <c:v>2.340592353454642E-2</c:v>
                </c:pt>
                <c:pt idx="819">
                  <c:v>1.6655319778423633E-2</c:v>
                </c:pt>
                <c:pt idx="820">
                  <c:v>3.1122685491611346E-2</c:v>
                </c:pt>
                <c:pt idx="821">
                  <c:v>2.0723053903003458E-2</c:v>
                </c:pt>
                <c:pt idx="822">
                  <c:v>2.7612352863003904E-2</c:v>
                </c:pt>
                <c:pt idx="823">
                  <c:v>1.9933343402987774E-2</c:v>
                </c:pt>
                <c:pt idx="824">
                  <c:v>2.162492994639589E-2</c:v>
                </c:pt>
                <c:pt idx="825">
                  <c:v>1.924891129619E-2</c:v>
                </c:pt>
                <c:pt idx="826">
                  <c:v>1.9994714536745374E-2</c:v>
                </c:pt>
                <c:pt idx="827">
                  <c:v>2.9273011783559375E-2</c:v>
                </c:pt>
                <c:pt idx="828">
                  <c:v>1.5353779864950063E-2</c:v>
                </c:pt>
                <c:pt idx="829">
                  <c:v>2.1195290702804827E-2</c:v>
                </c:pt>
                <c:pt idx="830">
                  <c:v>2.302220005299755E-2</c:v>
                </c:pt>
                <c:pt idx="831">
                  <c:v>2.624385177766865E-2</c:v>
                </c:pt>
                <c:pt idx="832">
                  <c:v>3.0636623729353718E-2</c:v>
                </c:pt>
                <c:pt idx="833">
                  <c:v>1.2234657119106917E-2</c:v>
                </c:pt>
                <c:pt idx="834">
                  <c:v>3.2537273197422195E-2</c:v>
                </c:pt>
                <c:pt idx="835">
                  <c:v>2.0368526292342148E-2</c:v>
                </c:pt>
                <c:pt idx="836">
                  <c:v>2.4068779491362016E-2</c:v>
                </c:pt>
                <c:pt idx="837">
                  <c:v>2.2227231002041763E-2</c:v>
                </c:pt>
                <c:pt idx="838">
                  <c:v>2.4223359548386371E-2</c:v>
                </c:pt>
                <c:pt idx="839">
                  <c:v>1.9645815846551395E-2</c:v>
                </c:pt>
                <c:pt idx="840">
                  <c:v>2.2121726759537871E-2</c:v>
                </c:pt>
                <c:pt idx="841">
                  <c:v>3.1891901922462287E-2</c:v>
                </c:pt>
                <c:pt idx="842">
                  <c:v>2.8170717710413004E-2</c:v>
                </c:pt>
                <c:pt idx="843">
                  <c:v>2.3102979463650471E-2</c:v>
                </c:pt>
                <c:pt idx="844">
                  <c:v>2.6103084378273064E-2</c:v>
                </c:pt>
                <c:pt idx="845">
                  <c:v>3.2342219483478159E-2</c:v>
                </c:pt>
                <c:pt idx="846">
                  <c:v>2.1446916606417316E-2</c:v>
                </c:pt>
                <c:pt idx="847">
                  <c:v>2.3420779253010351E-2</c:v>
                </c:pt>
                <c:pt idx="848">
                  <c:v>2.0945004163225887E-2</c:v>
                </c:pt>
                <c:pt idx="849">
                  <c:v>2.0156456974776811E-2</c:v>
                </c:pt>
                <c:pt idx="850">
                  <c:v>2.1136903875845353E-2</c:v>
                </c:pt>
                <c:pt idx="851">
                  <c:v>2.8492850477019816E-2</c:v>
                </c:pt>
                <c:pt idx="852">
                  <c:v>2.3407206319603056E-2</c:v>
                </c:pt>
                <c:pt idx="853">
                  <c:v>2.5049640225996542E-2</c:v>
                </c:pt>
                <c:pt idx="854">
                  <c:v>2.6641389987637074E-2</c:v>
                </c:pt>
                <c:pt idx="855">
                  <c:v>2.5533499380194457E-2</c:v>
                </c:pt>
                <c:pt idx="856">
                  <c:v>1.6103043353930719E-2</c:v>
                </c:pt>
                <c:pt idx="857">
                  <c:v>2.9123217933926412E-2</c:v>
                </c:pt>
                <c:pt idx="858">
                  <c:v>1.9074078348054597E-2</c:v>
                </c:pt>
                <c:pt idx="859">
                  <c:v>2.7830193089259506E-2</c:v>
                </c:pt>
                <c:pt idx="860">
                  <c:v>2.5582106535276462E-2</c:v>
                </c:pt>
                <c:pt idx="861">
                  <c:v>2.8489099374689193E-2</c:v>
                </c:pt>
                <c:pt idx="862">
                  <c:v>2.248285923208581E-2</c:v>
                </c:pt>
                <c:pt idx="863">
                  <c:v>2.4454161921970152E-2</c:v>
                </c:pt>
                <c:pt idx="864">
                  <c:v>2.466923325036895E-2</c:v>
                </c:pt>
                <c:pt idx="865">
                  <c:v>3.1639299810065566E-2</c:v>
                </c:pt>
                <c:pt idx="866">
                  <c:v>3.0577856158908803E-2</c:v>
                </c:pt>
                <c:pt idx="867">
                  <c:v>2.5879101971100656E-2</c:v>
                </c:pt>
                <c:pt idx="868">
                  <c:v>3.292548413440393E-2</c:v>
                </c:pt>
                <c:pt idx="869">
                  <c:v>2.680049601554816E-2</c:v>
                </c:pt>
                <c:pt idx="870">
                  <c:v>2.0982810398880967E-2</c:v>
                </c:pt>
                <c:pt idx="871">
                  <c:v>9.8652541109511774E-3</c:v>
                </c:pt>
                <c:pt idx="872">
                  <c:v>4.2636881346704916E-2</c:v>
                </c:pt>
                <c:pt idx="873">
                  <c:v>2.6814609146685466E-2</c:v>
                </c:pt>
                <c:pt idx="874">
                  <c:v>2.3107156344126797E-2</c:v>
                </c:pt>
                <c:pt idx="875">
                  <c:v>1.7620741309597374E-2</c:v>
                </c:pt>
                <c:pt idx="876">
                  <c:v>1.8792173597338178E-2</c:v>
                </c:pt>
                <c:pt idx="877">
                  <c:v>2.1185315596431838E-2</c:v>
                </c:pt>
                <c:pt idx="878">
                  <c:v>1.8756799229945175E-2</c:v>
                </c:pt>
                <c:pt idx="879">
                  <c:v>2.5669468017270051E-2</c:v>
                </c:pt>
                <c:pt idx="880">
                  <c:v>1.714839172343368E-2</c:v>
                </c:pt>
                <c:pt idx="881">
                  <c:v>2.3076692187407395E-2</c:v>
                </c:pt>
                <c:pt idx="882">
                  <c:v>2.5922907256034515E-2</c:v>
                </c:pt>
                <c:pt idx="883">
                  <c:v>2.4518007819955043E-2</c:v>
                </c:pt>
                <c:pt idx="884">
                  <c:v>2.7118242642925044E-2</c:v>
                </c:pt>
                <c:pt idx="885">
                  <c:v>2.4929574794920369E-2</c:v>
                </c:pt>
                <c:pt idx="886">
                  <c:v>1.9903598564256404E-2</c:v>
                </c:pt>
                <c:pt idx="887">
                  <c:v>3.2323104995613139E-2</c:v>
                </c:pt>
                <c:pt idx="888">
                  <c:v>2.1098192414912016E-2</c:v>
                </c:pt>
                <c:pt idx="889">
                  <c:v>2.0022561841794843E-2</c:v>
                </c:pt>
                <c:pt idx="890">
                  <c:v>1.8844070237506894E-2</c:v>
                </c:pt>
                <c:pt idx="891">
                  <c:v>2.3676590811255817E-2</c:v>
                </c:pt>
                <c:pt idx="892">
                  <c:v>2.8810419452455244E-2</c:v>
                </c:pt>
                <c:pt idx="893">
                  <c:v>2.2601265932344711E-2</c:v>
                </c:pt>
                <c:pt idx="894">
                  <c:v>1.9367397662276083E-2</c:v>
                </c:pt>
                <c:pt idx="895">
                  <c:v>2.5221213015842601E-2</c:v>
                </c:pt>
                <c:pt idx="896">
                  <c:v>2.6100070151341415E-2</c:v>
                </c:pt>
                <c:pt idx="897">
                  <c:v>1.8820262438972068E-2</c:v>
                </c:pt>
                <c:pt idx="898">
                  <c:v>2.4741338500381276E-2</c:v>
                </c:pt>
                <c:pt idx="899">
                  <c:v>3.001827725061175E-2</c:v>
                </c:pt>
                <c:pt idx="900">
                  <c:v>3.6977537335046294E-2</c:v>
                </c:pt>
                <c:pt idx="901">
                  <c:v>2.8794704787275478E-2</c:v>
                </c:pt>
                <c:pt idx="902">
                  <c:v>2.6338191039833234E-2</c:v>
                </c:pt>
                <c:pt idx="903">
                  <c:v>3.0947243254816785E-2</c:v>
                </c:pt>
                <c:pt idx="904">
                  <c:v>1.496226801531797E-2</c:v>
                </c:pt>
                <c:pt idx="905">
                  <c:v>2.2472586052810727E-2</c:v>
                </c:pt>
                <c:pt idx="906">
                  <c:v>3.1305087292627543E-2</c:v>
                </c:pt>
                <c:pt idx="907">
                  <c:v>1.6391754092201467E-2</c:v>
                </c:pt>
                <c:pt idx="908">
                  <c:v>1.9365220491264948E-2</c:v>
                </c:pt>
                <c:pt idx="909">
                  <c:v>2.6503367614514942E-2</c:v>
                </c:pt>
                <c:pt idx="910">
                  <c:v>2.2156405278582727E-2</c:v>
                </c:pt>
                <c:pt idx="911">
                  <c:v>3.0052416168513792E-2</c:v>
                </c:pt>
                <c:pt idx="912">
                  <c:v>2.112472767156624E-2</c:v>
                </c:pt>
                <c:pt idx="913">
                  <c:v>1.5362915742498458E-2</c:v>
                </c:pt>
                <c:pt idx="914">
                  <c:v>1.5858894061507599E-2</c:v>
                </c:pt>
                <c:pt idx="915">
                  <c:v>2.3964639303722363E-2</c:v>
                </c:pt>
                <c:pt idx="916">
                  <c:v>2.4555770307709914E-2</c:v>
                </c:pt>
                <c:pt idx="917">
                  <c:v>1.4190895968374879E-2</c:v>
                </c:pt>
                <c:pt idx="918">
                  <c:v>2.2362754358029008E-2</c:v>
                </c:pt>
                <c:pt idx="919">
                  <c:v>2.9868728795202221E-2</c:v>
                </c:pt>
                <c:pt idx="920">
                  <c:v>2.6874195546337274E-2</c:v>
                </c:pt>
                <c:pt idx="921">
                  <c:v>2.4040078135682322E-2</c:v>
                </c:pt>
                <c:pt idx="922">
                  <c:v>2.999183406256626E-2</c:v>
                </c:pt>
                <c:pt idx="923">
                  <c:v>1.9483597974137359E-2</c:v>
                </c:pt>
                <c:pt idx="924">
                  <c:v>2.6572609700429139E-2</c:v>
                </c:pt>
                <c:pt idx="925">
                  <c:v>2.4017206986482468E-2</c:v>
                </c:pt>
                <c:pt idx="926">
                  <c:v>2.6804950326674327E-2</c:v>
                </c:pt>
                <c:pt idx="927">
                  <c:v>2.0996421191955793E-2</c:v>
                </c:pt>
                <c:pt idx="928">
                  <c:v>2.7035926653786947E-2</c:v>
                </c:pt>
                <c:pt idx="929">
                  <c:v>2.3923845863503417E-2</c:v>
                </c:pt>
                <c:pt idx="930">
                  <c:v>2.7192527788672892E-2</c:v>
                </c:pt>
                <c:pt idx="931">
                  <c:v>2.5325648293913941E-2</c:v>
                </c:pt>
                <c:pt idx="932">
                  <c:v>2.3604470464375003E-2</c:v>
                </c:pt>
                <c:pt idx="933">
                  <c:v>1.6399929071538453E-2</c:v>
                </c:pt>
                <c:pt idx="934">
                  <c:v>1.7390310477044413E-2</c:v>
                </c:pt>
                <c:pt idx="935">
                  <c:v>1.8547311250901456E-2</c:v>
                </c:pt>
                <c:pt idx="936">
                  <c:v>2.606154326222343E-2</c:v>
                </c:pt>
                <c:pt idx="937">
                  <c:v>2.7206379879232322E-2</c:v>
                </c:pt>
                <c:pt idx="938">
                  <c:v>1.9354272071096495E-2</c:v>
                </c:pt>
                <c:pt idx="939">
                  <c:v>2.1626851101718528E-2</c:v>
                </c:pt>
                <c:pt idx="940">
                  <c:v>1.6990231889253405E-2</c:v>
                </c:pt>
                <c:pt idx="941">
                  <c:v>2.1449977116355531E-2</c:v>
                </c:pt>
                <c:pt idx="942">
                  <c:v>3.5710940703534852E-2</c:v>
                </c:pt>
                <c:pt idx="943">
                  <c:v>1.7941750260349106E-2</c:v>
                </c:pt>
                <c:pt idx="944">
                  <c:v>2.400405031197432E-2</c:v>
                </c:pt>
                <c:pt idx="945">
                  <c:v>1.5128829687054169E-2</c:v>
                </c:pt>
                <c:pt idx="946">
                  <c:v>2.1345705012656646E-2</c:v>
                </c:pt>
                <c:pt idx="947">
                  <c:v>1.8529070237546671E-2</c:v>
                </c:pt>
                <c:pt idx="948">
                  <c:v>2.984414091665569E-2</c:v>
                </c:pt>
                <c:pt idx="949">
                  <c:v>2.3952758262585493E-2</c:v>
                </c:pt>
                <c:pt idx="950">
                  <c:v>2.1261293178682195E-2</c:v>
                </c:pt>
                <c:pt idx="951">
                  <c:v>1.9276773587994418E-2</c:v>
                </c:pt>
                <c:pt idx="952">
                  <c:v>1.8998380344175655E-2</c:v>
                </c:pt>
                <c:pt idx="953">
                  <c:v>1.3926767420314474E-2</c:v>
                </c:pt>
                <c:pt idx="954">
                  <c:v>2.7050164329765175E-2</c:v>
                </c:pt>
                <c:pt idx="955">
                  <c:v>2.9593312901225785E-2</c:v>
                </c:pt>
                <c:pt idx="956">
                  <c:v>2.2984767876019919E-2</c:v>
                </c:pt>
                <c:pt idx="957">
                  <c:v>3.1745279012790242E-2</c:v>
                </c:pt>
                <c:pt idx="958">
                  <c:v>2.6789504218446555E-2</c:v>
                </c:pt>
                <c:pt idx="959">
                  <c:v>2.0919571533889708E-2</c:v>
                </c:pt>
                <c:pt idx="960">
                  <c:v>2.901137276416782E-2</c:v>
                </c:pt>
                <c:pt idx="961">
                  <c:v>1.998988975141025E-2</c:v>
                </c:pt>
                <c:pt idx="962">
                  <c:v>2.576637195551269E-2</c:v>
                </c:pt>
                <c:pt idx="963">
                  <c:v>2.1377870569130732E-2</c:v>
                </c:pt>
                <c:pt idx="964">
                  <c:v>2.7617718112925446E-2</c:v>
                </c:pt>
                <c:pt idx="965">
                  <c:v>2.8622073871207208E-2</c:v>
                </c:pt>
                <c:pt idx="966">
                  <c:v>2.6130631561661104E-2</c:v>
                </c:pt>
                <c:pt idx="967">
                  <c:v>2.5194530287026663E-2</c:v>
                </c:pt>
                <c:pt idx="968">
                  <c:v>3.03097024633056E-2</c:v>
                </c:pt>
                <c:pt idx="969">
                  <c:v>3.1744471779275939E-2</c:v>
                </c:pt>
                <c:pt idx="970">
                  <c:v>2.7420850328316437E-2</c:v>
                </c:pt>
                <c:pt idx="971">
                  <c:v>2.9134333674425236E-2</c:v>
                </c:pt>
                <c:pt idx="972">
                  <c:v>2.0087406960141174E-2</c:v>
                </c:pt>
                <c:pt idx="973">
                  <c:v>2.7213412171269571E-2</c:v>
                </c:pt>
                <c:pt idx="974">
                  <c:v>2.5260085334360975E-2</c:v>
                </c:pt>
                <c:pt idx="975">
                  <c:v>1.5930866116928122E-2</c:v>
                </c:pt>
                <c:pt idx="976">
                  <c:v>1.2225031341818326E-2</c:v>
                </c:pt>
                <c:pt idx="977">
                  <c:v>3.0046716429000721E-2</c:v>
                </c:pt>
                <c:pt idx="978">
                  <c:v>1.7505064685192938E-2</c:v>
                </c:pt>
                <c:pt idx="979">
                  <c:v>2.3162775829817087E-2</c:v>
                </c:pt>
                <c:pt idx="980">
                  <c:v>2.1961141224958996E-2</c:v>
                </c:pt>
                <c:pt idx="981">
                  <c:v>1.8558903418259817E-2</c:v>
                </c:pt>
                <c:pt idx="982">
                  <c:v>2.6883582106880442E-2</c:v>
                </c:pt>
                <c:pt idx="983">
                  <c:v>2.5427344113244765E-2</c:v>
                </c:pt>
                <c:pt idx="984">
                  <c:v>1.9476183056810523E-2</c:v>
                </c:pt>
                <c:pt idx="985">
                  <c:v>2.7488878045836138E-2</c:v>
                </c:pt>
                <c:pt idx="986">
                  <c:v>2.0368799354740858E-2</c:v>
                </c:pt>
                <c:pt idx="987">
                  <c:v>1.5946706937167602E-2</c:v>
                </c:pt>
                <c:pt idx="988">
                  <c:v>2.0847946144124427E-2</c:v>
                </c:pt>
                <c:pt idx="989">
                  <c:v>3.1920445792444699E-2</c:v>
                </c:pt>
                <c:pt idx="990">
                  <c:v>2.1019150526343958E-2</c:v>
                </c:pt>
                <c:pt idx="991">
                  <c:v>2.8127554240763963E-2</c:v>
                </c:pt>
                <c:pt idx="992">
                  <c:v>2.4030152209298376E-2</c:v>
                </c:pt>
                <c:pt idx="993">
                  <c:v>2.5516441045225113E-2</c:v>
                </c:pt>
                <c:pt idx="994">
                  <c:v>3.0971380319001131E-2</c:v>
                </c:pt>
                <c:pt idx="995">
                  <c:v>2.2152483699242595E-2</c:v>
                </c:pt>
                <c:pt idx="996">
                  <c:v>1.8097128529013639E-2</c:v>
                </c:pt>
                <c:pt idx="997">
                  <c:v>2.6534678214636599E-2</c:v>
                </c:pt>
                <c:pt idx="998">
                  <c:v>2.7091470498419215E-2</c:v>
                </c:pt>
                <c:pt idx="999">
                  <c:v>3.5100804267673556E-2</c:v>
                </c:pt>
              </c:numCache>
            </c:numRef>
          </c:xVal>
          <c:yVal>
            <c:numRef>
              <c:f>'Model | Simulation'!$H$9:$H$1008</c:f>
              <c:numCache>
                <c:formatCode>0.00</c:formatCode>
                <c:ptCount val="1000"/>
                <c:pt idx="0" formatCode="0.000">
                  <c:v>397.7222802614217</c:v>
                </c:pt>
                <c:pt idx="1">
                  <c:v>369.93139404968872</c:v>
                </c:pt>
                <c:pt idx="2">
                  <c:v>413.70288665888143</c:v>
                </c:pt>
                <c:pt idx="3">
                  <c:v>405.10734065706231</c:v>
                </c:pt>
                <c:pt idx="4">
                  <c:v>409.02132305587673</c:v>
                </c:pt>
                <c:pt idx="5">
                  <c:v>422.32567812138365</c:v>
                </c:pt>
                <c:pt idx="6">
                  <c:v>359.7306390781219</c:v>
                </c:pt>
                <c:pt idx="7">
                  <c:v>402.81653468386708</c:v>
                </c:pt>
                <c:pt idx="8">
                  <c:v>397.81679543369029</c:v>
                </c:pt>
                <c:pt idx="9">
                  <c:v>431.36199320124859</c:v>
                </c:pt>
                <c:pt idx="10">
                  <c:v>379.87025372654705</c:v>
                </c:pt>
                <c:pt idx="11">
                  <c:v>416.45692939013429</c:v>
                </c:pt>
                <c:pt idx="12">
                  <c:v>412.71116625958928</c:v>
                </c:pt>
                <c:pt idx="13">
                  <c:v>424.87010385921997</c:v>
                </c:pt>
                <c:pt idx="14">
                  <c:v>356.26657932185333</c:v>
                </c:pt>
                <c:pt idx="15">
                  <c:v>408.69699532935834</c:v>
                </c:pt>
                <c:pt idx="16">
                  <c:v>399.1022066154959</c:v>
                </c:pt>
                <c:pt idx="17">
                  <c:v>381.93471234087059</c:v>
                </c:pt>
                <c:pt idx="18">
                  <c:v>383.69470257680018</c:v>
                </c:pt>
                <c:pt idx="19">
                  <c:v>380.49737921496336</c:v>
                </c:pt>
                <c:pt idx="20">
                  <c:v>417.06400371447143</c:v>
                </c:pt>
                <c:pt idx="21">
                  <c:v>372.59331406892193</c:v>
                </c:pt>
                <c:pt idx="22">
                  <c:v>383.70920663269857</c:v>
                </c:pt>
                <c:pt idx="23">
                  <c:v>412.92461695658147</c:v>
                </c:pt>
                <c:pt idx="24">
                  <c:v>409.01446001305595</c:v>
                </c:pt>
                <c:pt idx="25">
                  <c:v>395.04116752300121</c:v>
                </c:pt>
                <c:pt idx="26">
                  <c:v>386.58067539815329</c:v>
                </c:pt>
                <c:pt idx="27">
                  <c:v>383.74124992481211</c:v>
                </c:pt>
                <c:pt idx="28">
                  <c:v>385.68100528028344</c:v>
                </c:pt>
                <c:pt idx="29">
                  <c:v>395.01901319809389</c:v>
                </c:pt>
                <c:pt idx="30">
                  <c:v>383.29799970372329</c:v>
                </c:pt>
                <c:pt idx="31">
                  <c:v>388.0439685129615</c:v>
                </c:pt>
                <c:pt idx="32">
                  <c:v>424.6377665243823</c:v>
                </c:pt>
                <c:pt idx="33">
                  <c:v>437.17591680244612</c:v>
                </c:pt>
                <c:pt idx="34">
                  <c:v>404.09568838771776</c:v>
                </c:pt>
                <c:pt idx="35">
                  <c:v>420.40793938635301</c:v>
                </c:pt>
                <c:pt idx="36">
                  <c:v>411.91297230912733</c:v>
                </c:pt>
                <c:pt idx="37">
                  <c:v>395.96946692648891</c:v>
                </c:pt>
                <c:pt idx="38">
                  <c:v>403.46530244441533</c:v>
                </c:pt>
                <c:pt idx="39">
                  <c:v>419.65582130967636</c:v>
                </c:pt>
                <c:pt idx="40">
                  <c:v>404.23021830927439</c:v>
                </c:pt>
                <c:pt idx="41">
                  <c:v>405.59741318712827</c:v>
                </c:pt>
                <c:pt idx="42">
                  <c:v>395.36367082598929</c:v>
                </c:pt>
                <c:pt idx="43">
                  <c:v>410.28598990991702</c:v>
                </c:pt>
                <c:pt idx="44">
                  <c:v>398.98269726011364</c:v>
                </c:pt>
                <c:pt idx="45">
                  <c:v>382.77782502480312</c:v>
                </c:pt>
                <c:pt idx="46">
                  <c:v>395.33525309178907</c:v>
                </c:pt>
                <c:pt idx="47">
                  <c:v>402.2130101499119</c:v>
                </c:pt>
                <c:pt idx="48">
                  <c:v>399.50115766534833</c:v>
                </c:pt>
                <c:pt idx="49">
                  <c:v>383.82258903082305</c:v>
                </c:pt>
                <c:pt idx="50">
                  <c:v>387.3248575018946</c:v>
                </c:pt>
                <c:pt idx="51">
                  <c:v>411.92259687742109</c:v>
                </c:pt>
                <c:pt idx="52">
                  <c:v>404.25968575150785</c:v>
                </c:pt>
                <c:pt idx="53">
                  <c:v>408.4129760583624</c:v>
                </c:pt>
                <c:pt idx="54">
                  <c:v>407.5765462923398</c:v>
                </c:pt>
                <c:pt idx="55">
                  <c:v>355.68862025555325</c:v>
                </c:pt>
                <c:pt idx="56">
                  <c:v>401.88891757763417</c:v>
                </c:pt>
                <c:pt idx="57">
                  <c:v>389.90831701408922</c:v>
                </c:pt>
                <c:pt idx="58">
                  <c:v>394.66017224225027</c:v>
                </c:pt>
                <c:pt idx="59">
                  <c:v>408.91009321480976</c:v>
                </c:pt>
                <c:pt idx="60">
                  <c:v>421.95052312414578</c:v>
                </c:pt>
                <c:pt idx="61">
                  <c:v>408.94252282596892</c:v>
                </c:pt>
                <c:pt idx="62">
                  <c:v>410.90987019628574</c:v>
                </c:pt>
                <c:pt idx="63">
                  <c:v>421.15582149325178</c:v>
                </c:pt>
                <c:pt idx="64">
                  <c:v>400.08447891744504</c:v>
                </c:pt>
                <c:pt idx="65">
                  <c:v>409.15462219174117</c:v>
                </c:pt>
                <c:pt idx="66">
                  <c:v>419.81557889411278</c:v>
                </c:pt>
                <c:pt idx="67">
                  <c:v>388.31845670930369</c:v>
                </c:pt>
                <c:pt idx="68">
                  <c:v>384.36931398630213</c:v>
                </c:pt>
                <c:pt idx="69">
                  <c:v>370.87515585075198</c:v>
                </c:pt>
                <c:pt idx="70">
                  <c:v>403.29223268498379</c:v>
                </c:pt>
                <c:pt idx="71">
                  <c:v>387.82285973809991</c:v>
                </c:pt>
                <c:pt idx="72">
                  <c:v>414.57559297573169</c:v>
                </c:pt>
                <c:pt idx="73">
                  <c:v>398.27066081142675</c:v>
                </c:pt>
                <c:pt idx="74">
                  <c:v>421.13818295725787</c:v>
                </c:pt>
                <c:pt idx="75">
                  <c:v>392.9062408283616</c:v>
                </c:pt>
                <c:pt idx="76">
                  <c:v>430.7645874413455</c:v>
                </c:pt>
                <c:pt idx="77">
                  <c:v>375.51327641947501</c:v>
                </c:pt>
                <c:pt idx="78">
                  <c:v>385.57884161581222</c:v>
                </c:pt>
                <c:pt idx="79">
                  <c:v>415.97877053071227</c:v>
                </c:pt>
                <c:pt idx="80">
                  <c:v>415.23935771908435</c:v>
                </c:pt>
                <c:pt idx="81">
                  <c:v>407.81081935644477</c:v>
                </c:pt>
                <c:pt idx="82">
                  <c:v>395.20683330962436</c:v>
                </c:pt>
                <c:pt idx="83">
                  <c:v>384.90139662343074</c:v>
                </c:pt>
                <c:pt idx="84">
                  <c:v>418.06042034001922</c:v>
                </c:pt>
                <c:pt idx="85">
                  <c:v>386.95134056324048</c:v>
                </c:pt>
                <c:pt idx="86">
                  <c:v>412.43810940909589</c:v>
                </c:pt>
                <c:pt idx="87">
                  <c:v>390.01286941414423</c:v>
                </c:pt>
                <c:pt idx="88">
                  <c:v>421.31363155332417</c:v>
                </c:pt>
                <c:pt idx="89">
                  <c:v>386.62253153946574</c:v>
                </c:pt>
                <c:pt idx="90">
                  <c:v>412.12608794572537</c:v>
                </c:pt>
                <c:pt idx="91">
                  <c:v>395.99417713248624</c:v>
                </c:pt>
                <c:pt idx="92">
                  <c:v>406.12659887086323</c:v>
                </c:pt>
                <c:pt idx="93">
                  <c:v>400.92073417471386</c:v>
                </c:pt>
                <c:pt idx="94">
                  <c:v>395.29608609860827</c:v>
                </c:pt>
                <c:pt idx="95">
                  <c:v>402.42400250667538</c:v>
                </c:pt>
                <c:pt idx="96">
                  <c:v>417.8265839269834</c:v>
                </c:pt>
                <c:pt idx="97">
                  <c:v>409.89140690450193</c:v>
                </c:pt>
                <c:pt idx="98">
                  <c:v>395.92507351643644</c:v>
                </c:pt>
                <c:pt idx="99">
                  <c:v>436.16855740529462</c:v>
                </c:pt>
                <c:pt idx="100">
                  <c:v>378.22348684404852</c:v>
                </c:pt>
                <c:pt idx="101">
                  <c:v>424.13243953982123</c:v>
                </c:pt>
                <c:pt idx="102">
                  <c:v>416.94047533522598</c:v>
                </c:pt>
                <c:pt idx="103">
                  <c:v>406.26761015938644</c:v>
                </c:pt>
                <c:pt idx="104">
                  <c:v>428.90990541965823</c:v>
                </c:pt>
                <c:pt idx="105">
                  <c:v>396.5165303901033</c:v>
                </c:pt>
                <c:pt idx="106">
                  <c:v>410.3214221428014</c:v>
                </c:pt>
                <c:pt idx="107">
                  <c:v>423.52955190417816</c:v>
                </c:pt>
                <c:pt idx="108">
                  <c:v>396.34062620484673</c:v>
                </c:pt>
                <c:pt idx="109">
                  <c:v>406.1144428584289</c:v>
                </c:pt>
                <c:pt idx="110">
                  <c:v>400.67112729768786</c:v>
                </c:pt>
                <c:pt idx="111">
                  <c:v>393.86426523724447</c:v>
                </c:pt>
                <c:pt idx="112">
                  <c:v>373.44134165091918</c:v>
                </c:pt>
                <c:pt idx="113">
                  <c:v>397.90099455188391</c:v>
                </c:pt>
                <c:pt idx="114">
                  <c:v>398.71390832056341</c:v>
                </c:pt>
                <c:pt idx="115">
                  <c:v>410.05165947789061</c:v>
                </c:pt>
                <c:pt idx="116">
                  <c:v>397.89380514308976</c:v>
                </c:pt>
                <c:pt idx="117">
                  <c:v>395.6864912343525</c:v>
                </c:pt>
                <c:pt idx="118">
                  <c:v>388.87509563601134</c:v>
                </c:pt>
                <c:pt idx="119">
                  <c:v>391.20862478211779</c:v>
                </c:pt>
                <c:pt idx="120">
                  <c:v>421.98579689579032</c:v>
                </c:pt>
                <c:pt idx="121">
                  <c:v>418.58477114843731</c:v>
                </c:pt>
                <c:pt idx="122">
                  <c:v>410.086019612445</c:v>
                </c:pt>
                <c:pt idx="123">
                  <c:v>402.91493760912175</c:v>
                </c:pt>
                <c:pt idx="124">
                  <c:v>402.68894796194547</c:v>
                </c:pt>
                <c:pt idx="125">
                  <c:v>468.83038239550626</c:v>
                </c:pt>
                <c:pt idx="126">
                  <c:v>423.32446219042612</c:v>
                </c:pt>
                <c:pt idx="127">
                  <c:v>399.9626659051155</c:v>
                </c:pt>
                <c:pt idx="128">
                  <c:v>391.73841722415824</c:v>
                </c:pt>
                <c:pt idx="129">
                  <c:v>407.84652742034422</c:v>
                </c:pt>
                <c:pt idx="130">
                  <c:v>390.78193720482676</c:v>
                </c:pt>
                <c:pt idx="131">
                  <c:v>381.55582092456433</c:v>
                </c:pt>
                <c:pt idx="132">
                  <c:v>395.63160086687691</c:v>
                </c:pt>
                <c:pt idx="133">
                  <c:v>370.02303252626297</c:v>
                </c:pt>
                <c:pt idx="134">
                  <c:v>414.01028979938997</c:v>
                </c:pt>
                <c:pt idx="135">
                  <c:v>384.65740171286615</c:v>
                </c:pt>
                <c:pt idx="136">
                  <c:v>386.39138262948751</c:v>
                </c:pt>
                <c:pt idx="137">
                  <c:v>405.16171367708858</c:v>
                </c:pt>
                <c:pt idx="138">
                  <c:v>376.39560514154647</c:v>
                </c:pt>
                <c:pt idx="139">
                  <c:v>403.23159385808793</c:v>
                </c:pt>
                <c:pt idx="140">
                  <c:v>404.30227030551384</c:v>
                </c:pt>
                <c:pt idx="141">
                  <c:v>391.50159737569976</c:v>
                </c:pt>
                <c:pt idx="142">
                  <c:v>393.47248637631935</c:v>
                </c:pt>
                <c:pt idx="143">
                  <c:v>384.23789176907081</c:v>
                </c:pt>
                <c:pt idx="144">
                  <c:v>398.88816577862269</c:v>
                </c:pt>
                <c:pt idx="145">
                  <c:v>384.4252862844196</c:v>
                </c:pt>
                <c:pt idx="146">
                  <c:v>393.59364364694352</c:v>
                </c:pt>
                <c:pt idx="147">
                  <c:v>391.09489287472115</c:v>
                </c:pt>
                <c:pt idx="148">
                  <c:v>404.83514881103252</c:v>
                </c:pt>
                <c:pt idx="149">
                  <c:v>437.57606602827167</c:v>
                </c:pt>
                <c:pt idx="150">
                  <c:v>413.0744498731334</c:v>
                </c:pt>
                <c:pt idx="151">
                  <c:v>406.65532478278385</c:v>
                </c:pt>
                <c:pt idx="152">
                  <c:v>363.11854917478456</c:v>
                </c:pt>
                <c:pt idx="153">
                  <c:v>386.46751451570594</c:v>
                </c:pt>
                <c:pt idx="154">
                  <c:v>388.46698395467655</c:v>
                </c:pt>
                <c:pt idx="155">
                  <c:v>387.2043994061313</c:v>
                </c:pt>
                <c:pt idx="156">
                  <c:v>420.22455679145855</c:v>
                </c:pt>
                <c:pt idx="157">
                  <c:v>396.42095636184638</c:v>
                </c:pt>
                <c:pt idx="158">
                  <c:v>358.30530359796387</c:v>
                </c:pt>
                <c:pt idx="159">
                  <c:v>436.88883860311836</c:v>
                </c:pt>
                <c:pt idx="160">
                  <c:v>394.5233598909748</c:v>
                </c:pt>
                <c:pt idx="161">
                  <c:v>414.72163123219451</c:v>
                </c:pt>
                <c:pt idx="162">
                  <c:v>421.25116236955068</c:v>
                </c:pt>
                <c:pt idx="163">
                  <c:v>395.08317872521042</c:v>
                </c:pt>
                <c:pt idx="164">
                  <c:v>431.21741959537911</c:v>
                </c:pt>
                <c:pt idx="165">
                  <c:v>424.12918258929835</c:v>
                </c:pt>
                <c:pt idx="166">
                  <c:v>417.41947318624619</c:v>
                </c:pt>
                <c:pt idx="167">
                  <c:v>404.12605858691319</c:v>
                </c:pt>
                <c:pt idx="168">
                  <c:v>390.49129733453032</c:v>
                </c:pt>
                <c:pt idx="169">
                  <c:v>377.86158695114574</c:v>
                </c:pt>
                <c:pt idx="170">
                  <c:v>404.16917383231856</c:v>
                </c:pt>
                <c:pt idx="171">
                  <c:v>426.51665411644996</c:v>
                </c:pt>
                <c:pt idx="172">
                  <c:v>387.63040908155222</c:v>
                </c:pt>
                <c:pt idx="173">
                  <c:v>418.18963432496685</c:v>
                </c:pt>
                <c:pt idx="174">
                  <c:v>392.9714620253734</c:v>
                </c:pt>
                <c:pt idx="175">
                  <c:v>418.71958732841063</c:v>
                </c:pt>
                <c:pt idx="176">
                  <c:v>387.64430550116595</c:v>
                </c:pt>
                <c:pt idx="177">
                  <c:v>434.35788318217783</c:v>
                </c:pt>
                <c:pt idx="178">
                  <c:v>396.60775700993474</c:v>
                </c:pt>
                <c:pt idx="179">
                  <c:v>419.11254669496782</c:v>
                </c:pt>
                <c:pt idx="180">
                  <c:v>388.88844400863786</c:v>
                </c:pt>
                <c:pt idx="181">
                  <c:v>389.83089582820452</c:v>
                </c:pt>
                <c:pt idx="182">
                  <c:v>392.02677747502793</c:v>
                </c:pt>
                <c:pt idx="183">
                  <c:v>413.20164357884005</c:v>
                </c:pt>
                <c:pt idx="184">
                  <c:v>390.86041902841771</c:v>
                </c:pt>
                <c:pt idx="185">
                  <c:v>386.55659419179119</c:v>
                </c:pt>
                <c:pt idx="186">
                  <c:v>401.98318086557975</c:v>
                </c:pt>
                <c:pt idx="187">
                  <c:v>389.45498676152192</c:v>
                </c:pt>
                <c:pt idx="188">
                  <c:v>393.36124003477028</c:v>
                </c:pt>
                <c:pt idx="189">
                  <c:v>411.24885731838589</c:v>
                </c:pt>
                <c:pt idx="190">
                  <c:v>419.99558907616569</c:v>
                </c:pt>
                <c:pt idx="191">
                  <c:v>412.26853586896726</c:v>
                </c:pt>
                <c:pt idx="192">
                  <c:v>384.18945758529782</c:v>
                </c:pt>
                <c:pt idx="193">
                  <c:v>399.68240842176391</c:v>
                </c:pt>
                <c:pt idx="194">
                  <c:v>396.97932355892374</c:v>
                </c:pt>
                <c:pt idx="195">
                  <c:v>370.9087378468829</c:v>
                </c:pt>
                <c:pt idx="196">
                  <c:v>377.18599483126445</c:v>
                </c:pt>
                <c:pt idx="197">
                  <c:v>399.11811864820328</c:v>
                </c:pt>
                <c:pt idx="198">
                  <c:v>390.30441403004085</c:v>
                </c:pt>
                <c:pt idx="199">
                  <c:v>432.62544021853012</c:v>
                </c:pt>
                <c:pt idx="200">
                  <c:v>396.22772993608896</c:v>
                </c:pt>
                <c:pt idx="201">
                  <c:v>405.21953561530631</c:v>
                </c:pt>
                <c:pt idx="202">
                  <c:v>408.36107836705804</c:v>
                </c:pt>
                <c:pt idx="203">
                  <c:v>391.52760300282807</c:v>
                </c:pt>
                <c:pt idx="204">
                  <c:v>423.05864266784977</c:v>
                </c:pt>
                <c:pt idx="205">
                  <c:v>422.01293708884839</c:v>
                </c:pt>
                <c:pt idx="206">
                  <c:v>389.821450718449</c:v>
                </c:pt>
                <c:pt idx="207">
                  <c:v>396.84989797260926</c:v>
                </c:pt>
                <c:pt idx="208">
                  <c:v>403.80513948685604</c:v>
                </c:pt>
                <c:pt idx="209">
                  <c:v>419.46367699764011</c:v>
                </c:pt>
                <c:pt idx="210">
                  <c:v>401.05052765332221</c:v>
                </c:pt>
                <c:pt idx="211">
                  <c:v>375.95365774180465</c:v>
                </c:pt>
                <c:pt idx="212">
                  <c:v>405.59212344940261</c:v>
                </c:pt>
                <c:pt idx="213">
                  <c:v>407.61998332096738</c:v>
                </c:pt>
                <c:pt idx="214">
                  <c:v>395.51200155550532</c:v>
                </c:pt>
                <c:pt idx="215">
                  <c:v>393.07817187562205</c:v>
                </c:pt>
                <c:pt idx="216">
                  <c:v>385.58389362373435</c:v>
                </c:pt>
                <c:pt idx="217">
                  <c:v>390.86981494839932</c:v>
                </c:pt>
                <c:pt idx="218">
                  <c:v>402.3921197252983</c:v>
                </c:pt>
                <c:pt idx="219">
                  <c:v>399.80796287438244</c:v>
                </c:pt>
                <c:pt idx="220">
                  <c:v>430.8611055379622</c:v>
                </c:pt>
                <c:pt idx="221">
                  <c:v>382.19325689288752</c:v>
                </c:pt>
                <c:pt idx="222">
                  <c:v>369.49716320097656</c:v>
                </c:pt>
                <c:pt idx="223">
                  <c:v>429.88648278529155</c:v>
                </c:pt>
                <c:pt idx="224">
                  <c:v>409.86506826061179</c:v>
                </c:pt>
                <c:pt idx="225">
                  <c:v>413.86955711137961</c:v>
                </c:pt>
                <c:pt idx="226">
                  <c:v>393.32250955339947</c:v>
                </c:pt>
                <c:pt idx="227">
                  <c:v>402.43782649507358</c:v>
                </c:pt>
                <c:pt idx="228">
                  <c:v>402.76311024025404</c:v>
                </c:pt>
                <c:pt idx="229">
                  <c:v>415.39679997052093</c:v>
                </c:pt>
                <c:pt idx="230">
                  <c:v>455.3721675602925</c:v>
                </c:pt>
                <c:pt idx="231">
                  <c:v>387.47720810102317</c:v>
                </c:pt>
                <c:pt idx="232">
                  <c:v>415.0726077210947</c:v>
                </c:pt>
                <c:pt idx="233">
                  <c:v>394.50753206148022</c:v>
                </c:pt>
                <c:pt idx="234">
                  <c:v>386.46244025449107</c:v>
                </c:pt>
                <c:pt idx="235">
                  <c:v>402.34718699717786</c:v>
                </c:pt>
                <c:pt idx="236">
                  <c:v>392.7867153403547</c:v>
                </c:pt>
                <c:pt idx="237">
                  <c:v>384.87280195539466</c:v>
                </c:pt>
                <c:pt idx="238">
                  <c:v>397.80015636978789</c:v>
                </c:pt>
                <c:pt idx="239">
                  <c:v>387.30290852252853</c:v>
                </c:pt>
                <c:pt idx="240">
                  <c:v>413.29714602811032</c:v>
                </c:pt>
                <c:pt idx="241">
                  <c:v>415.25736019021627</c:v>
                </c:pt>
                <c:pt idx="242">
                  <c:v>384.46519734747056</c:v>
                </c:pt>
                <c:pt idx="243">
                  <c:v>418.28757532093601</c:v>
                </c:pt>
                <c:pt idx="244">
                  <c:v>405.50762837805536</c:v>
                </c:pt>
                <c:pt idx="245">
                  <c:v>365.89684419830468</c:v>
                </c:pt>
                <c:pt idx="246">
                  <c:v>387.02010605280668</c:v>
                </c:pt>
                <c:pt idx="247">
                  <c:v>383.05184052757824</c:v>
                </c:pt>
                <c:pt idx="248">
                  <c:v>401.85832670333241</c:v>
                </c:pt>
                <c:pt idx="249">
                  <c:v>422.05371094895963</c:v>
                </c:pt>
                <c:pt idx="250">
                  <c:v>416.40000836255768</c:v>
                </c:pt>
                <c:pt idx="251">
                  <c:v>395.92660349342015</c:v>
                </c:pt>
                <c:pt idx="252">
                  <c:v>421.29265071639901</c:v>
                </c:pt>
                <c:pt idx="253">
                  <c:v>388.07164309005356</c:v>
                </c:pt>
                <c:pt idx="254">
                  <c:v>412.24006449084101</c:v>
                </c:pt>
                <c:pt idx="255">
                  <c:v>406.20995491713512</c:v>
                </c:pt>
                <c:pt idx="256">
                  <c:v>393.5911914894798</c:v>
                </c:pt>
                <c:pt idx="257">
                  <c:v>397.26655251378384</c:v>
                </c:pt>
                <c:pt idx="258">
                  <c:v>386.98898217661781</c:v>
                </c:pt>
                <c:pt idx="259">
                  <c:v>388.6813429719648</c:v>
                </c:pt>
                <c:pt idx="260">
                  <c:v>417.34074178919809</c:v>
                </c:pt>
                <c:pt idx="261">
                  <c:v>398.03178261289332</c:v>
                </c:pt>
                <c:pt idx="262">
                  <c:v>388.09312675858797</c:v>
                </c:pt>
                <c:pt idx="263">
                  <c:v>397.8052042138583</c:v>
                </c:pt>
                <c:pt idx="264">
                  <c:v>366.31608586136593</c:v>
                </c:pt>
                <c:pt idx="265">
                  <c:v>413.57984744902205</c:v>
                </c:pt>
                <c:pt idx="266">
                  <c:v>385.33105340349584</c:v>
                </c:pt>
                <c:pt idx="267">
                  <c:v>400.73507499013215</c:v>
                </c:pt>
                <c:pt idx="268">
                  <c:v>426.24870688183398</c:v>
                </c:pt>
                <c:pt idx="269">
                  <c:v>378.36288053032064</c:v>
                </c:pt>
                <c:pt idx="270">
                  <c:v>377.70705504934563</c:v>
                </c:pt>
                <c:pt idx="271">
                  <c:v>411.30412379099505</c:v>
                </c:pt>
                <c:pt idx="272">
                  <c:v>386.06138612113841</c:v>
                </c:pt>
                <c:pt idx="273">
                  <c:v>380.57781242962153</c:v>
                </c:pt>
                <c:pt idx="274">
                  <c:v>415.48415386967605</c:v>
                </c:pt>
                <c:pt idx="275">
                  <c:v>398.24128658928339</c:v>
                </c:pt>
                <c:pt idx="276">
                  <c:v>409.00359232199804</c:v>
                </c:pt>
                <c:pt idx="277">
                  <c:v>412.15009014604351</c:v>
                </c:pt>
                <c:pt idx="278">
                  <c:v>386.12590951116937</c:v>
                </c:pt>
                <c:pt idx="279">
                  <c:v>402.09748973493276</c:v>
                </c:pt>
                <c:pt idx="280">
                  <c:v>401.02315589592968</c:v>
                </c:pt>
                <c:pt idx="281">
                  <c:v>389.46860617552642</c:v>
                </c:pt>
                <c:pt idx="282">
                  <c:v>409.23712298393127</c:v>
                </c:pt>
                <c:pt idx="283">
                  <c:v>426.3565156539525</c:v>
                </c:pt>
                <c:pt idx="284">
                  <c:v>405.94543799651069</c:v>
                </c:pt>
                <c:pt idx="285">
                  <c:v>387.12316115549163</c:v>
                </c:pt>
                <c:pt idx="286">
                  <c:v>407.54316348588969</c:v>
                </c:pt>
                <c:pt idx="287">
                  <c:v>388.16971922564909</c:v>
                </c:pt>
                <c:pt idx="288">
                  <c:v>429.04256201806567</c:v>
                </c:pt>
                <c:pt idx="289">
                  <c:v>427.43451246377998</c:v>
                </c:pt>
                <c:pt idx="290">
                  <c:v>400.23924134854786</c:v>
                </c:pt>
                <c:pt idx="291">
                  <c:v>409.08375436458869</c:v>
                </c:pt>
                <c:pt idx="292">
                  <c:v>400.39287364389781</c:v>
                </c:pt>
                <c:pt idx="293">
                  <c:v>372.04781649927634</c:v>
                </c:pt>
                <c:pt idx="294">
                  <c:v>412.28584081573672</c:v>
                </c:pt>
                <c:pt idx="295">
                  <c:v>383.00214872272431</c:v>
                </c:pt>
                <c:pt idx="296">
                  <c:v>383.21302093872873</c:v>
                </c:pt>
                <c:pt idx="297">
                  <c:v>393.43517102621962</c:v>
                </c:pt>
                <c:pt idx="298">
                  <c:v>390.80076006598784</c:v>
                </c:pt>
                <c:pt idx="299">
                  <c:v>387.43172571260669</c:v>
                </c:pt>
                <c:pt idx="300">
                  <c:v>424.4789454024384</c:v>
                </c:pt>
                <c:pt idx="301">
                  <c:v>426.27070450103525</c:v>
                </c:pt>
                <c:pt idx="302">
                  <c:v>395.4078779671982</c:v>
                </c:pt>
                <c:pt idx="303">
                  <c:v>410.74857231079949</c:v>
                </c:pt>
                <c:pt idx="304">
                  <c:v>432.22378984148759</c:v>
                </c:pt>
                <c:pt idx="305">
                  <c:v>381.83373871204026</c:v>
                </c:pt>
                <c:pt idx="306">
                  <c:v>407.07187735750915</c:v>
                </c:pt>
                <c:pt idx="307">
                  <c:v>419.47493845798959</c:v>
                </c:pt>
                <c:pt idx="308">
                  <c:v>414.30792575943531</c:v>
                </c:pt>
                <c:pt idx="309">
                  <c:v>391.147624405952</c:v>
                </c:pt>
                <c:pt idx="310">
                  <c:v>388.22482688438112</c:v>
                </c:pt>
                <c:pt idx="311">
                  <c:v>403.13192916972508</c:v>
                </c:pt>
                <c:pt idx="312">
                  <c:v>415.29324869847323</c:v>
                </c:pt>
                <c:pt idx="313">
                  <c:v>384.40816444829807</c:v>
                </c:pt>
                <c:pt idx="314">
                  <c:v>395.5688496798623</c:v>
                </c:pt>
                <c:pt idx="315">
                  <c:v>386.17669667791637</c:v>
                </c:pt>
                <c:pt idx="316">
                  <c:v>422.36601441196473</c:v>
                </c:pt>
                <c:pt idx="317">
                  <c:v>384.10717473184104</c:v>
                </c:pt>
                <c:pt idx="318">
                  <c:v>374.13120526554337</c:v>
                </c:pt>
                <c:pt idx="319">
                  <c:v>390.97482774075741</c:v>
                </c:pt>
                <c:pt idx="320">
                  <c:v>393.87740770025152</c:v>
                </c:pt>
                <c:pt idx="321">
                  <c:v>404.75484094646509</c:v>
                </c:pt>
                <c:pt idx="322">
                  <c:v>424.49672386629504</c:v>
                </c:pt>
                <c:pt idx="323">
                  <c:v>394.08279948029514</c:v>
                </c:pt>
                <c:pt idx="324">
                  <c:v>398.93747563007491</c:v>
                </c:pt>
                <c:pt idx="325">
                  <c:v>395.68425740930275</c:v>
                </c:pt>
                <c:pt idx="326">
                  <c:v>378.8217356291558</c:v>
                </c:pt>
                <c:pt idx="327">
                  <c:v>391.93728200715952</c:v>
                </c:pt>
                <c:pt idx="328">
                  <c:v>378.37793617795597</c:v>
                </c:pt>
                <c:pt idx="329">
                  <c:v>382.06390262877096</c:v>
                </c:pt>
                <c:pt idx="330">
                  <c:v>400.69961907264781</c:v>
                </c:pt>
                <c:pt idx="331">
                  <c:v>394.14545615215138</c:v>
                </c:pt>
                <c:pt idx="332">
                  <c:v>387.67195643734141</c:v>
                </c:pt>
                <c:pt idx="333">
                  <c:v>404.84080297825011</c:v>
                </c:pt>
                <c:pt idx="334">
                  <c:v>386.00687147618009</c:v>
                </c:pt>
                <c:pt idx="335">
                  <c:v>388.26684605437623</c:v>
                </c:pt>
                <c:pt idx="336">
                  <c:v>399.64831094975722</c:v>
                </c:pt>
                <c:pt idx="337">
                  <c:v>432.733832069166</c:v>
                </c:pt>
                <c:pt idx="338">
                  <c:v>413.46290976034078</c:v>
                </c:pt>
                <c:pt idx="339">
                  <c:v>369.12006643282638</c:v>
                </c:pt>
                <c:pt idx="340">
                  <c:v>423.79009639759488</c:v>
                </c:pt>
                <c:pt idx="341">
                  <c:v>381.3387477252972</c:v>
                </c:pt>
                <c:pt idx="342">
                  <c:v>377.89604882995872</c:v>
                </c:pt>
                <c:pt idx="343">
                  <c:v>400.2135086030288</c:v>
                </c:pt>
                <c:pt idx="344">
                  <c:v>382.96652470808471</c:v>
                </c:pt>
                <c:pt idx="345">
                  <c:v>424.18178949957758</c:v>
                </c:pt>
                <c:pt idx="346">
                  <c:v>408.98689734765168</c:v>
                </c:pt>
                <c:pt idx="347">
                  <c:v>405.19828847537281</c:v>
                </c:pt>
                <c:pt idx="348">
                  <c:v>383.76560817198452</c:v>
                </c:pt>
                <c:pt idx="349">
                  <c:v>397.61134461202084</c:v>
                </c:pt>
                <c:pt idx="350">
                  <c:v>421.47054068033771</c:v>
                </c:pt>
                <c:pt idx="351">
                  <c:v>400.39966263600843</c:v>
                </c:pt>
                <c:pt idx="352">
                  <c:v>374.06649307420247</c:v>
                </c:pt>
                <c:pt idx="353">
                  <c:v>421.8617284037565</c:v>
                </c:pt>
                <c:pt idx="354">
                  <c:v>407.78293561697564</c:v>
                </c:pt>
                <c:pt idx="355">
                  <c:v>411.00181162692729</c:v>
                </c:pt>
                <c:pt idx="356">
                  <c:v>411.67300576609523</c:v>
                </c:pt>
                <c:pt idx="357">
                  <c:v>396.8465488917098</c:v>
                </c:pt>
                <c:pt idx="358">
                  <c:v>392.48209953094698</c:v>
                </c:pt>
                <c:pt idx="359">
                  <c:v>388.21122870992832</c:v>
                </c:pt>
                <c:pt idx="360">
                  <c:v>404.60872149888166</c:v>
                </c:pt>
                <c:pt idx="361">
                  <c:v>391.20156548394186</c:v>
                </c:pt>
                <c:pt idx="362">
                  <c:v>388.39271432438454</c:v>
                </c:pt>
                <c:pt idx="363">
                  <c:v>398.3238566270158</c:v>
                </c:pt>
                <c:pt idx="364">
                  <c:v>380.05948937051465</c:v>
                </c:pt>
                <c:pt idx="365">
                  <c:v>418.17603513936422</c:v>
                </c:pt>
                <c:pt idx="366">
                  <c:v>388.54955854360077</c:v>
                </c:pt>
                <c:pt idx="367">
                  <c:v>407.1034290383389</c:v>
                </c:pt>
                <c:pt idx="368">
                  <c:v>385.43152169674391</c:v>
                </c:pt>
                <c:pt idx="369">
                  <c:v>407.48118698699278</c:v>
                </c:pt>
                <c:pt idx="370">
                  <c:v>369.62634348799901</c:v>
                </c:pt>
                <c:pt idx="371">
                  <c:v>375.51903638546571</c:v>
                </c:pt>
                <c:pt idx="372">
                  <c:v>411.03745901855774</c:v>
                </c:pt>
                <c:pt idx="373">
                  <c:v>386.72588399383363</c:v>
                </c:pt>
                <c:pt idx="374">
                  <c:v>382.172876921539</c:v>
                </c:pt>
                <c:pt idx="375">
                  <c:v>405.55632332713878</c:v>
                </c:pt>
                <c:pt idx="376">
                  <c:v>427.13543791223321</c:v>
                </c:pt>
                <c:pt idx="377">
                  <c:v>418.70049676329586</c:v>
                </c:pt>
                <c:pt idx="378">
                  <c:v>368.38268086020508</c:v>
                </c:pt>
                <c:pt idx="379">
                  <c:v>393.50696785643612</c:v>
                </c:pt>
                <c:pt idx="380">
                  <c:v>409.49937271148536</c:v>
                </c:pt>
                <c:pt idx="381">
                  <c:v>414.57443038224136</c:v>
                </c:pt>
                <c:pt idx="382">
                  <c:v>395.0891783096564</c:v>
                </c:pt>
                <c:pt idx="383">
                  <c:v>403.38418584110076</c:v>
                </c:pt>
                <c:pt idx="384">
                  <c:v>413.73080577286589</c:v>
                </c:pt>
                <c:pt idx="385">
                  <c:v>406.8512899773832</c:v>
                </c:pt>
                <c:pt idx="386">
                  <c:v>402.86099034971733</c:v>
                </c:pt>
                <c:pt idx="387">
                  <c:v>396.7042024575515</c:v>
                </c:pt>
                <c:pt idx="388">
                  <c:v>386.79914049801852</c:v>
                </c:pt>
                <c:pt idx="389">
                  <c:v>407.63124946049322</c:v>
                </c:pt>
                <c:pt idx="390">
                  <c:v>398.99628601915396</c:v>
                </c:pt>
                <c:pt idx="391">
                  <c:v>373.91401145519535</c:v>
                </c:pt>
                <c:pt idx="392">
                  <c:v>411.84369360930577</c:v>
                </c:pt>
                <c:pt idx="393">
                  <c:v>401.47704145977724</c:v>
                </c:pt>
                <c:pt idx="394">
                  <c:v>369.50426486583336</c:v>
                </c:pt>
                <c:pt idx="395">
                  <c:v>397.95953024398557</c:v>
                </c:pt>
                <c:pt idx="396">
                  <c:v>384.0250433188595</c:v>
                </c:pt>
                <c:pt idx="397">
                  <c:v>400.19530338825268</c:v>
                </c:pt>
                <c:pt idx="398">
                  <c:v>408.55237545564574</c:v>
                </c:pt>
                <c:pt idx="399">
                  <c:v>385.53207030480399</c:v>
                </c:pt>
                <c:pt idx="400">
                  <c:v>423.55012664931479</c:v>
                </c:pt>
                <c:pt idx="401">
                  <c:v>399.58877338918893</c:v>
                </c:pt>
                <c:pt idx="402">
                  <c:v>420.74438189773565</c:v>
                </c:pt>
                <c:pt idx="403">
                  <c:v>392.22672515852645</c:v>
                </c:pt>
                <c:pt idx="404">
                  <c:v>398.42758061557453</c:v>
                </c:pt>
                <c:pt idx="405">
                  <c:v>428.13884242291999</c:v>
                </c:pt>
                <c:pt idx="406">
                  <c:v>405.36717675935262</c:v>
                </c:pt>
                <c:pt idx="407">
                  <c:v>392.18141498414525</c:v>
                </c:pt>
                <c:pt idx="408">
                  <c:v>402.36668815073631</c:v>
                </c:pt>
                <c:pt idx="409">
                  <c:v>407.72585526878004</c:v>
                </c:pt>
                <c:pt idx="410">
                  <c:v>462.6752023034116</c:v>
                </c:pt>
                <c:pt idx="411">
                  <c:v>368.56935440133992</c:v>
                </c:pt>
                <c:pt idx="412">
                  <c:v>390.66199457892071</c:v>
                </c:pt>
                <c:pt idx="413">
                  <c:v>391.5263587890891</c:v>
                </c:pt>
                <c:pt idx="414">
                  <c:v>443.41888273691131</c:v>
                </c:pt>
                <c:pt idx="415">
                  <c:v>393.41797822544078</c:v>
                </c:pt>
                <c:pt idx="416">
                  <c:v>392.52462094734835</c:v>
                </c:pt>
                <c:pt idx="417">
                  <c:v>400.48550478210853</c:v>
                </c:pt>
                <c:pt idx="418">
                  <c:v>411.7945089643286</c:v>
                </c:pt>
                <c:pt idx="419">
                  <c:v>397.45869404501678</c:v>
                </c:pt>
                <c:pt idx="420">
                  <c:v>405.86748267836197</c:v>
                </c:pt>
                <c:pt idx="421">
                  <c:v>426.00423937426604</c:v>
                </c:pt>
                <c:pt idx="422">
                  <c:v>402.44912581600829</c:v>
                </c:pt>
                <c:pt idx="423">
                  <c:v>404.47714267042545</c:v>
                </c:pt>
                <c:pt idx="424">
                  <c:v>413.40274530068496</c:v>
                </c:pt>
                <c:pt idx="425">
                  <c:v>418.48683681156314</c:v>
                </c:pt>
                <c:pt idx="426">
                  <c:v>411.9111547458009</c:v>
                </c:pt>
                <c:pt idx="427">
                  <c:v>374.88218297472343</c:v>
                </c:pt>
                <c:pt idx="428">
                  <c:v>412.28810710585316</c:v>
                </c:pt>
                <c:pt idx="429">
                  <c:v>396.65597624140332</c:v>
                </c:pt>
                <c:pt idx="430">
                  <c:v>351.54811359638558</c:v>
                </c:pt>
                <c:pt idx="431">
                  <c:v>414.30351894172918</c:v>
                </c:pt>
                <c:pt idx="432">
                  <c:v>420.19505058251417</c:v>
                </c:pt>
                <c:pt idx="433">
                  <c:v>402.90077198317914</c:v>
                </c:pt>
                <c:pt idx="434">
                  <c:v>407.09862401389051</c:v>
                </c:pt>
                <c:pt idx="435">
                  <c:v>390.97335672727388</c:v>
                </c:pt>
                <c:pt idx="436">
                  <c:v>422.30199339279795</c:v>
                </c:pt>
                <c:pt idx="437">
                  <c:v>432.26171847577837</c:v>
                </c:pt>
                <c:pt idx="438">
                  <c:v>370.71082444121379</c:v>
                </c:pt>
                <c:pt idx="439">
                  <c:v>407.80901285721797</c:v>
                </c:pt>
                <c:pt idx="440">
                  <c:v>391.42172556877711</c:v>
                </c:pt>
                <c:pt idx="441">
                  <c:v>388.63439844202151</c:v>
                </c:pt>
                <c:pt idx="442">
                  <c:v>408.98492205644715</c:v>
                </c:pt>
                <c:pt idx="443">
                  <c:v>414.08572679540015</c:v>
                </c:pt>
                <c:pt idx="444">
                  <c:v>390.12458805427667</c:v>
                </c:pt>
                <c:pt idx="445">
                  <c:v>384.73481025763658</c:v>
                </c:pt>
                <c:pt idx="446">
                  <c:v>387.84920286325274</c:v>
                </c:pt>
                <c:pt idx="447">
                  <c:v>389.84277416770874</c:v>
                </c:pt>
                <c:pt idx="448">
                  <c:v>391.95747219119482</c:v>
                </c:pt>
                <c:pt idx="449">
                  <c:v>403.30255953800099</c:v>
                </c:pt>
                <c:pt idx="450">
                  <c:v>401.69447347385773</c:v>
                </c:pt>
                <c:pt idx="451">
                  <c:v>389.24016361617998</c:v>
                </c:pt>
                <c:pt idx="452">
                  <c:v>372.15740001265033</c:v>
                </c:pt>
                <c:pt idx="453">
                  <c:v>370.30897800861356</c:v>
                </c:pt>
                <c:pt idx="454">
                  <c:v>371.83639342843912</c:v>
                </c:pt>
                <c:pt idx="455">
                  <c:v>423.78688160855961</c:v>
                </c:pt>
                <c:pt idx="456">
                  <c:v>396.28748530471029</c:v>
                </c:pt>
                <c:pt idx="457">
                  <c:v>393.43265589458133</c:v>
                </c:pt>
                <c:pt idx="458">
                  <c:v>402.95153181838742</c:v>
                </c:pt>
                <c:pt idx="459">
                  <c:v>405.36860358292427</c:v>
                </c:pt>
                <c:pt idx="460">
                  <c:v>381.94855838962138</c:v>
                </c:pt>
                <c:pt idx="461">
                  <c:v>402.33871693961066</c:v>
                </c:pt>
                <c:pt idx="462">
                  <c:v>381.02020513857718</c:v>
                </c:pt>
                <c:pt idx="463">
                  <c:v>393.72836305294004</c:v>
                </c:pt>
                <c:pt idx="464">
                  <c:v>423.82305448276986</c:v>
                </c:pt>
                <c:pt idx="465">
                  <c:v>396.9526025062944</c:v>
                </c:pt>
                <c:pt idx="466">
                  <c:v>414.69456489712718</c:v>
                </c:pt>
                <c:pt idx="467">
                  <c:v>414.56878955542891</c:v>
                </c:pt>
                <c:pt idx="468">
                  <c:v>391.13208045899353</c:v>
                </c:pt>
                <c:pt idx="469">
                  <c:v>403.13589156949689</c:v>
                </c:pt>
                <c:pt idx="470">
                  <c:v>416.06281522267682</c:v>
                </c:pt>
                <c:pt idx="471">
                  <c:v>402.0353479554816</c:v>
                </c:pt>
                <c:pt idx="472">
                  <c:v>411.21055083723343</c:v>
                </c:pt>
                <c:pt idx="473">
                  <c:v>394.67244902460038</c:v>
                </c:pt>
                <c:pt idx="474">
                  <c:v>388.68934037479289</c:v>
                </c:pt>
                <c:pt idx="475">
                  <c:v>422.09476638594526</c:v>
                </c:pt>
                <c:pt idx="476">
                  <c:v>394.68763527923016</c:v>
                </c:pt>
                <c:pt idx="477">
                  <c:v>392.91362600439828</c:v>
                </c:pt>
                <c:pt idx="478">
                  <c:v>401.00494278677121</c:v>
                </c:pt>
                <c:pt idx="479">
                  <c:v>375.52012342373115</c:v>
                </c:pt>
                <c:pt idx="480">
                  <c:v>405.44447981332843</c:v>
                </c:pt>
                <c:pt idx="481">
                  <c:v>373.36576773974434</c:v>
                </c:pt>
                <c:pt idx="482">
                  <c:v>381.82845267168005</c:v>
                </c:pt>
                <c:pt idx="483">
                  <c:v>405.80339832364581</c:v>
                </c:pt>
                <c:pt idx="484">
                  <c:v>418.25835323197407</c:v>
                </c:pt>
                <c:pt idx="485">
                  <c:v>398.58703707374974</c:v>
                </c:pt>
                <c:pt idx="486">
                  <c:v>408.71995476789249</c:v>
                </c:pt>
                <c:pt idx="487">
                  <c:v>404.165276678456</c:v>
                </c:pt>
                <c:pt idx="488">
                  <c:v>404.2550724102847</c:v>
                </c:pt>
                <c:pt idx="489">
                  <c:v>376.36016065735407</c:v>
                </c:pt>
                <c:pt idx="490">
                  <c:v>377.83249020237122</c:v>
                </c:pt>
                <c:pt idx="491">
                  <c:v>392.3721115099616</c:v>
                </c:pt>
                <c:pt idx="492">
                  <c:v>398.15146462401077</c:v>
                </c:pt>
                <c:pt idx="493">
                  <c:v>395.23469941326863</c:v>
                </c:pt>
                <c:pt idx="494">
                  <c:v>402.88726392958102</c:v>
                </c:pt>
                <c:pt idx="495">
                  <c:v>393.82642808698688</c:v>
                </c:pt>
                <c:pt idx="496">
                  <c:v>399.96871130681814</c:v>
                </c:pt>
                <c:pt idx="497">
                  <c:v>398.66456092519388</c:v>
                </c:pt>
                <c:pt idx="498">
                  <c:v>392.2373633759891</c:v>
                </c:pt>
                <c:pt idx="499">
                  <c:v>376.19960659356849</c:v>
                </c:pt>
                <c:pt idx="500">
                  <c:v>401.09942269849853</c:v>
                </c:pt>
                <c:pt idx="501">
                  <c:v>406.93165341930279</c:v>
                </c:pt>
                <c:pt idx="502">
                  <c:v>392.67112742650352</c:v>
                </c:pt>
                <c:pt idx="503">
                  <c:v>408.59105808840371</c:v>
                </c:pt>
                <c:pt idx="504">
                  <c:v>403.6123442392053</c:v>
                </c:pt>
                <c:pt idx="505">
                  <c:v>399.20495095886963</c:v>
                </c:pt>
                <c:pt idx="506">
                  <c:v>407.06159816107345</c:v>
                </c:pt>
                <c:pt idx="507">
                  <c:v>394.48589249492909</c:v>
                </c:pt>
                <c:pt idx="508">
                  <c:v>415.66012162466257</c:v>
                </c:pt>
                <c:pt idx="509">
                  <c:v>392.84597662296443</c:v>
                </c:pt>
                <c:pt idx="510">
                  <c:v>377.70288628074832</c:v>
                </c:pt>
                <c:pt idx="511">
                  <c:v>412.35023974070799</c:v>
                </c:pt>
                <c:pt idx="512">
                  <c:v>423.22269492412369</c:v>
                </c:pt>
                <c:pt idx="513">
                  <c:v>386.38215925367138</c:v>
                </c:pt>
                <c:pt idx="514">
                  <c:v>403.35611787906794</c:v>
                </c:pt>
                <c:pt idx="515">
                  <c:v>376.14711302870563</c:v>
                </c:pt>
                <c:pt idx="516">
                  <c:v>409.29810027151461</c:v>
                </c:pt>
                <c:pt idx="517">
                  <c:v>398.06544322163387</c:v>
                </c:pt>
                <c:pt idx="518">
                  <c:v>389.63879364422024</c:v>
                </c:pt>
                <c:pt idx="519">
                  <c:v>419.12336989291958</c:v>
                </c:pt>
                <c:pt idx="520">
                  <c:v>397.15803542763354</c:v>
                </c:pt>
                <c:pt idx="521">
                  <c:v>401.81781223335804</c:v>
                </c:pt>
                <c:pt idx="522">
                  <c:v>412.34524899062438</c:v>
                </c:pt>
                <c:pt idx="523">
                  <c:v>403.01621411334986</c:v>
                </c:pt>
                <c:pt idx="524">
                  <c:v>405.81725384143436</c:v>
                </c:pt>
                <c:pt idx="525">
                  <c:v>381.99619611367876</c:v>
                </c:pt>
                <c:pt idx="526">
                  <c:v>360.64034677223231</c:v>
                </c:pt>
                <c:pt idx="527">
                  <c:v>410.87024048149954</c:v>
                </c:pt>
                <c:pt idx="528">
                  <c:v>381.46661429571935</c:v>
                </c:pt>
                <c:pt idx="529">
                  <c:v>401.67604224204479</c:v>
                </c:pt>
                <c:pt idx="530">
                  <c:v>420.01054656385691</c:v>
                </c:pt>
                <c:pt idx="531">
                  <c:v>393.49920669965832</c:v>
                </c:pt>
                <c:pt idx="532">
                  <c:v>400.22746315140046</c:v>
                </c:pt>
                <c:pt idx="533">
                  <c:v>399.43926975781875</c:v>
                </c:pt>
                <c:pt idx="534">
                  <c:v>377.44910869231109</c:v>
                </c:pt>
                <c:pt idx="535">
                  <c:v>372.77848263019928</c:v>
                </c:pt>
                <c:pt idx="536">
                  <c:v>404.48323885056431</c:v>
                </c:pt>
                <c:pt idx="537">
                  <c:v>390.64236723993201</c:v>
                </c:pt>
                <c:pt idx="538">
                  <c:v>384.16290938274409</c:v>
                </c:pt>
                <c:pt idx="539">
                  <c:v>406.32384031530233</c:v>
                </c:pt>
                <c:pt idx="540">
                  <c:v>408.05993284148695</c:v>
                </c:pt>
                <c:pt idx="541">
                  <c:v>406.18412887291123</c:v>
                </c:pt>
                <c:pt idx="542">
                  <c:v>420.94609822039382</c:v>
                </c:pt>
                <c:pt idx="543">
                  <c:v>411.95263335665231</c:v>
                </c:pt>
                <c:pt idx="544">
                  <c:v>386.52477710444566</c:v>
                </c:pt>
                <c:pt idx="545">
                  <c:v>397.02260710881075</c:v>
                </c:pt>
                <c:pt idx="546">
                  <c:v>370.14873586987062</c:v>
                </c:pt>
                <c:pt idx="547">
                  <c:v>405.29953156893396</c:v>
                </c:pt>
                <c:pt idx="548">
                  <c:v>386.30070125546388</c:v>
                </c:pt>
                <c:pt idx="549">
                  <c:v>409.77118809519101</c:v>
                </c:pt>
                <c:pt idx="550">
                  <c:v>391.45204535050573</c:v>
                </c:pt>
                <c:pt idx="551">
                  <c:v>373.55982021050096</c:v>
                </c:pt>
                <c:pt idx="552">
                  <c:v>368.74005953673151</c:v>
                </c:pt>
                <c:pt idx="553">
                  <c:v>403.11491647194737</c:v>
                </c:pt>
                <c:pt idx="554">
                  <c:v>420.27284655662766</c:v>
                </c:pt>
                <c:pt idx="555">
                  <c:v>387.9329812982358</c:v>
                </c:pt>
                <c:pt idx="556">
                  <c:v>385.53231119510855</c:v>
                </c:pt>
                <c:pt idx="557">
                  <c:v>418.18696064635077</c:v>
                </c:pt>
                <c:pt idx="558">
                  <c:v>417.86620799473184</c:v>
                </c:pt>
                <c:pt idx="559">
                  <c:v>375.18993847495062</c:v>
                </c:pt>
                <c:pt idx="560">
                  <c:v>400.32183701855053</c:v>
                </c:pt>
                <c:pt idx="561">
                  <c:v>386.02519680648419</c:v>
                </c:pt>
                <c:pt idx="562">
                  <c:v>449.96481160280115</c:v>
                </c:pt>
                <c:pt idx="563">
                  <c:v>394.84766754697353</c:v>
                </c:pt>
                <c:pt idx="564">
                  <c:v>391.79032104767214</c:v>
                </c:pt>
                <c:pt idx="565">
                  <c:v>375.00070664934162</c:v>
                </c:pt>
                <c:pt idx="566">
                  <c:v>364.1578788154186</c:v>
                </c:pt>
                <c:pt idx="567">
                  <c:v>396.713635062972</c:v>
                </c:pt>
                <c:pt idx="568">
                  <c:v>366.93082093118113</c:v>
                </c:pt>
                <c:pt idx="569">
                  <c:v>387.13137833609505</c:v>
                </c:pt>
                <c:pt idx="570">
                  <c:v>388.00150384351718</c:v>
                </c:pt>
                <c:pt idx="571">
                  <c:v>400.39571147694784</c:v>
                </c:pt>
                <c:pt idx="572">
                  <c:v>408.8538206042233</c:v>
                </c:pt>
                <c:pt idx="573">
                  <c:v>351.33711337161128</c:v>
                </c:pt>
                <c:pt idx="574">
                  <c:v>368.64519792807801</c:v>
                </c:pt>
                <c:pt idx="575">
                  <c:v>410.68136681419708</c:v>
                </c:pt>
                <c:pt idx="576">
                  <c:v>377.3477498998169</c:v>
                </c:pt>
                <c:pt idx="577">
                  <c:v>409.7741010669256</c:v>
                </c:pt>
                <c:pt idx="578">
                  <c:v>392.60948624746948</c:v>
                </c:pt>
                <c:pt idx="579">
                  <c:v>394.89124734205035</c:v>
                </c:pt>
                <c:pt idx="580">
                  <c:v>420.13812774890414</c:v>
                </c:pt>
                <c:pt idx="581">
                  <c:v>392.92158045997689</c:v>
                </c:pt>
                <c:pt idx="582">
                  <c:v>395.83317346388014</c:v>
                </c:pt>
                <c:pt idx="583">
                  <c:v>429.57675854098693</c:v>
                </c:pt>
                <c:pt idx="584">
                  <c:v>392.27600912889096</c:v>
                </c:pt>
                <c:pt idx="585">
                  <c:v>408.02764368333845</c:v>
                </c:pt>
                <c:pt idx="586">
                  <c:v>379.55703851055318</c:v>
                </c:pt>
                <c:pt idx="587">
                  <c:v>382.79069734876168</c:v>
                </c:pt>
                <c:pt idx="588">
                  <c:v>425.16116663597006</c:v>
                </c:pt>
                <c:pt idx="589">
                  <c:v>433.50313515258</c:v>
                </c:pt>
                <c:pt idx="590">
                  <c:v>426.11207999209631</c:v>
                </c:pt>
                <c:pt idx="591">
                  <c:v>390.84680826925211</c:v>
                </c:pt>
                <c:pt idx="592">
                  <c:v>395.62690755344238</c:v>
                </c:pt>
                <c:pt idx="593">
                  <c:v>427.0863401410823</c:v>
                </c:pt>
                <c:pt idx="594">
                  <c:v>347.11203645742245</c:v>
                </c:pt>
                <c:pt idx="595">
                  <c:v>395.71715426603311</c:v>
                </c:pt>
                <c:pt idx="596">
                  <c:v>413.45214138093354</c:v>
                </c:pt>
                <c:pt idx="597">
                  <c:v>382.94782271511423</c:v>
                </c:pt>
                <c:pt idx="598">
                  <c:v>393.52432798912321</c:v>
                </c:pt>
                <c:pt idx="599">
                  <c:v>411.05379090611478</c:v>
                </c:pt>
                <c:pt idx="600">
                  <c:v>419.6330895332535</c:v>
                </c:pt>
                <c:pt idx="601">
                  <c:v>407.28766869517284</c:v>
                </c:pt>
                <c:pt idx="602">
                  <c:v>436.30500520858675</c:v>
                </c:pt>
                <c:pt idx="603">
                  <c:v>419.1822787102771</c:v>
                </c:pt>
                <c:pt idx="604">
                  <c:v>401.3930668952857</c:v>
                </c:pt>
                <c:pt idx="605">
                  <c:v>404.02284044915979</c:v>
                </c:pt>
                <c:pt idx="606">
                  <c:v>406.41184738896874</c:v>
                </c:pt>
                <c:pt idx="607">
                  <c:v>400.38669115789583</c:v>
                </c:pt>
                <c:pt idx="608">
                  <c:v>360.41260553947444</c:v>
                </c:pt>
                <c:pt idx="609">
                  <c:v>373.7471541177602</c:v>
                </c:pt>
                <c:pt idx="610">
                  <c:v>371.38924278380921</c:v>
                </c:pt>
                <c:pt idx="611">
                  <c:v>387.03297586557539</c:v>
                </c:pt>
                <c:pt idx="612">
                  <c:v>381.2949783908968</c:v>
                </c:pt>
                <c:pt idx="613">
                  <c:v>426.19509932693427</c:v>
                </c:pt>
                <c:pt idx="614">
                  <c:v>385.08195422818761</c:v>
                </c:pt>
                <c:pt idx="615">
                  <c:v>390.70443261031181</c:v>
                </c:pt>
                <c:pt idx="616">
                  <c:v>433.43618251083944</c:v>
                </c:pt>
                <c:pt idx="617">
                  <c:v>382.05193952497496</c:v>
                </c:pt>
                <c:pt idx="618">
                  <c:v>399.6035800811095</c:v>
                </c:pt>
                <c:pt idx="619">
                  <c:v>397.85533592209464</c:v>
                </c:pt>
                <c:pt idx="620">
                  <c:v>408.0880160138334</c:v>
                </c:pt>
                <c:pt idx="621">
                  <c:v>409.17196749225195</c:v>
                </c:pt>
                <c:pt idx="622">
                  <c:v>406.43255741739631</c:v>
                </c:pt>
                <c:pt idx="623">
                  <c:v>442.82372442238341</c:v>
                </c:pt>
                <c:pt idx="624">
                  <c:v>375.58551605685199</c:v>
                </c:pt>
                <c:pt idx="625">
                  <c:v>402.99820571798068</c:v>
                </c:pt>
                <c:pt idx="626">
                  <c:v>411.29284351953726</c:v>
                </c:pt>
                <c:pt idx="627">
                  <c:v>388.28632744768851</c:v>
                </c:pt>
                <c:pt idx="628">
                  <c:v>393.39593816869944</c:v>
                </c:pt>
                <c:pt idx="629">
                  <c:v>423.13823002004045</c:v>
                </c:pt>
                <c:pt idx="630">
                  <c:v>406.3252229446461</c:v>
                </c:pt>
                <c:pt idx="631">
                  <c:v>422.21508237359063</c:v>
                </c:pt>
                <c:pt idx="632">
                  <c:v>380.24872272181665</c:v>
                </c:pt>
                <c:pt idx="633">
                  <c:v>415.31494822522939</c:v>
                </c:pt>
                <c:pt idx="634">
                  <c:v>376.25709177450108</c:v>
                </c:pt>
                <c:pt idx="635">
                  <c:v>370.17186188202004</c:v>
                </c:pt>
                <c:pt idx="636">
                  <c:v>407.0654315102858</c:v>
                </c:pt>
                <c:pt idx="637">
                  <c:v>407.84683366605202</c:v>
                </c:pt>
                <c:pt idx="638">
                  <c:v>386.74807575359796</c:v>
                </c:pt>
                <c:pt idx="639">
                  <c:v>414.86415973054216</c:v>
                </c:pt>
                <c:pt idx="640">
                  <c:v>444.51448287474125</c:v>
                </c:pt>
                <c:pt idx="641">
                  <c:v>395.92450566625223</c:v>
                </c:pt>
                <c:pt idx="642">
                  <c:v>386.16484799956879</c:v>
                </c:pt>
                <c:pt idx="643">
                  <c:v>389.41837972770298</c:v>
                </c:pt>
                <c:pt idx="644">
                  <c:v>390.84597068185207</c:v>
                </c:pt>
                <c:pt idx="645">
                  <c:v>411.08029695113936</c:v>
                </c:pt>
                <c:pt idx="646">
                  <c:v>396.05069976969384</c:v>
                </c:pt>
                <c:pt idx="647">
                  <c:v>360.7447831814066</c:v>
                </c:pt>
                <c:pt idx="648">
                  <c:v>416.76821087623472</c:v>
                </c:pt>
                <c:pt idx="649">
                  <c:v>393.26950469916602</c:v>
                </c:pt>
                <c:pt idx="650">
                  <c:v>407.2931097637761</c:v>
                </c:pt>
                <c:pt idx="651">
                  <c:v>404.01098779998523</c:v>
                </c:pt>
                <c:pt idx="652">
                  <c:v>402.62678894836569</c:v>
                </c:pt>
                <c:pt idx="653">
                  <c:v>381.76496239505042</c:v>
                </c:pt>
                <c:pt idx="654">
                  <c:v>429.70705890775224</c:v>
                </c:pt>
                <c:pt idx="655">
                  <c:v>396.34395930580001</c:v>
                </c:pt>
                <c:pt idx="656">
                  <c:v>392.22986614067128</c:v>
                </c:pt>
                <c:pt idx="657">
                  <c:v>394.03333853779901</c:v>
                </c:pt>
                <c:pt idx="658">
                  <c:v>402.37338161456091</c:v>
                </c:pt>
                <c:pt idx="659">
                  <c:v>393.80508551635768</c:v>
                </c:pt>
                <c:pt idx="660">
                  <c:v>408.73450044440705</c:v>
                </c:pt>
                <c:pt idx="661">
                  <c:v>368.12761505594244</c:v>
                </c:pt>
                <c:pt idx="662">
                  <c:v>384.78852782306029</c:v>
                </c:pt>
                <c:pt idx="663">
                  <c:v>388.95076227503364</c:v>
                </c:pt>
                <c:pt idx="664">
                  <c:v>377.25783612067903</c:v>
                </c:pt>
                <c:pt idx="665">
                  <c:v>398.22299985609692</c:v>
                </c:pt>
                <c:pt idx="666">
                  <c:v>410.47939379762397</c:v>
                </c:pt>
                <c:pt idx="667">
                  <c:v>417.27182060672584</c:v>
                </c:pt>
                <c:pt idx="668">
                  <c:v>424.69813913756155</c:v>
                </c:pt>
                <c:pt idx="669">
                  <c:v>383.39794038665934</c:v>
                </c:pt>
                <c:pt idx="670">
                  <c:v>391.77613800242381</c:v>
                </c:pt>
                <c:pt idx="671">
                  <c:v>410.45173937858914</c:v>
                </c:pt>
                <c:pt idx="672">
                  <c:v>398.67256979041974</c:v>
                </c:pt>
                <c:pt idx="673">
                  <c:v>408.14396104035859</c:v>
                </c:pt>
                <c:pt idx="674">
                  <c:v>404.57897055582623</c:v>
                </c:pt>
                <c:pt idx="675">
                  <c:v>405.01831951707737</c:v>
                </c:pt>
                <c:pt idx="676">
                  <c:v>420.06615287932118</c:v>
                </c:pt>
                <c:pt idx="677">
                  <c:v>410.70233824798316</c:v>
                </c:pt>
                <c:pt idx="678">
                  <c:v>371.38243696352987</c:v>
                </c:pt>
                <c:pt idx="679">
                  <c:v>407.43907061384226</c:v>
                </c:pt>
                <c:pt idx="680">
                  <c:v>425.55537801765269</c:v>
                </c:pt>
                <c:pt idx="681">
                  <c:v>374.87249684219614</c:v>
                </c:pt>
                <c:pt idx="682">
                  <c:v>401.04664953220259</c:v>
                </c:pt>
                <c:pt idx="683">
                  <c:v>389.61825027611701</c:v>
                </c:pt>
                <c:pt idx="684">
                  <c:v>394.28793840098001</c:v>
                </c:pt>
                <c:pt idx="685">
                  <c:v>382.34680757006356</c:v>
                </c:pt>
                <c:pt idx="686">
                  <c:v>421.83279600911476</c:v>
                </c:pt>
                <c:pt idx="687">
                  <c:v>444.46651510867702</c:v>
                </c:pt>
                <c:pt idx="688">
                  <c:v>423.51622910133119</c:v>
                </c:pt>
                <c:pt idx="689">
                  <c:v>383.81760387074013</c:v>
                </c:pt>
                <c:pt idx="690">
                  <c:v>397.81687007548658</c:v>
                </c:pt>
                <c:pt idx="691">
                  <c:v>415.4801368002552</c:v>
                </c:pt>
                <c:pt idx="692">
                  <c:v>414.63530710568989</c:v>
                </c:pt>
                <c:pt idx="693">
                  <c:v>422.98632802068931</c:v>
                </c:pt>
                <c:pt idx="694">
                  <c:v>376.07039355763618</c:v>
                </c:pt>
                <c:pt idx="695">
                  <c:v>370.00856920743416</c:v>
                </c:pt>
                <c:pt idx="696">
                  <c:v>384.7405501606321</c:v>
                </c:pt>
                <c:pt idx="697">
                  <c:v>402.04639969669614</c:v>
                </c:pt>
                <c:pt idx="698">
                  <c:v>372.8067712559216</c:v>
                </c:pt>
                <c:pt idx="699">
                  <c:v>395.4926481448673</c:v>
                </c:pt>
                <c:pt idx="700">
                  <c:v>416.79079412779447</c:v>
                </c:pt>
                <c:pt idx="701">
                  <c:v>389.61219732285258</c:v>
                </c:pt>
                <c:pt idx="702">
                  <c:v>377.58472766993748</c:v>
                </c:pt>
                <c:pt idx="703">
                  <c:v>409.05931503887876</c:v>
                </c:pt>
                <c:pt idx="704">
                  <c:v>387.07975989786485</c:v>
                </c:pt>
                <c:pt idx="705">
                  <c:v>406.1328983594081</c:v>
                </c:pt>
                <c:pt idx="706">
                  <c:v>425.08554423745522</c:v>
                </c:pt>
                <c:pt idx="707">
                  <c:v>396.56645153912973</c:v>
                </c:pt>
                <c:pt idx="708">
                  <c:v>377.23955164756325</c:v>
                </c:pt>
                <c:pt idx="709">
                  <c:v>381.8037580658704</c:v>
                </c:pt>
                <c:pt idx="710">
                  <c:v>417.09174940482859</c:v>
                </c:pt>
                <c:pt idx="711">
                  <c:v>403.73500306113726</c:v>
                </c:pt>
                <c:pt idx="712">
                  <c:v>417.5566731596594</c:v>
                </c:pt>
                <c:pt idx="713">
                  <c:v>384.00042795227176</c:v>
                </c:pt>
                <c:pt idx="714">
                  <c:v>398.69634749102966</c:v>
                </c:pt>
                <c:pt idx="715">
                  <c:v>404.99516157567444</c:v>
                </c:pt>
                <c:pt idx="716">
                  <c:v>397.76291983410368</c:v>
                </c:pt>
                <c:pt idx="717">
                  <c:v>386.20562962492704</c:v>
                </c:pt>
                <c:pt idx="718">
                  <c:v>396.35374318597059</c:v>
                </c:pt>
                <c:pt idx="719">
                  <c:v>396.66314675536029</c:v>
                </c:pt>
                <c:pt idx="720">
                  <c:v>378.5201041578058</c:v>
                </c:pt>
                <c:pt idx="721">
                  <c:v>391.46637707399049</c:v>
                </c:pt>
                <c:pt idx="722">
                  <c:v>395.67761807482219</c:v>
                </c:pt>
                <c:pt idx="723">
                  <c:v>401.63795667011999</c:v>
                </c:pt>
                <c:pt idx="724">
                  <c:v>419.48492714326119</c:v>
                </c:pt>
                <c:pt idx="725">
                  <c:v>438.4652198456277</c:v>
                </c:pt>
                <c:pt idx="726">
                  <c:v>430.28114571744345</c:v>
                </c:pt>
                <c:pt idx="727">
                  <c:v>390.37382652674597</c:v>
                </c:pt>
                <c:pt idx="728">
                  <c:v>396.11247516800717</c:v>
                </c:pt>
                <c:pt idx="729">
                  <c:v>399.36410011645756</c:v>
                </c:pt>
                <c:pt idx="730">
                  <c:v>413.96384704885861</c:v>
                </c:pt>
                <c:pt idx="731">
                  <c:v>400.11741351359007</c:v>
                </c:pt>
                <c:pt idx="732">
                  <c:v>387.08524738325428</c:v>
                </c:pt>
                <c:pt idx="733">
                  <c:v>390.2183102882658</c:v>
                </c:pt>
                <c:pt idx="734">
                  <c:v>395.25562576561634</c:v>
                </c:pt>
                <c:pt idx="735">
                  <c:v>419.55136114424766</c:v>
                </c:pt>
                <c:pt idx="736">
                  <c:v>397.22201039723831</c:v>
                </c:pt>
                <c:pt idx="737">
                  <c:v>391.66946186739074</c:v>
                </c:pt>
                <c:pt idx="738">
                  <c:v>417.07749500570128</c:v>
                </c:pt>
                <c:pt idx="739">
                  <c:v>437.86113220487658</c:v>
                </c:pt>
                <c:pt idx="740">
                  <c:v>403.97825487773753</c:v>
                </c:pt>
                <c:pt idx="741">
                  <c:v>426.16392029698386</c:v>
                </c:pt>
                <c:pt idx="742">
                  <c:v>399.41426890548144</c:v>
                </c:pt>
                <c:pt idx="743">
                  <c:v>410.0326381001077</c:v>
                </c:pt>
                <c:pt idx="744">
                  <c:v>380.01437846854873</c:v>
                </c:pt>
                <c:pt idx="745">
                  <c:v>420.47657878559227</c:v>
                </c:pt>
                <c:pt idx="746">
                  <c:v>402.98684805623321</c:v>
                </c:pt>
                <c:pt idx="747">
                  <c:v>384.61670040492123</c:v>
                </c:pt>
                <c:pt idx="748">
                  <c:v>401.74044902951772</c:v>
                </c:pt>
                <c:pt idx="749">
                  <c:v>406.52016631195323</c:v>
                </c:pt>
                <c:pt idx="750">
                  <c:v>420.98086169058723</c:v>
                </c:pt>
                <c:pt idx="751">
                  <c:v>414.09748858903413</c:v>
                </c:pt>
                <c:pt idx="752">
                  <c:v>400.72315517540557</c:v>
                </c:pt>
                <c:pt idx="753">
                  <c:v>414.36408536040364</c:v>
                </c:pt>
                <c:pt idx="754">
                  <c:v>391.32857640373743</c:v>
                </c:pt>
                <c:pt idx="755">
                  <c:v>402.6222176564977</c:v>
                </c:pt>
                <c:pt idx="756">
                  <c:v>389.09156483606432</c:v>
                </c:pt>
                <c:pt idx="757">
                  <c:v>412.13423704415447</c:v>
                </c:pt>
                <c:pt idx="758">
                  <c:v>403.24202716745657</c:v>
                </c:pt>
                <c:pt idx="759">
                  <c:v>398.97218063550611</c:v>
                </c:pt>
                <c:pt idx="760">
                  <c:v>381.43554426214945</c:v>
                </c:pt>
                <c:pt idx="761">
                  <c:v>409.82580747824994</c:v>
                </c:pt>
                <c:pt idx="762">
                  <c:v>351.65372398837462</c:v>
                </c:pt>
                <c:pt idx="763">
                  <c:v>384.27961479050958</c:v>
                </c:pt>
                <c:pt idx="764">
                  <c:v>412.5276550147118</c:v>
                </c:pt>
                <c:pt idx="765">
                  <c:v>407.63067197160495</c:v>
                </c:pt>
                <c:pt idx="766">
                  <c:v>400.29579344434779</c:v>
                </c:pt>
                <c:pt idx="767">
                  <c:v>395.80801213884627</c:v>
                </c:pt>
                <c:pt idx="768">
                  <c:v>398.48062012849016</c:v>
                </c:pt>
                <c:pt idx="769">
                  <c:v>365.72128472283742</c:v>
                </c:pt>
                <c:pt idx="770">
                  <c:v>398.15577631573944</c:v>
                </c:pt>
                <c:pt idx="771">
                  <c:v>390.22412492229194</c:v>
                </c:pt>
                <c:pt idx="772">
                  <c:v>405.87438796446253</c:v>
                </c:pt>
                <c:pt idx="773">
                  <c:v>447.65281366725139</c:v>
                </c:pt>
                <c:pt idx="774">
                  <c:v>425.05698166155923</c:v>
                </c:pt>
                <c:pt idx="775">
                  <c:v>409.52580292797239</c:v>
                </c:pt>
                <c:pt idx="776">
                  <c:v>379.99609801458678</c:v>
                </c:pt>
                <c:pt idx="777">
                  <c:v>449.10105095745246</c:v>
                </c:pt>
                <c:pt idx="778">
                  <c:v>425.90317453761236</c:v>
                </c:pt>
                <c:pt idx="779">
                  <c:v>406.52211580586521</c:v>
                </c:pt>
                <c:pt idx="780">
                  <c:v>396.33825031474436</c:v>
                </c:pt>
                <c:pt idx="781">
                  <c:v>394.38306877996365</c:v>
                </c:pt>
                <c:pt idx="782">
                  <c:v>417.80118226414839</c:v>
                </c:pt>
                <c:pt idx="783">
                  <c:v>416.35762318743372</c:v>
                </c:pt>
                <c:pt idx="784">
                  <c:v>406.53180076900526</c:v>
                </c:pt>
                <c:pt idx="785">
                  <c:v>379.43441539001986</c:v>
                </c:pt>
                <c:pt idx="786">
                  <c:v>399.96269708356164</c:v>
                </c:pt>
                <c:pt idx="787">
                  <c:v>434.00637412286744</c:v>
                </c:pt>
                <c:pt idx="788">
                  <c:v>423.4790553047082</c:v>
                </c:pt>
                <c:pt idx="789">
                  <c:v>379.10741396475737</c:v>
                </c:pt>
                <c:pt idx="790">
                  <c:v>388.03833403031672</c:v>
                </c:pt>
                <c:pt idx="791">
                  <c:v>408.54526717982355</c:v>
                </c:pt>
                <c:pt idx="792">
                  <c:v>386.12580960247698</c:v>
                </c:pt>
                <c:pt idx="793">
                  <c:v>402.90342365676435</c:v>
                </c:pt>
                <c:pt idx="794">
                  <c:v>411.01137688258962</c:v>
                </c:pt>
                <c:pt idx="795">
                  <c:v>395.53320953637296</c:v>
                </c:pt>
                <c:pt idx="796">
                  <c:v>400.95344981710537</c:v>
                </c:pt>
                <c:pt idx="797">
                  <c:v>356.3728330658036</c:v>
                </c:pt>
                <c:pt idx="798">
                  <c:v>417.40957318553995</c:v>
                </c:pt>
                <c:pt idx="799">
                  <c:v>412.32679217005835</c:v>
                </c:pt>
                <c:pt idx="800">
                  <c:v>401.33513049486817</c:v>
                </c:pt>
                <c:pt idx="801">
                  <c:v>399.04018130632096</c:v>
                </c:pt>
                <c:pt idx="802">
                  <c:v>391.11366024971414</c:v>
                </c:pt>
                <c:pt idx="803">
                  <c:v>369.45124008053278</c:v>
                </c:pt>
                <c:pt idx="804">
                  <c:v>423.63756807942366</c:v>
                </c:pt>
                <c:pt idx="805">
                  <c:v>395.00459504988402</c:v>
                </c:pt>
                <c:pt idx="806">
                  <c:v>406.17817558047597</c:v>
                </c:pt>
                <c:pt idx="807">
                  <c:v>395.64518230558934</c:v>
                </c:pt>
                <c:pt idx="808">
                  <c:v>357.30446192610179</c:v>
                </c:pt>
                <c:pt idx="809">
                  <c:v>392.18144757301553</c:v>
                </c:pt>
                <c:pt idx="810">
                  <c:v>362.37139919379291</c:v>
                </c:pt>
                <c:pt idx="811">
                  <c:v>403.99292470093832</c:v>
                </c:pt>
                <c:pt idx="812">
                  <c:v>397.14073032116727</c:v>
                </c:pt>
                <c:pt idx="813">
                  <c:v>388.17533305464553</c:v>
                </c:pt>
                <c:pt idx="814">
                  <c:v>428.22258111754883</c:v>
                </c:pt>
                <c:pt idx="815">
                  <c:v>400.26290036978025</c:v>
                </c:pt>
                <c:pt idx="816">
                  <c:v>419.78475163889163</c:v>
                </c:pt>
                <c:pt idx="817">
                  <c:v>405.09394929737664</c:v>
                </c:pt>
                <c:pt idx="818">
                  <c:v>387.42350326255706</c:v>
                </c:pt>
                <c:pt idx="819">
                  <c:v>396.49202099825584</c:v>
                </c:pt>
                <c:pt idx="820">
                  <c:v>421.00888913917333</c:v>
                </c:pt>
                <c:pt idx="821">
                  <c:v>403.88307444775086</c:v>
                </c:pt>
                <c:pt idx="822">
                  <c:v>380.87808576816622</c:v>
                </c:pt>
                <c:pt idx="823">
                  <c:v>412.43361823629664</c:v>
                </c:pt>
                <c:pt idx="824">
                  <c:v>375.06839066666464</c:v>
                </c:pt>
                <c:pt idx="825">
                  <c:v>398.3296651499345</c:v>
                </c:pt>
                <c:pt idx="826">
                  <c:v>410.31234454504039</c:v>
                </c:pt>
                <c:pt idx="827">
                  <c:v>423.79159106093289</c:v>
                </c:pt>
                <c:pt idx="828">
                  <c:v>399.96132947163318</c:v>
                </c:pt>
                <c:pt idx="829">
                  <c:v>400.3069256174058</c:v>
                </c:pt>
                <c:pt idx="830">
                  <c:v>395.93959006318852</c:v>
                </c:pt>
                <c:pt idx="831">
                  <c:v>428.0311975968832</c:v>
                </c:pt>
                <c:pt idx="832">
                  <c:v>402.19562592284984</c:v>
                </c:pt>
                <c:pt idx="833">
                  <c:v>394.98845708555353</c:v>
                </c:pt>
                <c:pt idx="834">
                  <c:v>383.14206040467406</c:v>
                </c:pt>
                <c:pt idx="835">
                  <c:v>389.94390683125897</c:v>
                </c:pt>
                <c:pt idx="836">
                  <c:v>412.87622648273822</c:v>
                </c:pt>
                <c:pt idx="837">
                  <c:v>401.86369228063239</c:v>
                </c:pt>
                <c:pt idx="838">
                  <c:v>363.57098755769488</c:v>
                </c:pt>
                <c:pt idx="839">
                  <c:v>418.28054752916808</c:v>
                </c:pt>
                <c:pt idx="840">
                  <c:v>401.65782524978187</c:v>
                </c:pt>
                <c:pt idx="841">
                  <c:v>394.12560593455481</c:v>
                </c:pt>
                <c:pt idx="842">
                  <c:v>382.25235269535409</c:v>
                </c:pt>
                <c:pt idx="843">
                  <c:v>391.67789120843486</c:v>
                </c:pt>
                <c:pt idx="844">
                  <c:v>385.08906232766554</c:v>
                </c:pt>
                <c:pt idx="845">
                  <c:v>396.05223780340265</c:v>
                </c:pt>
                <c:pt idx="846">
                  <c:v>421.43182434008736</c:v>
                </c:pt>
                <c:pt idx="847">
                  <c:v>406.41224476883508</c:v>
                </c:pt>
                <c:pt idx="848">
                  <c:v>397.35961651154145</c:v>
                </c:pt>
                <c:pt idx="849">
                  <c:v>392.62093196529577</c:v>
                </c:pt>
                <c:pt idx="850">
                  <c:v>403.14830353941903</c:v>
                </c:pt>
                <c:pt idx="851">
                  <c:v>403.9571572456552</c:v>
                </c:pt>
                <c:pt idx="852">
                  <c:v>418.61909502295089</c:v>
                </c:pt>
                <c:pt idx="853">
                  <c:v>417.35937289062156</c:v>
                </c:pt>
                <c:pt idx="854">
                  <c:v>409.10682408817053</c:v>
                </c:pt>
                <c:pt idx="855">
                  <c:v>413.49473566972443</c:v>
                </c:pt>
                <c:pt idx="856">
                  <c:v>410.1251453952097</c:v>
                </c:pt>
                <c:pt idx="857">
                  <c:v>389.01917212989628</c:v>
                </c:pt>
                <c:pt idx="858">
                  <c:v>395.60191403431634</c:v>
                </c:pt>
                <c:pt idx="859">
                  <c:v>403.63536367605229</c:v>
                </c:pt>
                <c:pt idx="860">
                  <c:v>386.8558593586539</c:v>
                </c:pt>
                <c:pt idx="861">
                  <c:v>418.09472601623446</c:v>
                </c:pt>
                <c:pt idx="862">
                  <c:v>400.6130141117215</c:v>
                </c:pt>
                <c:pt idx="863">
                  <c:v>409.06217677542617</c:v>
                </c:pt>
                <c:pt idx="864">
                  <c:v>415.79252731212523</c:v>
                </c:pt>
                <c:pt idx="865">
                  <c:v>395.12568871933837</c:v>
                </c:pt>
                <c:pt idx="866">
                  <c:v>401.81159052417775</c:v>
                </c:pt>
                <c:pt idx="867">
                  <c:v>422.13840638522669</c:v>
                </c:pt>
                <c:pt idx="868">
                  <c:v>415.78641985097096</c:v>
                </c:pt>
                <c:pt idx="869">
                  <c:v>389.18479581225091</c:v>
                </c:pt>
                <c:pt idx="870">
                  <c:v>419.37305024666057</c:v>
                </c:pt>
                <c:pt idx="871">
                  <c:v>388.92931965699876</c:v>
                </c:pt>
                <c:pt idx="872">
                  <c:v>390.95347978772725</c:v>
                </c:pt>
                <c:pt idx="873">
                  <c:v>393.71468813206729</c:v>
                </c:pt>
                <c:pt idx="874">
                  <c:v>400.99215041755002</c:v>
                </c:pt>
                <c:pt idx="875">
                  <c:v>426.8666865212432</c:v>
                </c:pt>
                <c:pt idx="876">
                  <c:v>404.96554609170624</c:v>
                </c:pt>
                <c:pt idx="877">
                  <c:v>438.17121297793415</c:v>
                </c:pt>
                <c:pt idx="878">
                  <c:v>405.11661215971537</c:v>
                </c:pt>
                <c:pt idx="879">
                  <c:v>404.53142467653504</c:v>
                </c:pt>
                <c:pt idx="880">
                  <c:v>385.45175532278728</c:v>
                </c:pt>
                <c:pt idx="881">
                  <c:v>396.74159831236318</c:v>
                </c:pt>
                <c:pt idx="882">
                  <c:v>402.6517655149384</c:v>
                </c:pt>
                <c:pt idx="883">
                  <c:v>411.56335391141306</c:v>
                </c:pt>
                <c:pt idx="884">
                  <c:v>389.44187229222456</c:v>
                </c:pt>
                <c:pt idx="885">
                  <c:v>404.16457365692702</c:v>
                </c:pt>
                <c:pt idx="886">
                  <c:v>425.13319051401072</c:v>
                </c:pt>
                <c:pt idx="887">
                  <c:v>411.5093780483017</c:v>
                </c:pt>
                <c:pt idx="888">
                  <c:v>425.84378515702349</c:v>
                </c:pt>
                <c:pt idx="889">
                  <c:v>396.54723581066929</c:v>
                </c:pt>
                <c:pt idx="890">
                  <c:v>384.98099312728169</c:v>
                </c:pt>
                <c:pt idx="891">
                  <c:v>385.1027166494959</c:v>
                </c:pt>
                <c:pt idx="892">
                  <c:v>396.72753213780436</c:v>
                </c:pt>
                <c:pt idx="893">
                  <c:v>381.79840402050354</c:v>
                </c:pt>
                <c:pt idx="894">
                  <c:v>418.92081927589777</c:v>
                </c:pt>
                <c:pt idx="895">
                  <c:v>416.75732811950331</c:v>
                </c:pt>
                <c:pt idx="896">
                  <c:v>412.1793622427781</c:v>
                </c:pt>
                <c:pt idx="897">
                  <c:v>412.92066372097787</c:v>
                </c:pt>
                <c:pt idx="898">
                  <c:v>398.77912084845673</c:v>
                </c:pt>
                <c:pt idx="899">
                  <c:v>433.65986306843109</c:v>
                </c:pt>
                <c:pt idx="900">
                  <c:v>395.46768740226048</c:v>
                </c:pt>
                <c:pt idx="901">
                  <c:v>423.90202461801687</c:v>
                </c:pt>
                <c:pt idx="902">
                  <c:v>411.16613993111565</c:v>
                </c:pt>
                <c:pt idx="903">
                  <c:v>378.9355708566369</c:v>
                </c:pt>
                <c:pt idx="904">
                  <c:v>419.25766679791025</c:v>
                </c:pt>
                <c:pt idx="905">
                  <c:v>408.34380865936521</c:v>
                </c:pt>
                <c:pt idx="906">
                  <c:v>389.51551162860062</c:v>
                </c:pt>
                <c:pt idx="907">
                  <c:v>385.79441818495184</c:v>
                </c:pt>
                <c:pt idx="908">
                  <c:v>408.97823557482644</c:v>
                </c:pt>
                <c:pt idx="909">
                  <c:v>384.11321178330343</c:v>
                </c:pt>
                <c:pt idx="910">
                  <c:v>385.00654525240134</c:v>
                </c:pt>
                <c:pt idx="911">
                  <c:v>410.63377510091095</c:v>
                </c:pt>
                <c:pt idx="912">
                  <c:v>399.13907206146155</c:v>
                </c:pt>
                <c:pt idx="913">
                  <c:v>424.46524982771336</c:v>
                </c:pt>
                <c:pt idx="914">
                  <c:v>411.98514777117293</c:v>
                </c:pt>
                <c:pt idx="915">
                  <c:v>410.33201407022352</c:v>
                </c:pt>
                <c:pt idx="916">
                  <c:v>401.04726479487169</c:v>
                </c:pt>
                <c:pt idx="917">
                  <c:v>404.70264790468502</c:v>
                </c:pt>
                <c:pt idx="918">
                  <c:v>382.471966895881</c:v>
                </c:pt>
                <c:pt idx="919">
                  <c:v>372.32198953372534</c:v>
                </c:pt>
                <c:pt idx="920">
                  <c:v>414.27711151892089</c:v>
                </c:pt>
                <c:pt idx="921">
                  <c:v>389.01257570185351</c:v>
                </c:pt>
                <c:pt idx="922">
                  <c:v>369.44452341311762</c:v>
                </c:pt>
                <c:pt idx="923">
                  <c:v>402.09159488000995</c:v>
                </c:pt>
                <c:pt idx="924">
                  <c:v>414.57239046733076</c:v>
                </c:pt>
                <c:pt idx="925">
                  <c:v>424.18453367496778</c:v>
                </c:pt>
                <c:pt idx="926">
                  <c:v>397.0584601293217</c:v>
                </c:pt>
                <c:pt idx="927">
                  <c:v>380.30769307767349</c:v>
                </c:pt>
                <c:pt idx="928">
                  <c:v>420.88970803839851</c:v>
                </c:pt>
                <c:pt idx="929">
                  <c:v>444.06480686198904</c:v>
                </c:pt>
                <c:pt idx="930">
                  <c:v>381.63654773462025</c:v>
                </c:pt>
                <c:pt idx="931">
                  <c:v>383.41830121208091</c:v>
                </c:pt>
                <c:pt idx="932">
                  <c:v>388.72903787108822</c:v>
                </c:pt>
                <c:pt idx="933">
                  <c:v>394.97654756664809</c:v>
                </c:pt>
                <c:pt idx="934">
                  <c:v>399.2363914737939</c:v>
                </c:pt>
                <c:pt idx="935">
                  <c:v>372.13045078887779</c:v>
                </c:pt>
                <c:pt idx="936">
                  <c:v>391.6907156923175</c:v>
                </c:pt>
                <c:pt idx="937">
                  <c:v>406.40202041131369</c:v>
                </c:pt>
                <c:pt idx="938">
                  <c:v>408.25227542804885</c:v>
                </c:pt>
                <c:pt idx="939">
                  <c:v>403.97268371678717</c:v>
                </c:pt>
                <c:pt idx="940">
                  <c:v>406.30655477613686</c:v>
                </c:pt>
                <c:pt idx="941">
                  <c:v>398.75678820462457</c:v>
                </c:pt>
                <c:pt idx="942">
                  <c:v>392.38624023834967</c:v>
                </c:pt>
                <c:pt idx="943">
                  <c:v>421.2968583012335</c:v>
                </c:pt>
                <c:pt idx="944">
                  <c:v>408.31950710649841</c:v>
                </c:pt>
                <c:pt idx="945">
                  <c:v>379.88101299964131</c:v>
                </c:pt>
                <c:pt idx="946">
                  <c:v>388.72443465745437</c:v>
                </c:pt>
                <c:pt idx="947">
                  <c:v>420.8222007858194</c:v>
                </c:pt>
                <c:pt idx="948">
                  <c:v>376.07377503901182</c:v>
                </c:pt>
                <c:pt idx="949">
                  <c:v>402.3666011769634</c:v>
                </c:pt>
                <c:pt idx="950">
                  <c:v>372.29761062139778</c:v>
                </c:pt>
                <c:pt idx="951">
                  <c:v>396.76622196034356</c:v>
                </c:pt>
                <c:pt idx="952">
                  <c:v>362.05362333469145</c:v>
                </c:pt>
                <c:pt idx="953">
                  <c:v>405.42738500069561</c:v>
                </c:pt>
                <c:pt idx="954">
                  <c:v>437.49553141324259</c:v>
                </c:pt>
                <c:pt idx="955">
                  <c:v>363.35308780171442</c:v>
                </c:pt>
                <c:pt idx="956">
                  <c:v>416.89590192622245</c:v>
                </c:pt>
                <c:pt idx="957">
                  <c:v>423.45948574271324</c:v>
                </c:pt>
                <c:pt idx="958">
                  <c:v>399.07275752788939</c:v>
                </c:pt>
                <c:pt idx="959">
                  <c:v>384.04651075700281</c:v>
                </c:pt>
                <c:pt idx="960">
                  <c:v>408.47314772671729</c:v>
                </c:pt>
                <c:pt idx="961">
                  <c:v>408.77618648847744</c:v>
                </c:pt>
                <c:pt idx="962">
                  <c:v>378.72546820990982</c:v>
                </c:pt>
                <c:pt idx="963">
                  <c:v>383.32598216375283</c:v>
                </c:pt>
                <c:pt idx="964">
                  <c:v>390.65350721533935</c:v>
                </c:pt>
                <c:pt idx="965">
                  <c:v>403.03338644011211</c:v>
                </c:pt>
                <c:pt idx="966">
                  <c:v>399.8180308470578</c:v>
                </c:pt>
                <c:pt idx="967">
                  <c:v>398.93168832886676</c:v>
                </c:pt>
                <c:pt idx="968">
                  <c:v>417.16506711515711</c:v>
                </c:pt>
                <c:pt idx="969">
                  <c:v>412.22223052363864</c:v>
                </c:pt>
                <c:pt idx="970">
                  <c:v>411.66596614263926</c:v>
                </c:pt>
                <c:pt idx="971">
                  <c:v>369.76697107528355</c:v>
                </c:pt>
                <c:pt idx="972">
                  <c:v>378.41684477826993</c:v>
                </c:pt>
                <c:pt idx="973">
                  <c:v>408.23012672325973</c:v>
                </c:pt>
                <c:pt idx="974">
                  <c:v>391.54259185984063</c:v>
                </c:pt>
                <c:pt idx="975">
                  <c:v>417.30619445645868</c:v>
                </c:pt>
                <c:pt idx="976">
                  <c:v>395.98487870634136</c:v>
                </c:pt>
                <c:pt idx="977">
                  <c:v>400.93801873519908</c:v>
                </c:pt>
                <c:pt idx="978">
                  <c:v>403.61211569730887</c:v>
                </c:pt>
                <c:pt idx="979">
                  <c:v>381.61357049477567</c:v>
                </c:pt>
                <c:pt idx="980">
                  <c:v>388.17164814913679</c:v>
                </c:pt>
                <c:pt idx="981">
                  <c:v>393.03436779268111</c:v>
                </c:pt>
                <c:pt idx="982">
                  <c:v>382.82687100988244</c:v>
                </c:pt>
                <c:pt idx="983">
                  <c:v>400.13282017313566</c:v>
                </c:pt>
                <c:pt idx="984">
                  <c:v>415.1105209945128</c:v>
                </c:pt>
                <c:pt idx="985">
                  <c:v>428.56350210926189</c:v>
                </c:pt>
                <c:pt idx="986">
                  <c:v>385.09968481347062</c:v>
                </c:pt>
                <c:pt idx="987">
                  <c:v>371.79673852395678</c:v>
                </c:pt>
                <c:pt idx="988">
                  <c:v>389.60540114621318</c:v>
                </c:pt>
                <c:pt idx="989">
                  <c:v>383.093530876003</c:v>
                </c:pt>
                <c:pt idx="990">
                  <c:v>406.13705518839237</c:v>
                </c:pt>
                <c:pt idx="991">
                  <c:v>344.87584288575522</c:v>
                </c:pt>
                <c:pt idx="992">
                  <c:v>406.43381068092941</c:v>
                </c:pt>
                <c:pt idx="993">
                  <c:v>391.46642736624869</c:v>
                </c:pt>
                <c:pt idx="994">
                  <c:v>379.80189299781443</c:v>
                </c:pt>
                <c:pt idx="995">
                  <c:v>420.10261400758282</c:v>
                </c:pt>
                <c:pt idx="996">
                  <c:v>409.10837570090786</c:v>
                </c:pt>
                <c:pt idx="997">
                  <c:v>398.13708028627309</c:v>
                </c:pt>
                <c:pt idx="998">
                  <c:v>396.48104705862937</c:v>
                </c:pt>
                <c:pt idx="999">
                  <c:v>399.17109090089724</c:v>
                </c:pt>
              </c:numCache>
            </c:numRef>
          </c:yVal>
          <c:smooth val="0"/>
          <c:extLst>
            <c:ext xmlns:c16="http://schemas.microsoft.com/office/drawing/2014/chart" uri="{C3380CC4-5D6E-409C-BE32-E72D297353CC}">
              <c16:uniqueId val="{00000000-11C1-3D48-80FA-77542D0BA1A3}"/>
            </c:ext>
          </c:extLst>
        </c:ser>
        <c:ser>
          <c:idx val="1"/>
          <c:order val="1"/>
          <c:spPr>
            <a:ln w="25400" cap="rnd">
              <a:solidFill>
                <a:schemeClr val="tx1">
                  <a:lumMod val="75000"/>
                  <a:lumOff val="25000"/>
                </a:schemeClr>
              </a:solidFill>
              <a:round/>
            </a:ln>
            <a:effectLst/>
          </c:spPr>
          <c:marker>
            <c:symbol val="none"/>
          </c:marker>
          <c:dLbls>
            <c:dLbl>
              <c:idx val="0"/>
              <c:layout>
                <c:manualLayout>
                  <c:x val="-4.0927694406548532E-2"/>
                  <c:y val="-1.0460251046025106E-2"/>
                </c:manualLayout>
              </c:layout>
              <c:tx>
                <c:rich>
                  <a:bodyPr/>
                  <a:lstStyle/>
                  <a:p>
                    <a:r>
                      <a:rPr lang="en-US"/>
                      <a:t>£20,000 per QALY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E04-EB49-8F7B-8661A259A969}"/>
                </c:ext>
              </c:extLst>
            </c:dLbl>
            <c:dLbl>
              <c:idx val="1"/>
              <c:delete val="1"/>
              <c:extLst>
                <c:ext xmlns:c15="http://schemas.microsoft.com/office/drawing/2012/chart" uri="{CE6537A1-D6FC-4f65-9D91-7224C49458BB}"/>
                <c:ext xmlns:c16="http://schemas.microsoft.com/office/drawing/2014/chart" uri="{C3380CC4-5D6E-409C-BE32-E72D297353CC}">
                  <c16:uniqueId val="{00000001-3E04-EB49-8F7B-8661A259A969}"/>
                </c:ext>
              </c:extLst>
            </c:dLbl>
            <c:dLbl>
              <c:idx val="2"/>
              <c:layout>
                <c:manualLayout>
                  <c:x val="-7.5034106412005461E-2"/>
                  <c:y val="-1.0460251046025104E-2"/>
                </c:manualLayout>
              </c:layout>
              <c:tx>
                <c:rich>
                  <a:bodyPr/>
                  <a:lstStyle/>
                  <a:p>
                    <a:r>
                      <a:rPr lang="en-US"/>
                      <a:t>£30,000 per QALY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E04-EB49-8F7B-8661A259A96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'Model | Simulation'!$M$3:$M$5</c:f>
              <c:numCache>
                <c:formatCode>General</c:formatCode>
                <c:ptCount val="3"/>
                <c:pt idx="0">
                  <c:v>2.5000000000000001E-2</c:v>
                </c:pt>
                <c:pt idx="1">
                  <c:v>0</c:v>
                </c:pt>
                <c:pt idx="2">
                  <c:v>1.6666666666666666E-2</c:v>
                </c:pt>
              </c:numCache>
            </c:numRef>
          </c:xVal>
          <c:yVal>
            <c:numRef>
              <c:f>'Model | Simulation'!$N$3:$N$5</c:f>
              <c:numCache>
                <c:formatCode>General</c:formatCode>
                <c:ptCount val="3"/>
                <c:pt idx="0">
                  <c:v>500</c:v>
                </c:pt>
                <c:pt idx="1">
                  <c:v>0</c:v>
                </c:pt>
                <c:pt idx="2">
                  <c:v>500</c:v>
                </c:pt>
              </c:numCache>
            </c:numRef>
          </c:yVal>
          <c:smooth val="0"/>
          <c:extLst>
            <c:ext xmlns:c16="http://schemas.microsoft.com/office/drawing/2014/chart" uri="{C3380CC4-5D6E-409C-BE32-E72D297353CC}">
              <c16:uniqueId val="{00000000-3E04-EB49-8F7B-8661A259A969}"/>
            </c:ext>
          </c:extLst>
        </c:ser>
        <c:dLbls>
          <c:showLegendKey val="0"/>
          <c:showVal val="0"/>
          <c:showCatName val="0"/>
          <c:showSerName val="0"/>
          <c:showPercent val="0"/>
          <c:showBubbleSize val="0"/>
        </c:dLbls>
        <c:axId val="502707807"/>
        <c:axId val="17410335"/>
      </c:scatterChart>
      <c:valAx>
        <c:axId val="5027078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Incremental</a:t>
                </a:r>
                <a:r>
                  <a:rPr lang="en-US" sz="2000" baseline="0"/>
                  <a:t> QALY</a:t>
                </a:r>
                <a:endParaRPr lang="en-US" sz="2000"/>
              </a:p>
            </c:rich>
          </c:tx>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12700" cap="flat" cmpd="sng" algn="ctr">
            <a:solidFill>
              <a:schemeClr val="bg1">
                <a:lumMod val="50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7410335"/>
        <c:crosses val="autoZero"/>
        <c:crossBetween val="midCat"/>
      </c:valAx>
      <c:valAx>
        <c:axId val="17410335"/>
        <c:scaling>
          <c:orientation val="minMax"/>
          <c:max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Incremental cost</a:t>
                </a:r>
              </a:p>
            </c:rich>
          </c:tx>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12700" cap="flat" cmpd="sng" algn="ctr">
            <a:solidFill>
              <a:schemeClr val="bg1">
                <a:lumMod val="50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5027078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noFill/>
            <a:ln>
              <a:noFill/>
            </a:ln>
            <a:effectLst/>
          </c:spPr>
          <c:invertIfNegative val="0"/>
          <c:cat>
            <c:strRef>
              <c:f>'Ref | DSA'!$H$5:$H$15</c:f>
              <c:strCache>
                <c:ptCount val="11"/>
                <c:pt idx="0">
                  <c:v>Unit Costs</c:v>
                </c:pt>
                <c:pt idx="1">
                  <c:v>PerTotal</c:v>
                </c:pt>
                <c:pt idx="2">
                  <c:v>ER visits</c:v>
                </c:pt>
                <c:pt idx="3">
                  <c:v>GP visits</c:v>
                </c:pt>
                <c:pt idx="4">
                  <c:v>drop-out</c:v>
                </c:pt>
                <c:pt idx="5">
                  <c:v>IP visits</c:v>
                </c:pt>
                <c:pt idx="6">
                  <c:v>Adverse Events</c:v>
                </c:pt>
                <c:pt idx="7">
                  <c:v>GP Training</c:v>
                </c:pt>
                <c:pt idx="8">
                  <c:v>utility</c:v>
                </c:pt>
                <c:pt idx="9">
                  <c:v>ISI values 301</c:v>
                </c:pt>
                <c:pt idx="10">
                  <c:v>ISI values 303</c:v>
                </c:pt>
              </c:strCache>
            </c:strRef>
          </c:cat>
          <c:val>
            <c:numRef>
              <c:f>'Ref | DSA'!$I$5:$I$15</c:f>
              <c:numCache>
                <c:formatCode>_("£"* #,##0_);_("£"* \(#,##0\);_("£"* "-"??_);_(@_)</c:formatCode>
                <c:ptCount val="11"/>
                <c:pt idx="0">
                  <c:v>25107.267866196838</c:v>
                </c:pt>
                <c:pt idx="1">
                  <c:v>25034.256984993946</c:v>
                </c:pt>
                <c:pt idx="2">
                  <c:v>24925.430066852954</c:v>
                </c:pt>
                <c:pt idx="3">
                  <c:v>24804.429261727098</c:v>
                </c:pt>
                <c:pt idx="4">
                  <c:v>24757.244618480305</c:v>
                </c:pt>
                <c:pt idx="5">
                  <c:v>24513.414106945937</c:v>
                </c:pt>
                <c:pt idx="6">
                  <c:v>24474.972310685142</c:v>
                </c:pt>
                <c:pt idx="7">
                  <c:v>24616.160397497792</c:v>
                </c:pt>
                <c:pt idx="8">
                  <c:v>23745.855560565287</c:v>
                </c:pt>
                <c:pt idx="9">
                  <c:v>18586.809314258382</c:v>
                </c:pt>
                <c:pt idx="10">
                  <c:v>17781.53916801064</c:v>
                </c:pt>
              </c:numCache>
            </c:numRef>
          </c:val>
          <c:extLst>
            <c:ext xmlns:c16="http://schemas.microsoft.com/office/drawing/2014/chart" uri="{C3380CC4-5D6E-409C-BE32-E72D297353CC}">
              <c16:uniqueId val="{00000000-DE4D-C748-9CCD-0A4FF1C65DB4}"/>
            </c:ext>
          </c:extLst>
        </c:ser>
        <c:ser>
          <c:idx val="1"/>
          <c:order val="1"/>
          <c:spPr>
            <a:solidFill>
              <a:srgbClr val="CAB68E"/>
            </a:solidFill>
            <a:ln>
              <a:noFill/>
            </a:ln>
            <a:effectLst/>
          </c:spPr>
          <c:invertIfNegative val="0"/>
          <c:cat>
            <c:strRef>
              <c:f>'Ref | DSA'!$H$5:$H$15</c:f>
              <c:strCache>
                <c:ptCount val="11"/>
                <c:pt idx="0">
                  <c:v>Unit Costs</c:v>
                </c:pt>
                <c:pt idx="1">
                  <c:v>PerTotal</c:v>
                </c:pt>
                <c:pt idx="2">
                  <c:v>ER visits</c:v>
                </c:pt>
                <c:pt idx="3">
                  <c:v>GP visits</c:v>
                </c:pt>
                <c:pt idx="4">
                  <c:v>drop-out</c:v>
                </c:pt>
                <c:pt idx="5">
                  <c:v>IP visits</c:v>
                </c:pt>
                <c:pt idx="6">
                  <c:v>Adverse Events</c:v>
                </c:pt>
                <c:pt idx="7">
                  <c:v>GP Training</c:v>
                </c:pt>
                <c:pt idx="8">
                  <c:v>utility</c:v>
                </c:pt>
                <c:pt idx="9">
                  <c:v>ISI values 301</c:v>
                </c:pt>
                <c:pt idx="10">
                  <c:v>ISI values 303</c:v>
                </c:pt>
              </c:strCache>
            </c:strRef>
          </c:cat>
          <c:val>
            <c:numRef>
              <c:f>'Ref | DSA'!$J$5:$J$15</c:f>
              <c:numCache>
                <c:formatCode>_("£"* #,##0_);_("£"* \(#,##0\);_("£"* "-"??_);_(@_)</c:formatCode>
                <c:ptCount val="11"/>
                <c:pt idx="0">
                  <c:v>-8825.0305451208915</c:v>
                </c:pt>
                <c:pt idx="1">
                  <c:v>-8752.0196639179994</c:v>
                </c:pt>
                <c:pt idx="2">
                  <c:v>-8643.1927457770071</c:v>
                </c:pt>
                <c:pt idx="3">
                  <c:v>-8522.1919406511515</c:v>
                </c:pt>
                <c:pt idx="4">
                  <c:v>-8475.0072974043578</c:v>
                </c:pt>
                <c:pt idx="5">
                  <c:v>-8231.1767858699895</c:v>
                </c:pt>
                <c:pt idx="6">
                  <c:v>-8192.7349896091946</c:v>
                </c:pt>
                <c:pt idx="7">
                  <c:v>-8333.9230764218446</c:v>
                </c:pt>
                <c:pt idx="8">
                  <c:v>-7463.6182394893403</c:v>
                </c:pt>
                <c:pt idx="9">
                  <c:v>-2304.5719931824351</c:v>
                </c:pt>
                <c:pt idx="10">
                  <c:v>-1499.3018469346935</c:v>
                </c:pt>
              </c:numCache>
            </c:numRef>
          </c:val>
          <c:extLst>
            <c:ext xmlns:c16="http://schemas.microsoft.com/office/drawing/2014/chart" uri="{C3380CC4-5D6E-409C-BE32-E72D297353CC}">
              <c16:uniqueId val="{00000001-DE4D-C748-9CCD-0A4FF1C65DB4}"/>
            </c:ext>
          </c:extLst>
        </c:ser>
        <c:ser>
          <c:idx val="2"/>
          <c:order val="2"/>
          <c:spPr>
            <a:solidFill>
              <a:srgbClr val="CAB68E"/>
            </a:solidFill>
            <a:ln>
              <a:noFill/>
            </a:ln>
            <a:effectLst/>
          </c:spPr>
          <c:invertIfNegative val="0"/>
          <c:cat>
            <c:strRef>
              <c:f>'Ref | DSA'!$H$5:$H$15</c:f>
              <c:strCache>
                <c:ptCount val="11"/>
                <c:pt idx="0">
                  <c:v>Unit Costs</c:v>
                </c:pt>
                <c:pt idx="1">
                  <c:v>PerTotal</c:v>
                </c:pt>
                <c:pt idx="2">
                  <c:v>ER visits</c:v>
                </c:pt>
                <c:pt idx="3">
                  <c:v>GP visits</c:v>
                </c:pt>
                <c:pt idx="4">
                  <c:v>drop-out</c:v>
                </c:pt>
                <c:pt idx="5">
                  <c:v>IP visits</c:v>
                </c:pt>
                <c:pt idx="6">
                  <c:v>Adverse Events</c:v>
                </c:pt>
                <c:pt idx="7">
                  <c:v>GP Training</c:v>
                </c:pt>
                <c:pt idx="8">
                  <c:v>utility</c:v>
                </c:pt>
                <c:pt idx="9">
                  <c:v>ISI values 301</c:v>
                </c:pt>
                <c:pt idx="10">
                  <c:v>ISI values 303</c:v>
                </c:pt>
              </c:strCache>
            </c:strRef>
          </c:cat>
          <c:val>
            <c:numRef>
              <c:f>'Ref | DSA'!$K$5:$K$15</c:f>
              <c:numCache>
                <c:formatCode>_("£"* #,##0_);_("£"* \(#,##0\);_("£"* "-"??_);_(@_)</c:formatCode>
                <c:ptCount val="11"/>
                <c:pt idx="0">
                  <c:v>9029.0868966083945</c:v>
                </c:pt>
                <c:pt idx="1">
                  <c:v>9048.7277204551538</c:v>
                </c:pt>
                <c:pt idx="2">
                  <c:v>9143.3086816714676</c:v>
                </c:pt>
                <c:pt idx="3">
                  <c:v>9313.9759382857628</c:v>
                </c:pt>
                <c:pt idx="4">
                  <c:v>9442.5060546858476</c:v>
                </c:pt>
                <c:pt idx="5">
                  <c:v>9597.1200755358041</c:v>
                </c:pt>
                <c:pt idx="6">
                  <c:v>9714.7013436988491</c:v>
                </c:pt>
                <c:pt idx="7">
                  <c:v>10178.682192640044</c:v>
                </c:pt>
                <c:pt idx="8">
                  <c:v>10377.974949854055</c:v>
                </c:pt>
                <c:pt idx="9">
                  <c:v>22713.048702932305</c:v>
                </c:pt>
                <c:pt idx="10">
                  <c:v>29181.438412945812</c:v>
                </c:pt>
              </c:numCache>
            </c:numRef>
          </c:val>
          <c:extLst>
            <c:ext xmlns:c16="http://schemas.microsoft.com/office/drawing/2014/chart" uri="{C3380CC4-5D6E-409C-BE32-E72D297353CC}">
              <c16:uniqueId val="{00000002-DE4D-C748-9CCD-0A4FF1C65DB4}"/>
            </c:ext>
          </c:extLst>
        </c:ser>
        <c:dLbls>
          <c:showLegendKey val="0"/>
          <c:showVal val="0"/>
          <c:showCatName val="0"/>
          <c:showSerName val="0"/>
          <c:showPercent val="0"/>
          <c:showBubbleSize val="0"/>
        </c:dLbls>
        <c:gapWidth val="17"/>
        <c:overlap val="100"/>
        <c:axId val="498915344"/>
        <c:axId val="501620704"/>
      </c:barChart>
      <c:catAx>
        <c:axId val="498915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501620704"/>
        <c:crosses val="autoZero"/>
        <c:auto val="1"/>
        <c:lblAlgn val="ctr"/>
        <c:lblOffset val="100"/>
        <c:noMultiLvlLbl val="0"/>
      </c:catAx>
      <c:valAx>
        <c:axId val="5016207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sz="2000"/>
                  <a:t>ICER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49891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'Ref | SDS'!$M$81</c:f>
              <c:strCache>
                <c:ptCount val="1"/>
                <c:pt idx="0">
                  <c:v>Absenteeism</c:v>
                </c:pt>
              </c:strCache>
            </c:strRef>
          </c:tx>
          <c:spPr>
            <a:solidFill>
              <a:schemeClr val="bg2">
                <a:lumMod val="50000"/>
              </a:schemeClr>
            </a:solidFill>
            <a:ln>
              <a:solidFill>
                <a:schemeClr val="bg1"/>
              </a:solidFill>
            </a:ln>
            <a:effectLst/>
          </c:spPr>
          <c:invertIfNegative val="0"/>
          <c:cat>
            <c:multiLvlStrRef>
              <c:f>'Ref | SDS'!$K$82:$L$111</c:f>
              <c:multiLvlStrCache>
                <c:ptCount val="29"/>
                <c:lvl>
                  <c:pt idx="1">
                    <c:v>PBO</c:v>
                  </c:pt>
                  <c:pt idx="2">
                    <c:v>D50mg</c:v>
                  </c:pt>
                  <c:pt idx="3">
                    <c:v>Difference</c:v>
                  </c:pt>
                  <c:pt idx="6">
                    <c:v>PBO</c:v>
                  </c:pt>
                  <c:pt idx="7">
                    <c:v>D50mg</c:v>
                  </c:pt>
                  <c:pt idx="8">
                    <c:v>Difference</c:v>
                  </c:pt>
                  <c:pt idx="11">
                    <c:v>PBO</c:v>
                  </c:pt>
                  <c:pt idx="12">
                    <c:v>D50mg</c:v>
                  </c:pt>
                  <c:pt idx="13">
                    <c:v>Difference</c:v>
                  </c:pt>
                  <c:pt idx="16">
                    <c:v>PBO</c:v>
                  </c:pt>
                  <c:pt idx="17">
                    <c:v>D50mg</c:v>
                  </c:pt>
                  <c:pt idx="18">
                    <c:v>Difference</c:v>
                  </c:pt>
                  <c:pt idx="21">
                    <c:v>PBO</c:v>
                  </c:pt>
                  <c:pt idx="22">
                    <c:v>D50mg</c:v>
                  </c:pt>
                  <c:pt idx="23">
                    <c:v>Difference</c:v>
                  </c:pt>
                  <c:pt idx="26">
                    <c:v>PBO</c:v>
                  </c:pt>
                  <c:pt idx="27">
                    <c:v>D50mg</c:v>
                  </c:pt>
                  <c:pt idx="28">
                    <c:v>Difference</c:v>
                  </c:pt>
                </c:lvl>
                <c:lvl>
                  <c:pt idx="0">
                    <c:v>Baseline</c:v>
                  </c:pt>
                  <c:pt idx="5">
                    <c:v>4 weeks</c:v>
                  </c:pt>
                  <c:pt idx="10">
                    <c:v>12 weeks</c:v>
                  </c:pt>
                  <c:pt idx="15">
                    <c:v>26 weeks</c:v>
                  </c:pt>
                  <c:pt idx="21">
                    <c:v>39 weeks</c:v>
                  </c:pt>
                  <c:pt idx="26">
                    <c:v>52 weeks</c:v>
                  </c:pt>
                </c:lvl>
              </c:multiLvlStrCache>
            </c:multiLvlStrRef>
          </c:cat>
          <c:val>
            <c:numRef>
              <c:f>'Ref | SDS'!$M$82:$M$111</c:f>
              <c:numCache>
                <c:formatCode>_("£"* #,##0_);_("£"* \(#,##0\);_("£"* "-"??_);_(@_)</c:formatCode>
                <c:ptCount val="30"/>
                <c:pt idx="1">
                  <c:v>94.180549450549464</c:v>
                </c:pt>
                <c:pt idx="2">
                  <c:v>97.03450549450551</c:v>
                </c:pt>
                <c:pt idx="3" formatCode="_(&quot;£&quot;* #,##0.00_);_(&quot;£&quot;* \(#,##0.00\);_(&quot;£&quot;* &quot;-&quot;??_);_(@_)">
                  <c:v>2.8539560439560461</c:v>
                </c:pt>
                <c:pt idx="6">
                  <c:v>65.640989010989031</c:v>
                </c:pt>
                <c:pt idx="7">
                  <c:v>57.079120879120886</c:v>
                </c:pt>
                <c:pt idx="8" formatCode="_(&quot;£&quot;* #,##0.00_);_(&quot;£&quot;* \(#,##0.00\);_(&quot;£&quot;* &quot;-&quot;??_);_(@_)">
                  <c:v>-8.5618681318681453</c:v>
                </c:pt>
                <c:pt idx="11">
                  <c:v>119.86615384615385</c:v>
                </c:pt>
                <c:pt idx="12">
                  <c:v>79.910769230769233</c:v>
                </c:pt>
                <c:pt idx="13" formatCode="_(&quot;£&quot;* #,##0.00_);_(&quot;£&quot;* \(#,##0.00\);_(&quot;£&quot;* &quot;-&quot;??_);_(@_)">
                  <c:v>-39.955384615384617</c:v>
                </c:pt>
                <c:pt idx="16">
                  <c:v>111.30428571428571</c:v>
                </c:pt>
                <c:pt idx="17">
                  <c:v>0</c:v>
                </c:pt>
                <c:pt idx="18" formatCode="_(&quot;£&quot;* #,##0.00_);_(&quot;£&quot;* \(#,##0.00\);_(&quot;£&quot;* &quot;-&quot;??_);_(@_)">
                  <c:v>-111.30428571428571</c:v>
                </c:pt>
                <c:pt idx="21">
                  <c:v>111.30428571428571</c:v>
                </c:pt>
                <c:pt idx="22">
                  <c:v>34.247472527472567</c:v>
                </c:pt>
                <c:pt idx="23" formatCode="_(&quot;£&quot;* #,##0.00_);_(&quot;£&quot;* \(#,##0.00\);_(&quot;£&quot;* &quot;-&quot;??_);_(@_)">
                  <c:v>-77.056813186813145</c:v>
                </c:pt>
                <c:pt idx="26">
                  <c:v>111.30428571428571</c:v>
                </c:pt>
                <c:pt idx="27">
                  <c:v>0</c:v>
                </c:pt>
                <c:pt idx="28">
                  <c:v>-111.30428571428571</c:v>
                </c:pt>
              </c:numCache>
            </c:numRef>
          </c:val>
          <c:extLst>
            <c:ext xmlns:c16="http://schemas.microsoft.com/office/drawing/2014/chart" uri="{C3380CC4-5D6E-409C-BE32-E72D297353CC}">
              <c16:uniqueId val="{00000000-F517-F84E-9175-F5804C24F41A}"/>
            </c:ext>
          </c:extLst>
        </c:ser>
        <c:ser>
          <c:idx val="1"/>
          <c:order val="1"/>
          <c:tx>
            <c:strRef>
              <c:f>'Ref | SDS'!$N$81</c:f>
              <c:strCache>
                <c:ptCount val="1"/>
                <c:pt idx="0">
                  <c:v>Presenteeism</c:v>
                </c:pt>
              </c:strCache>
            </c:strRef>
          </c:tx>
          <c:spPr>
            <a:solidFill>
              <a:schemeClr val="bg1">
                <a:lumMod val="75000"/>
              </a:schemeClr>
            </a:solidFill>
            <a:ln>
              <a:solidFill>
                <a:schemeClr val="bg1"/>
              </a:solidFill>
            </a:ln>
            <a:effectLst/>
          </c:spPr>
          <c:invertIfNegative val="0"/>
          <c:errBars>
            <c:errBarType val="both"/>
            <c:errValType val="cust"/>
            <c:noEndCap val="0"/>
            <c:plus>
              <c:numRef>
                <c:f>('Ref | SDS'!$R$83:$R$85,'Ref | SDS'!$R$88:$R$90,'Ref | SDS'!$R$93:$R$95,'Ref | SDS'!$R$98:$R$100,'Ref | SDS'!$R$103:$R$105,'Ref | SDS'!$R$108:$R$110)</c:f>
                <c:numCache>
                  <c:formatCode>General</c:formatCode>
                  <c:ptCount val="18"/>
                  <c:pt idx="0">
                    <c:v>25.997593865385685</c:v>
                  </c:pt>
                  <c:pt idx="1">
                    <c:v>29.347673217316078</c:v>
                  </c:pt>
                  <c:pt idx="2">
                    <c:v>39.206642422680261</c:v>
                  </c:pt>
                  <c:pt idx="3">
                    <c:v>26.025837243720183</c:v>
                  </c:pt>
                  <c:pt idx="4">
                    <c:v>26.902333265465163</c:v>
                  </c:pt>
                  <c:pt idx="5">
                    <c:v>37.430999710971726</c:v>
                  </c:pt>
                  <c:pt idx="6">
                    <c:v>24.023400940724667</c:v>
                  </c:pt>
                  <c:pt idx="7">
                    <c:v>27.88919931354415</c:v>
                  </c:pt>
                  <c:pt idx="8">
                    <c:v>36.809390528904473</c:v>
                  </c:pt>
                  <c:pt idx="9">
                    <c:v>36.750606240191928</c:v>
                  </c:pt>
                  <c:pt idx="10">
                    <c:v>49.379575287037909</c:v>
                  </c:pt>
                  <c:pt idx="11">
                    <c:v>61.55444349963598</c:v>
                  </c:pt>
                  <c:pt idx="12">
                    <c:v>42.243490555030242</c:v>
                  </c:pt>
                  <c:pt idx="13">
                    <c:v>44.770441274633725</c:v>
                  </c:pt>
                  <c:pt idx="14">
                    <c:v>61.554081149817804</c:v>
                  </c:pt>
                  <c:pt idx="15">
                    <c:v>37.654107940101206</c:v>
                  </c:pt>
                  <c:pt idx="16">
                    <c:v>63.552599727652868</c:v>
                  </c:pt>
                  <c:pt idx="17">
                    <c:v>73.869917943016944</c:v>
                  </c:pt>
                </c:numCache>
              </c:numRef>
            </c:plus>
            <c:minus>
              <c:numRef>
                <c:f>('Ref | SDS'!$Q$83:$Q$85,'Ref | SDS'!$Q$88:$Q$90,'Ref | SDS'!$Q$93:$Q$95,'Ref | SDS'!$Q$98:$Q$100,'Ref | SDS'!$Q$103:$Q$105,'Ref | SDS'!$Q$108:$Q$110)</c:f>
                <c:numCache>
                  <c:formatCode>General</c:formatCode>
                  <c:ptCount val="18"/>
                  <c:pt idx="0">
                    <c:v>25.997593865385685</c:v>
                  </c:pt>
                  <c:pt idx="1">
                    <c:v>29.347673217316078</c:v>
                  </c:pt>
                  <c:pt idx="2">
                    <c:v>39.206642422680261</c:v>
                  </c:pt>
                  <c:pt idx="3">
                    <c:v>26.025837243720183</c:v>
                  </c:pt>
                  <c:pt idx="4">
                    <c:v>26.902333265465163</c:v>
                  </c:pt>
                  <c:pt idx="5">
                    <c:v>37.430999710971726</c:v>
                  </c:pt>
                  <c:pt idx="6">
                    <c:v>24.023400940724667</c:v>
                  </c:pt>
                  <c:pt idx="7">
                    <c:v>27.88919931354415</c:v>
                  </c:pt>
                  <c:pt idx="8">
                    <c:v>36.809390528904473</c:v>
                  </c:pt>
                  <c:pt idx="9">
                    <c:v>36.750606240191928</c:v>
                  </c:pt>
                  <c:pt idx="10">
                    <c:v>49.379575287037909</c:v>
                  </c:pt>
                  <c:pt idx="11">
                    <c:v>61.55444349963598</c:v>
                  </c:pt>
                  <c:pt idx="12">
                    <c:v>42.243490555030242</c:v>
                  </c:pt>
                  <c:pt idx="13">
                    <c:v>44.770441274633725</c:v>
                  </c:pt>
                  <c:pt idx="14">
                    <c:v>61.554081149817804</c:v>
                  </c:pt>
                  <c:pt idx="15">
                    <c:v>37.654107940101206</c:v>
                  </c:pt>
                  <c:pt idx="16">
                    <c:v>63.552599727652868</c:v>
                  </c:pt>
                  <c:pt idx="17">
                    <c:v>73.869917943016944</c:v>
                  </c:pt>
                </c:numCache>
              </c:numRef>
            </c:minus>
            <c:spPr>
              <a:noFill/>
              <a:ln w="9525" cap="flat" cmpd="sng" algn="ctr">
                <a:solidFill>
                  <a:schemeClr val="tx1">
                    <a:lumMod val="65000"/>
                    <a:lumOff val="35000"/>
                  </a:schemeClr>
                </a:solidFill>
                <a:round/>
              </a:ln>
              <a:effectLst/>
            </c:spPr>
          </c:errBars>
          <c:cat>
            <c:multiLvlStrRef>
              <c:f>'Ref | SDS'!$K$82:$L$111</c:f>
              <c:multiLvlStrCache>
                <c:ptCount val="29"/>
                <c:lvl>
                  <c:pt idx="1">
                    <c:v>PBO</c:v>
                  </c:pt>
                  <c:pt idx="2">
                    <c:v>D50mg</c:v>
                  </c:pt>
                  <c:pt idx="3">
                    <c:v>Difference</c:v>
                  </c:pt>
                  <c:pt idx="6">
                    <c:v>PBO</c:v>
                  </c:pt>
                  <c:pt idx="7">
                    <c:v>D50mg</c:v>
                  </c:pt>
                  <c:pt idx="8">
                    <c:v>Difference</c:v>
                  </c:pt>
                  <c:pt idx="11">
                    <c:v>PBO</c:v>
                  </c:pt>
                  <c:pt idx="12">
                    <c:v>D50mg</c:v>
                  </c:pt>
                  <c:pt idx="13">
                    <c:v>Difference</c:v>
                  </c:pt>
                  <c:pt idx="16">
                    <c:v>PBO</c:v>
                  </c:pt>
                  <c:pt idx="17">
                    <c:v>D50mg</c:v>
                  </c:pt>
                  <c:pt idx="18">
                    <c:v>Difference</c:v>
                  </c:pt>
                  <c:pt idx="21">
                    <c:v>PBO</c:v>
                  </c:pt>
                  <c:pt idx="22">
                    <c:v>D50mg</c:v>
                  </c:pt>
                  <c:pt idx="23">
                    <c:v>Difference</c:v>
                  </c:pt>
                  <c:pt idx="26">
                    <c:v>PBO</c:v>
                  </c:pt>
                  <c:pt idx="27">
                    <c:v>D50mg</c:v>
                  </c:pt>
                  <c:pt idx="28">
                    <c:v>Difference</c:v>
                  </c:pt>
                </c:lvl>
                <c:lvl>
                  <c:pt idx="0">
                    <c:v>Baseline</c:v>
                  </c:pt>
                  <c:pt idx="5">
                    <c:v>4 weeks</c:v>
                  </c:pt>
                  <c:pt idx="10">
                    <c:v>12 weeks</c:v>
                  </c:pt>
                  <c:pt idx="15">
                    <c:v>26 weeks</c:v>
                  </c:pt>
                  <c:pt idx="21">
                    <c:v>39 weeks</c:v>
                  </c:pt>
                  <c:pt idx="26">
                    <c:v>52 weeks</c:v>
                  </c:pt>
                </c:lvl>
              </c:multiLvlStrCache>
            </c:multiLvlStrRef>
          </c:cat>
          <c:val>
            <c:numRef>
              <c:f>'Ref | SDS'!$N$82:$N$111</c:f>
              <c:numCache>
                <c:formatCode>_("£"* #,##0_);_("£"* \(#,##0\);_("£"* "-"??_);_(@_)</c:formatCode>
                <c:ptCount val="30"/>
                <c:pt idx="1">
                  <c:v>190.33032857142859</c:v>
                </c:pt>
                <c:pt idx="2">
                  <c:v>191.88573461538462</c:v>
                </c:pt>
                <c:pt idx="3" formatCode="_(&quot;£&quot;* #,##0.00_);_(&quot;£&quot;* \(#,##0.00\);_(&quot;£&quot;* &quot;-&quot;??_);_(@_)">
                  <c:v>1.555406043956026</c:v>
                </c:pt>
                <c:pt idx="6">
                  <c:v>120.80225142857145</c:v>
                </c:pt>
                <c:pt idx="7">
                  <c:v>96.106969780219799</c:v>
                </c:pt>
                <c:pt idx="8" formatCode="_(&quot;£&quot;* #,##0.00_);_(&quot;£&quot;* \(#,##0.00\);_(&quot;£&quot;* &quot;-&quot;??_);_(@_)">
                  <c:v>-24.695281648351653</c:v>
                </c:pt>
                <c:pt idx="11">
                  <c:v>173.60043824175827</c:v>
                </c:pt>
                <c:pt idx="12">
                  <c:v>115.58521978021979</c:v>
                </c:pt>
                <c:pt idx="13" formatCode="_(&quot;£&quot;* #,##0.00_);_(&quot;£&quot;* \(#,##0.00\);_(&quot;£&quot;* &quot;-&quot;??_);_(@_)">
                  <c:v>-58.015218461538481</c:v>
                </c:pt>
                <c:pt idx="16">
                  <c:v>270.29817692307694</c:v>
                </c:pt>
                <c:pt idx="17">
                  <c:v>111.86080714285714</c:v>
                </c:pt>
                <c:pt idx="18" formatCode="_(&quot;£&quot;* #,##0.00_);_(&quot;£&quot;* \(#,##0.00\);_(&quot;£&quot;* &quot;-&quot;??_);_(@_)">
                  <c:v>-158.4373697802198</c:v>
                </c:pt>
                <c:pt idx="21">
                  <c:v>212.24871098901099</c:v>
                </c:pt>
                <c:pt idx="22">
                  <c:v>105.18255000000001</c:v>
                </c:pt>
                <c:pt idx="23" formatCode="_(&quot;£&quot;* #,##0.00_);_(&quot;£&quot;* \(#,##0.00\);_(&quot;£&quot;* &quot;-&quot;??_);_(@_)">
                  <c:v>-107.06616098901098</c:v>
                </c:pt>
                <c:pt idx="26">
                  <c:v>151.28820989010993</c:v>
                </c:pt>
                <c:pt idx="27">
                  <c:v>38.22874120879122</c:v>
                </c:pt>
                <c:pt idx="28">
                  <c:v>-113.05946868131871</c:v>
                </c:pt>
              </c:numCache>
            </c:numRef>
          </c:val>
          <c:extLst>
            <c:ext xmlns:c16="http://schemas.microsoft.com/office/drawing/2014/chart" uri="{C3380CC4-5D6E-409C-BE32-E72D297353CC}">
              <c16:uniqueId val="{00000001-F517-F84E-9175-F5804C24F41A}"/>
            </c:ext>
          </c:extLst>
        </c:ser>
        <c:ser>
          <c:idx val="2"/>
          <c:order val="2"/>
          <c:tx>
            <c:strRef>
              <c:f>'Ref | SDS'!$O$81</c:f>
              <c:strCache>
                <c:ptCount val="1"/>
                <c:pt idx="0">
                  <c:v>Total</c:v>
                </c:pt>
              </c:strCache>
            </c:strRef>
          </c:tx>
          <c:spPr>
            <a:noFill/>
            <a:ln>
              <a:noFill/>
            </a:ln>
            <a:effectLst/>
          </c:spPr>
          <c:invertIfNegative val="0"/>
          <c:cat>
            <c:multiLvlStrRef>
              <c:f>'Ref | SDS'!$K$82:$L$111</c:f>
              <c:multiLvlStrCache>
                <c:ptCount val="29"/>
                <c:lvl>
                  <c:pt idx="1">
                    <c:v>PBO</c:v>
                  </c:pt>
                  <c:pt idx="2">
                    <c:v>D50mg</c:v>
                  </c:pt>
                  <c:pt idx="3">
                    <c:v>Difference</c:v>
                  </c:pt>
                  <c:pt idx="6">
                    <c:v>PBO</c:v>
                  </c:pt>
                  <c:pt idx="7">
                    <c:v>D50mg</c:v>
                  </c:pt>
                  <c:pt idx="8">
                    <c:v>Difference</c:v>
                  </c:pt>
                  <c:pt idx="11">
                    <c:v>PBO</c:v>
                  </c:pt>
                  <c:pt idx="12">
                    <c:v>D50mg</c:v>
                  </c:pt>
                  <c:pt idx="13">
                    <c:v>Difference</c:v>
                  </c:pt>
                  <c:pt idx="16">
                    <c:v>PBO</c:v>
                  </c:pt>
                  <c:pt idx="17">
                    <c:v>D50mg</c:v>
                  </c:pt>
                  <c:pt idx="18">
                    <c:v>Difference</c:v>
                  </c:pt>
                  <c:pt idx="21">
                    <c:v>PBO</c:v>
                  </c:pt>
                  <c:pt idx="22">
                    <c:v>D50mg</c:v>
                  </c:pt>
                  <c:pt idx="23">
                    <c:v>Difference</c:v>
                  </c:pt>
                  <c:pt idx="26">
                    <c:v>PBO</c:v>
                  </c:pt>
                  <c:pt idx="27">
                    <c:v>D50mg</c:v>
                  </c:pt>
                  <c:pt idx="28">
                    <c:v>Difference</c:v>
                  </c:pt>
                </c:lvl>
                <c:lvl>
                  <c:pt idx="0">
                    <c:v>Baseline</c:v>
                  </c:pt>
                  <c:pt idx="5">
                    <c:v>4 weeks</c:v>
                  </c:pt>
                  <c:pt idx="10">
                    <c:v>12 weeks</c:v>
                  </c:pt>
                  <c:pt idx="15">
                    <c:v>26 weeks</c:v>
                  </c:pt>
                  <c:pt idx="21">
                    <c:v>39 weeks</c:v>
                  </c:pt>
                  <c:pt idx="26">
                    <c:v>52 weeks</c:v>
                  </c:pt>
                </c:lvl>
              </c:multiLvlStrCache>
            </c:multiLvlStrRef>
          </c:cat>
          <c:val>
            <c:numRef>
              <c:f>'Ref | SDS'!$O$82:$O$111</c:f>
              <c:numCache>
                <c:formatCode>_("£"* #,##0_);_("£"* \(#,##0\);_("£"* "-"??_);_(@_)</c:formatCode>
                <c:ptCount val="30"/>
                <c:pt idx="1">
                  <c:v>284.51087802197804</c:v>
                </c:pt>
                <c:pt idx="2">
                  <c:v>288.92024010989013</c:v>
                </c:pt>
                <c:pt idx="3" formatCode="_(&quot;£&quot;* #,##0.00_);_(&quot;£&quot;* \(#,##0.00\);_(&quot;£&quot;* &quot;-&quot;??_);_(@_)">
                  <c:v>4.4093620879120863</c:v>
                </c:pt>
                <c:pt idx="6">
                  <c:v>186.4432404395605</c:v>
                </c:pt>
                <c:pt idx="7">
                  <c:v>153.18609065934069</c:v>
                </c:pt>
                <c:pt idx="8" formatCode="_(&quot;£&quot;* #,##0.00_);_(&quot;£&quot;* \(#,##0.00\);_(&quot;£&quot;* &quot;-&quot;??_);_(@_)">
                  <c:v>-33.257149780219805</c:v>
                </c:pt>
                <c:pt idx="11">
                  <c:v>293.46659208791209</c:v>
                </c:pt>
                <c:pt idx="12">
                  <c:v>195.49598901098904</c:v>
                </c:pt>
                <c:pt idx="13" formatCode="_(&quot;£&quot;* #,##0.00_);_(&quot;£&quot;* \(#,##0.00\);_(&quot;£&quot;* &quot;-&quot;??_);_(@_)">
                  <c:v>-97.970603076923055</c:v>
                </c:pt>
                <c:pt idx="16">
                  <c:v>381.60246263736263</c:v>
                </c:pt>
                <c:pt idx="17">
                  <c:v>111.86080714285714</c:v>
                </c:pt>
                <c:pt idx="18" formatCode="_(&quot;£&quot;* #,##0.00_);_(&quot;£&quot;* \(#,##0.00\);_(&quot;£&quot;* &quot;-&quot;??_);_(@_)">
                  <c:v>-269.74165549450549</c:v>
                </c:pt>
                <c:pt idx="21">
                  <c:v>323.55299670329669</c:v>
                </c:pt>
                <c:pt idx="22">
                  <c:v>139.43002252747257</c:v>
                </c:pt>
                <c:pt idx="23" formatCode="_(&quot;£&quot;* #,##0.00_);_(&quot;£&quot;* \(#,##0.00\);_(&quot;£&quot;* &quot;-&quot;??_);_(@_)">
                  <c:v>-184.12297417582411</c:v>
                </c:pt>
                <c:pt idx="26">
                  <c:v>262.59249560439565</c:v>
                </c:pt>
                <c:pt idx="27">
                  <c:v>38.22874120879122</c:v>
                </c:pt>
                <c:pt idx="28">
                  <c:v>-224.36375439560442</c:v>
                </c:pt>
              </c:numCache>
            </c:numRef>
          </c:val>
          <c:extLst>
            <c:ext xmlns:c16="http://schemas.microsoft.com/office/drawing/2014/chart" uri="{C3380CC4-5D6E-409C-BE32-E72D297353CC}">
              <c16:uniqueId val="{00000002-F517-F84E-9175-F5804C24F41A}"/>
            </c:ext>
          </c:extLst>
        </c:ser>
        <c:dLbls>
          <c:showLegendKey val="0"/>
          <c:showVal val="0"/>
          <c:showCatName val="0"/>
          <c:showSerName val="0"/>
          <c:showPercent val="0"/>
          <c:showBubbleSize val="0"/>
        </c:dLbls>
        <c:gapWidth val="0"/>
        <c:overlap val="100"/>
        <c:axId val="578310880"/>
        <c:axId val="578119984"/>
      </c:barChart>
      <c:catAx>
        <c:axId val="5783108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78119984"/>
        <c:crosses val="autoZero"/>
        <c:auto val="1"/>
        <c:lblAlgn val="ctr"/>
        <c:lblOffset val="100"/>
        <c:noMultiLvlLbl val="0"/>
      </c:catAx>
      <c:valAx>
        <c:axId val="578119984"/>
        <c:scaling>
          <c:orientation val="minMax"/>
          <c:max val="600"/>
          <c:min val="-4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a:t>Productivity losses</a:t>
                </a: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78310880"/>
        <c:crosses val="autoZero"/>
        <c:crossBetween val="between"/>
      </c:valAx>
      <c:spPr>
        <a:noFill/>
        <a:ln>
          <a:noFill/>
        </a:ln>
        <a:effectLst/>
      </c:spPr>
    </c:plotArea>
    <c:legend>
      <c:legendPos val="b"/>
      <c:legendEntry>
        <c:idx val="2"/>
        <c:delete val="1"/>
      </c:legendEntry>
      <c:layout>
        <c:manualLayout>
          <c:xMode val="edge"/>
          <c:yMode val="edge"/>
          <c:x val="0.12916562822896904"/>
          <c:y val="0.53638033932025719"/>
          <c:w val="0.14896791541325494"/>
          <c:h val="0.12929129461255831"/>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'Model | Lifetime'!$S$7</c:f>
              <c:strCache>
                <c:ptCount val="1"/>
                <c:pt idx="0">
                  <c:v>0% Waning</c:v>
                </c:pt>
              </c:strCache>
            </c:strRef>
          </c:tx>
          <c:spPr>
            <a:ln w="25400" cap="rnd">
              <a:solidFill>
                <a:schemeClr val="tx1">
                  <a:lumMod val="65000"/>
                  <a:lumOff val="35000"/>
                </a:schemeClr>
              </a:solidFill>
              <a:round/>
            </a:ln>
            <a:effectLst/>
          </c:spPr>
          <c:marker>
            <c:symbol val="none"/>
          </c:marker>
          <c:xVal>
            <c:numRef>
              <c:f>'Model | Lifetime'!$B$8:$B$58</c:f>
              <c:numCache>
                <c:formatCode>General</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'Model | Lifetime'!$S$8:$S$58</c:f>
              <c:numCache>
                <c:formatCode>_("£"* #,##0_);_("£"* \(#,##0\);_("£"* "-"??_);_(@_)</c:formatCode>
                <c:ptCount val="51"/>
                <c:pt idx="0">
                  <c:v>16282.237321075947</c:v>
                </c:pt>
                <c:pt idx="1">
                  <c:v>13052.16317735178</c:v>
                </c:pt>
                <c:pt idx="2">
                  <c:v>12067.979186890292</c:v>
                </c:pt>
                <c:pt idx="3">
                  <c:v>11592.868865933351</c:v>
                </c:pt>
                <c:pt idx="4">
                  <c:v>11313.827863197374</c:v>
                </c:pt>
                <c:pt idx="5">
                  <c:v>11130.802468241303</c:v>
                </c:pt>
                <c:pt idx="6">
                  <c:v>11001.914044896355</c:v>
                </c:pt>
                <c:pt idx="7">
                  <c:v>10906.542830916656</c:v>
                </c:pt>
                <c:pt idx="8">
                  <c:v>10833.356988688058</c:v>
                </c:pt>
                <c:pt idx="9">
                  <c:v>10775.611956385208</c:v>
                </c:pt>
                <c:pt idx="10">
                  <c:v>10725.849436988377</c:v>
                </c:pt>
                <c:pt idx="11">
                  <c:v>10685.026665634457</c:v>
                </c:pt>
                <c:pt idx="12">
                  <c:v>10651.047730932543</c:v>
                </c:pt>
                <c:pt idx="13">
                  <c:v>10622.421748959436</c:v>
                </c:pt>
                <c:pt idx="14">
                  <c:v>10598.059120026555</c:v>
                </c:pt>
                <c:pt idx="15">
                  <c:v>10577.144936162211</c:v>
                </c:pt>
                <c:pt idx="16">
                  <c:v>10559.057479374902</c:v>
                </c:pt>
                <c:pt idx="17">
                  <c:v>10543.314123144011</c:v>
                </c:pt>
                <c:pt idx="18">
                  <c:v>10529.534458113658</c:v>
                </c:pt>
                <c:pt idx="19">
                  <c:v>10517.414566320935</c:v>
                </c:pt>
                <c:pt idx="20">
                  <c:v>10505.28044607409</c:v>
                </c:pt>
                <c:pt idx="21">
                  <c:v>10494.524089094706</c:v>
                </c:pt>
                <c:pt idx="22">
                  <c:v>10484.956707945261</c:v>
                </c:pt>
                <c:pt idx="23">
                  <c:v>10476.421206096815</c:v>
                </c:pt>
                <c:pt idx="24">
                  <c:v>10468.785804465979</c:v>
                </c:pt>
                <c:pt idx="25">
                  <c:v>10461.939150842145</c:v>
                </c:pt>
                <c:pt idx="26">
                  <c:v>10455.786524409454</c:v>
                </c:pt>
                <c:pt idx="27">
                  <c:v>10450.246859282977</c:v>
                </c:pt>
                <c:pt idx="28">
                  <c:v>10445.250387750866</c:v>
                </c:pt>
                <c:pt idx="29">
                  <c:v>10440.736757479188</c:v>
                </c:pt>
                <c:pt idx="30">
                  <c:v>10435.797678743187</c:v>
                </c:pt>
                <c:pt idx="31">
                  <c:v>10431.32451197461</c:v>
                </c:pt>
                <c:pt idx="32">
                  <c:v>10427.268531744719</c:v>
                </c:pt>
                <c:pt idx="33">
                  <c:v>10423.586899297487</c:v>
                </c:pt>
                <c:pt idx="34">
                  <c:v>10420.241822789127</c:v>
                </c:pt>
                <c:pt idx="35">
                  <c:v>10417.199857852824</c:v>
                </c:pt>
                <c:pt idx="36">
                  <c:v>10414.431321705075</c:v>
                </c:pt>
                <c:pt idx="37">
                  <c:v>10411.909799707882</c:v>
                </c:pt>
                <c:pt idx="38">
                  <c:v>10409.611727671039</c:v>
                </c:pt>
                <c:pt idx="39">
                  <c:v>10407.516036556068</c:v>
                </c:pt>
                <c:pt idx="40">
                  <c:v>10405.143161283197</c:v>
                </c:pt>
                <c:pt idx="41">
                  <c:v>10402.977153567186</c:v>
                </c:pt>
                <c:pt idx="42">
                  <c:v>10400.999055297341</c:v>
                </c:pt>
                <c:pt idx="43">
                  <c:v>10399.191794173525</c:v>
                </c:pt>
                <c:pt idx="44">
                  <c:v>10397.539972600762</c:v>
                </c:pt>
                <c:pt idx="45">
                  <c:v>10396.029683839075</c:v>
                </c:pt>
                <c:pt idx="46">
                  <c:v>10394.648351350525</c:v>
                </c:pt>
                <c:pt idx="47">
                  <c:v>10393.384587968847</c:v>
                </c:pt>
                <c:pt idx="48">
                  <c:v>10392.228072073265</c:v>
                </c:pt>
                <c:pt idx="49">
                  <c:v>10391.169438402623</c:v>
                </c:pt>
                <c:pt idx="50">
                  <c:v>10390.137196551408</c:v>
                </c:pt>
              </c:numCache>
            </c:numRef>
          </c:yVal>
          <c:smooth val="1"/>
          <c:extLst>
            <c:ext xmlns:c16="http://schemas.microsoft.com/office/drawing/2014/chart" uri="{C3380CC4-5D6E-409C-BE32-E72D297353CC}">
              <c16:uniqueId val="{00000000-0364-594D-AF42-638D34D3B71E}"/>
            </c:ext>
          </c:extLst>
        </c:ser>
        <c:ser>
          <c:idx val="1"/>
          <c:order val="1"/>
          <c:tx>
            <c:v>5% Waning</c:v>
          </c:tx>
          <c:spPr>
            <a:ln w="19050" cap="rnd">
              <a:solidFill>
                <a:schemeClr val="tx1">
                  <a:lumMod val="65000"/>
                  <a:lumOff val="35000"/>
                </a:schemeClr>
              </a:solidFill>
              <a:prstDash val="sysDot"/>
              <a:round/>
            </a:ln>
            <a:effectLst/>
          </c:spPr>
          <c:marker>
            <c:symbol val="none"/>
          </c:marker>
          <c:xVal>
            <c:numRef>
              <c:f>'Model | Lifetime'!$B$8:$B$58</c:f>
              <c:numCache>
                <c:formatCode>General</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'Model | Lifetime'!$T$8:$T$58</c:f>
              <c:numCache>
                <c:formatCode>_("£"* #,##0_);_("£"* \(#,##0\);_("£"* "-"??_);_(@_)</c:formatCode>
                <c:ptCount val="51"/>
                <c:pt idx="0">
                  <c:v>16282.237321075947</c:v>
                </c:pt>
                <c:pt idx="1">
                  <c:v>13395.098587393561</c:v>
                </c:pt>
                <c:pt idx="2">
                  <c:v>12684.294349406491</c:v>
                </c:pt>
                <c:pt idx="3">
                  <c:v>12464.429711428222</c:v>
                </c:pt>
                <c:pt idx="4">
                  <c:v>12430.632494421987</c:v>
                </c:pt>
                <c:pt idx="5">
                  <c:v>12485.067691941867</c:v>
                </c:pt>
                <c:pt idx="6">
                  <c:v>12586.546951238635</c:v>
                </c:pt>
                <c:pt idx="7">
                  <c:v>12714.621448971804</c:v>
                </c:pt>
                <c:pt idx="8">
                  <c:v>12857.93196266514</c:v>
                </c:pt>
                <c:pt idx="9">
                  <c:v>13009.632859490992</c:v>
                </c:pt>
                <c:pt idx="10">
                  <c:v>13162.460571871687</c:v>
                </c:pt>
                <c:pt idx="11">
                  <c:v>13316.853752122137</c:v>
                </c:pt>
                <c:pt idx="12">
                  <c:v>13470.655152323623</c:v>
                </c:pt>
                <c:pt idx="13">
                  <c:v>13622.332774792196</c:v>
                </c:pt>
                <c:pt idx="14">
                  <c:v>13770.782252828481</c:v>
                </c:pt>
                <c:pt idx="15">
                  <c:v>13915.202982358611</c:v>
                </c:pt>
                <c:pt idx="16">
                  <c:v>14055.017270686607</c:v>
                </c:pt>
                <c:pt idx="17">
                  <c:v>14189.815572237489</c:v>
                </c:pt>
                <c:pt idx="18">
                  <c:v>14319.318094250324</c:v>
                </c:pt>
                <c:pt idx="19">
                  <c:v>14443.346996503444</c:v>
                </c:pt>
                <c:pt idx="20">
                  <c:v>14560.822078833908</c:v>
                </c:pt>
                <c:pt idx="21">
                  <c:v>14672.821689769025</c:v>
                </c:pt>
                <c:pt idx="22">
                  <c:v>14779.349515643595</c:v>
                </c:pt>
                <c:pt idx="23">
                  <c:v>14880.454850427923</c:v>
                </c:pt>
                <c:pt idx="24">
                  <c:v>14976.223794351694</c:v>
                </c:pt>
                <c:pt idx="25">
                  <c:v>15066.771978031229</c:v>
                </c:pt>
                <c:pt idx="26">
                  <c:v>15152.238475844653</c:v>
                </c:pt>
                <c:pt idx="27">
                  <c:v>15232.7806693691</c:v>
                </c:pt>
                <c:pt idx="28">
                  <c:v>15308.569886946447</c:v>
                </c:pt>
                <c:pt idx="29">
                  <c:v>15379.787689828072</c:v>
                </c:pt>
                <c:pt idx="30">
                  <c:v>15446.220296972642</c:v>
                </c:pt>
                <c:pt idx="31">
                  <c:v>15508.513035751295</c:v>
                </c:pt>
                <c:pt idx="32">
                  <c:v>15566.854708987192</c:v>
                </c:pt>
                <c:pt idx="33">
                  <c:v>15621.435079057177</c:v>
                </c:pt>
                <c:pt idx="34">
                  <c:v>15672.44313388294</c:v>
                </c:pt>
                <c:pt idx="35">
                  <c:v>15720.065644036596</c:v>
                </c:pt>
                <c:pt idx="36">
                  <c:v>15764.485974769133</c:v>
                </c:pt>
                <c:pt idx="37">
                  <c:v>15805.883121216959</c:v>
                </c:pt>
                <c:pt idx="38">
                  <c:v>15844.430938687872</c:v>
                </c:pt>
                <c:pt idx="39">
                  <c:v>15880.297543001781</c:v>
                </c:pt>
                <c:pt idx="40">
                  <c:v>15913.506383662248</c:v>
                </c:pt>
                <c:pt idx="41">
                  <c:v>15944.368694952254</c:v>
                </c:pt>
                <c:pt idx="42">
                  <c:v>15973.030984461857</c:v>
                </c:pt>
                <c:pt idx="43">
                  <c:v>15999.633179747783</c:v>
                </c:pt>
                <c:pt idx="44">
                  <c:v>16024.308552846273</c:v>
                </c:pt>
                <c:pt idx="45">
                  <c:v>16047.183715793091</c:v>
                </c:pt>
                <c:pt idx="46">
                  <c:v>16068.378675294982</c:v>
                </c:pt>
                <c:pt idx="47">
                  <c:v>16088.006936105779</c:v>
                </c:pt>
                <c:pt idx="48">
                  <c:v>16106.175643939374</c:v>
                </c:pt>
                <c:pt idx="49">
                  <c:v>16122.985759910072</c:v>
                </c:pt>
                <c:pt idx="50">
                  <c:v>16138.520567243499</c:v>
                </c:pt>
              </c:numCache>
            </c:numRef>
          </c:yVal>
          <c:smooth val="1"/>
          <c:extLst>
            <c:ext xmlns:c16="http://schemas.microsoft.com/office/drawing/2014/chart" uri="{C3380CC4-5D6E-409C-BE32-E72D297353CC}">
              <c16:uniqueId val="{00000000-5D5C-454E-97DD-40CF27DCD9DF}"/>
            </c:ext>
          </c:extLst>
        </c:ser>
        <c:ser>
          <c:idx val="2"/>
          <c:order val="2"/>
          <c:tx>
            <c:v>10% Waning</c:v>
          </c:tx>
          <c:spPr>
            <a:ln w="19050" cap="rnd">
              <a:solidFill>
                <a:schemeClr val="tx1">
                  <a:lumMod val="65000"/>
                  <a:lumOff val="35000"/>
                </a:schemeClr>
              </a:solidFill>
              <a:prstDash val="sysDash"/>
              <a:round/>
            </a:ln>
            <a:effectLst/>
          </c:spPr>
          <c:marker>
            <c:symbol val="none"/>
          </c:marker>
          <c:xVal>
            <c:numRef>
              <c:f>'Model | Lifetime'!$B$8:$B$58</c:f>
              <c:numCache>
                <c:formatCode>General</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'Model | Lifetime'!$U$8:$U$58</c:f>
              <c:numCache>
                <c:formatCode>_("£"* #,##0_);_("£"* \(#,##0\);_("£"* "-"??_);_(@_)</c:formatCode>
                <c:ptCount val="51"/>
                <c:pt idx="0">
                  <c:v>16282.237321075947</c:v>
                </c:pt>
                <c:pt idx="1">
                  <c:v>13756.540974824324</c:v>
                </c:pt>
                <c:pt idx="2">
                  <c:v>13343.32171060751</c:v>
                </c:pt>
                <c:pt idx="3">
                  <c:v>13408.031139614848</c:v>
                </c:pt>
                <c:pt idx="4">
                  <c:v>13652.806219711427</c:v>
                </c:pt>
                <c:pt idx="5">
                  <c:v>13980.846987961837</c:v>
                </c:pt>
                <c:pt idx="6">
                  <c:v>14350.51157272101</c:v>
                </c:pt>
                <c:pt idx="7">
                  <c:v>14740.459153120702</c:v>
                </c:pt>
                <c:pt idx="8">
                  <c:v>15138.34461030372</c:v>
                </c:pt>
                <c:pt idx="9">
                  <c:v>15536.381803384973</c:v>
                </c:pt>
                <c:pt idx="10">
                  <c:v>15926.89983451077</c:v>
                </c:pt>
                <c:pt idx="11">
                  <c:v>16309.149596544501</c:v>
                </c:pt>
                <c:pt idx="12">
                  <c:v>16680.451178100302</c:v>
                </c:pt>
                <c:pt idx="13">
                  <c:v>17038.894956807468</c:v>
                </c:pt>
                <c:pt idx="14">
                  <c:v>17383.140976372004</c:v>
                </c:pt>
                <c:pt idx="15">
                  <c:v>17712.28669581233</c:v>
                </c:pt>
                <c:pt idx="16">
                  <c:v>18025.774338625411</c:v>
                </c:pt>
                <c:pt idx="17">
                  <c:v>18323.322294358681</c:v>
                </c:pt>
                <c:pt idx="18">
                  <c:v>18604.871883351843</c:v>
                </c:pt>
                <c:pt idx="19">
                  <c:v>18870.544488092437</c:v>
                </c:pt>
                <c:pt idx="20">
                  <c:v>19120.030962479996</c:v>
                </c:pt>
                <c:pt idx="21">
                  <c:v>19354.377849090124</c:v>
                </c:pt>
                <c:pt idx="22">
                  <c:v>19574.040662435327</c:v>
                </c:pt>
                <c:pt idx="23">
                  <c:v>19779.545192189566</c:v>
                </c:pt>
                <c:pt idx="24">
                  <c:v>19971.468625913098</c:v>
                </c:pt>
                <c:pt idx="25">
                  <c:v>20150.423556079815</c:v>
                </c:pt>
                <c:pt idx="26">
                  <c:v>20317.044516366503</c:v>
                </c:pt>
                <c:pt idx="27">
                  <c:v>20471.976745712538</c:v>
                </c:pt>
                <c:pt idx="28">
                  <c:v>20615.866914095557</c:v>
                </c:pt>
                <c:pt idx="29">
                  <c:v>20749.355569831747</c:v>
                </c:pt>
                <c:pt idx="30">
                  <c:v>20872.925962132293</c:v>
                </c:pt>
                <c:pt idx="31">
                  <c:v>20987.358589572126</c:v>
                </c:pt>
                <c:pt idx="32">
                  <c:v>21093.240424400319</c:v>
                </c:pt>
                <c:pt idx="33">
                  <c:v>21191.135857476562</c:v>
                </c:pt>
                <c:pt idx="34">
                  <c:v>21281.584726038709</c:v>
                </c:pt>
                <c:pt idx="35">
                  <c:v>21365.101031371796</c:v>
                </c:pt>
                <c:pt idx="36">
                  <c:v>21442.172226827133</c:v>
                </c:pt>
                <c:pt idx="37">
                  <c:v>21513.258971676845</c:v>
                </c:pt>
                <c:pt idx="38">
                  <c:v>21578.795260199</c:v>
                </c:pt>
                <c:pt idx="39">
                  <c:v>21639.188848103739</c:v>
                </c:pt>
                <c:pt idx="40">
                  <c:v>21694.792309123994</c:v>
                </c:pt>
                <c:pt idx="41">
                  <c:v>21745.997693829318</c:v>
                </c:pt>
                <c:pt idx="42">
                  <c:v>21793.137787633983</c:v>
                </c:pt>
                <c:pt idx="43">
                  <c:v>21836.522778888037</c:v>
                </c:pt>
                <c:pt idx="44">
                  <c:v>21876.441340392765</c:v>
                </c:pt>
                <c:pt idx="45">
                  <c:v>21913.161745346857</c:v>
                </c:pt>
                <c:pt idx="46">
                  <c:v>21946.93299609231</c:v>
                </c:pt>
                <c:pt idx="47">
                  <c:v>21977.98594847829</c:v>
                </c:pt>
                <c:pt idx="48">
                  <c:v>22006.534418412622</c:v>
                </c:pt>
                <c:pt idx="49">
                  <c:v>22032.776260311191</c:v>
                </c:pt>
                <c:pt idx="50">
                  <c:v>22056.892946894641</c:v>
                </c:pt>
              </c:numCache>
            </c:numRef>
          </c:yVal>
          <c:smooth val="1"/>
          <c:extLst>
            <c:ext xmlns:c16="http://schemas.microsoft.com/office/drawing/2014/chart" uri="{C3380CC4-5D6E-409C-BE32-E72D297353CC}">
              <c16:uniqueId val="{00000001-5D5C-454E-97DD-40CF27DCD9DF}"/>
            </c:ext>
          </c:extLst>
        </c:ser>
        <c:ser>
          <c:idx val="3"/>
          <c:order val="3"/>
          <c:tx>
            <c:v>10% Waning with challenge</c:v>
          </c:tx>
          <c:spPr>
            <a:ln w="28575" cap="rnd">
              <a:solidFill>
                <a:schemeClr val="bg2">
                  <a:lumMod val="90000"/>
                </a:schemeClr>
              </a:solidFill>
              <a:prstDash val="solid"/>
              <a:round/>
            </a:ln>
            <a:effectLst/>
          </c:spPr>
          <c:marker>
            <c:symbol val="none"/>
          </c:marker>
          <c:xVal>
            <c:numRef>
              <c:f>'Model | Lifetime'!$B$8:$B$58</c:f>
              <c:numCache>
                <c:formatCode>General</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xVal>
          <c:yVal>
            <c:numRef>
              <c:f>'Model | Lifetime'!$V$8:$V$58</c:f>
              <c:numCache>
                <c:formatCode>_("£"* #,##0_);_("£"* \(#,##0\);_("£"* "-"??_);_(@_)</c:formatCode>
                <c:ptCount val="51"/>
                <c:pt idx="0">
                  <c:v>16282.237321075947</c:v>
                </c:pt>
                <c:pt idx="1">
                  <c:v>14224.8471179441</c:v>
                </c:pt>
                <c:pt idx="2">
                  <c:v>13567.188390050947</c:v>
                </c:pt>
                <c:pt idx="3">
                  <c:v>13245.73904482849</c:v>
                </c:pt>
                <c:pt idx="4">
                  <c:v>13056.641009790485</c:v>
                </c:pt>
                <c:pt idx="5">
                  <c:v>12933.111053683286</c:v>
                </c:pt>
                <c:pt idx="6">
                  <c:v>12846.804822915916</c:v>
                </c:pt>
                <c:pt idx="7">
                  <c:v>12783.637271415091</c:v>
                </c:pt>
                <c:pt idx="8">
                  <c:v>12735.815628248747</c:v>
                </c:pt>
                <c:pt idx="9">
                  <c:v>12698.677363081735</c:v>
                </c:pt>
                <c:pt idx="10">
                  <c:v>12666.570597986165</c:v>
                </c:pt>
                <c:pt idx="11">
                  <c:v>12640.749721575936</c:v>
                </c:pt>
                <c:pt idx="12">
                  <c:v>12619.720717600136</c:v>
                </c:pt>
                <c:pt idx="13">
                  <c:v>12602.417823288957</c:v>
                </c:pt>
                <c:pt idx="14">
                  <c:v>12588.060320931341</c:v>
                </c:pt>
                <c:pt idx="15">
                  <c:v>12576.063286531866</c:v>
                </c:pt>
                <c:pt idx="16">
                  <c:v>12565.979970768129</c:v>
                </c:pt>
                <c:pt idx="17">
                  <c:v>12557.463453966195</c:v>
                </c:pt>
                <c:pt idx="18">
                  <c:v>12550.240442642584</c:v>
                </c:pt>
                <c:pt idx="19">
                  <c:v>12544.092940030867</c:v>
                </c:pt>
                <c:pt idx="20">
                  <c:v>12538.03925420037</c:v>
                </c:pt>
                <c:pt idx="21">
                  <c:v>12532.858986923566</c:v>
                </c:pt>
                <c:pt idx="22">
                  <c:v>12528.416369208124</c:v>
                </c:pt>
                <c:pt idx="23">
                  <c:v>12524.59917581077</c:v>
                </c:pt>
                <c:pt idx="24">
                  <c:v>12521.314046152995</c:v>
                </c:pt>
                <c:pt idx="25">
                  <c:v>12518.482876319351</c:v>
                </c:pt>
                <c:pt idx="26">
                  <c:v>12516.040004245078</c:v>
                </c:pt>
                <c:pt idx="27">
                  <c:v>12513.929990054388</c:v>
                </c:pt>
                <c:pt idx="28">
                  <c:v>12512.105848429763</c:v>
                </c:pt>
                <c:pt idx="29">
                  <c:v>12510.527628229569</c:v>
                </c:pt>
                <c:pt idx="30">
                  <c:v>12508.858853605607</c:v>
                </c:pt>
                <c:pt idx="31">
                  <c:v>12507.413316431823</c:v>
                </c:pt>
                <c:pt idx="32">
                  <c:v>12506.160517529292</c:v>
                </c:pt>
                <c:pt idx="33">
                  <c:v>12505.074280567183</c:v>
                </c:pt>
                <c:pt idx="34">
                  <c:v>12504.132101419209</c:v>
                </c:pt>
                <c:pt idx="35">
                  <c:v>12503.31460450833</c:v>
                </c:pt>
                <c:pt idx="36">
                  <c:v>12502.60508645447</c:v>
                </c:pt>
                <c:pt idx="37">
                  <c:v>12501.989131423516</c:v>
                </c:pt>
                <c:pt idx="38">
                  <c:v>12501.454285714988</c:v>
                </c:pt>
                <c:pt idx="39">
                  <c:v>12500.98978155917</c:v>
                </c:pt>
                <c:pt idx="40">
                  <c:v>12500.488032406574</c:v>
                </c:pt>
                <c:pt idx="41">
                  <c:v>12500.052145577114</c:v>
                </c:pt>
                <c:pt idx="42">
                  <c:v>12499.673428275544</c:v>
                </c:pt>
                <c:pt idx="43">
                  <c:v>12499.344346582042</c:v>
                </c:pt>
                <c:pt idx="44">
                  <c:v>12499.058368140266</c:v>
                </c:pt>
                <c:pt idx="45">
                  <c:v>12498.809826882303</c:v>
                </c:pt>
                <c:pt idx="46">
                  <c:v>12498.593806540053</c:v>
                </c:pt>
                <c:pt idx="47">
                  <c:v>12498.40604021032</c:v>
                </c:pt>
                <c:pt idx="48">
                  <c:v>12498.242823667488</c:v>
                </c:pt>
                <c:pt idx="49">
                  <c:v>12498.100940471104</c:v>
                </c:pt>
                <c:pt idx="50">
                  <c:v>12497.969638368531</c:v>
                </c:pt>
              </c:numCache>
            </c:numRef>
          </c:yVal>
          <c:smooth val="1"/>
          <c:extLst>
            <c:ext xmlns:c16="http://schemas.microsoft.com/office/drawing/2014/chart" uri="{C3380CC4-5D6E-409C-BE32-E72D297353CC}">
              <c16:uniqueId val="{00000002-5D5C-454E-97DD-40CF27DCD9DF}"/>
            </c:ext>
          </c:extLst>
        </c:ser>
        <c:dLbls>
          <c:showLegendKey val="0"/>
          <c:showVal val="0"/>
          <c:showCatName val="0"/>
          <c:showSerName val="0"/>
          <c:showPercent val="0"/>
          <c:showBubbleSize val="0"/>
        </c:dLbls>
        <c:axId val="1900266239"/>
        <c:axId val="1900269327"/>
      </c:scatterChart>
      <c:valAx>
        <c:axId val="1900266239"/>
        <c:scaling>
          <c:orientation val="minMax"/>
          <c:max val="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a:t>Years</a:t>
                </a:r>
                <a:r>
                  <a:rPr lang="en-GB" sz="1800" baseline="0"/>
                  <a:t> of treatment</a:t>
                </a:r>
                <a:endParaRPr lang="en-GB" sz="1800"/>
              </a:p>
            </c:rich>
          </c:tx>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00269327"/>
        <c:crosses val="autoZero"/>
        <c:crossBetween val="midCat"/>
        <c:majorUnit val="10"/>
      </c:valAx>
      <c:valAx>
        <c:axId val="1900269327"/>
        <c:scaling>
          <c:orientation val="minMax"/>
          <c:max val="4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GB" sz="1800"/>
                  <a:t>Incremental</a:t>
                </a:r>
                <a:r>
                  <a:rPr lang="en-GB" sz="1800" baseline="0"/>
                  <a:t> cost per QALY ratio</a:t>
                </a:r>
                <a:endParaRPr lang="en-GB" sz="1800"/>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00266239"/>
        <c:crosses val="autoZero"/>
        <c:crossBetween val="midCat"/>
        <c:majorUnit val="10000"/>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11.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12.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3.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9.xml.rels><?xml version="1.0" encoding="UTF-8" standalone="yes"?>
<Relationships xmlns="http://schemas.openxmlformats.org/package/2006/relationships"><Relationship Id="rId1" Type="http://schemas.openxmlformats.org/officeDocument/2006/relationships/drawing" Target="../drawings/drawing16.xml"/></Relationships>
</file>

<file path=xl/chartsheets/_rels/sheet10.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18C8290-6BF1-F64C-8305-15242DB43D30}">
  <sheetPr codeName="Chart15"/>
  <sheetViews>
    <sheetView workbookViewId="0"/>
  </sheetViews>
  <pageMargins left="0.7" right="0.7" top="0.75" bottom="0.75" header="0.3" footer="0.3"/>
  <pageSetup paperSize="9" orientation="landscape"/>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44DCC75-32B0-7A48-9D63-D3A2B8DA7393}">
  <sheetPr codeName="Chart16"/>
  <sheetViews>
    <sheetView workbookViewId="0"/>
  </sheetViews>
  <pageMargins left="0.7" right="0.7" top="0.75" bottom="0.75" header="0.3" footer="0.3"/>
  <pageSetup paperSize="9" orientation="landscape"/>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B991B9F-2CB9-D948-8EC8-2080F60964B0}">
  <sheetPr codeName="Chart10"/>
  <sheetViews>
    <sheetView workbookViewId="0"/>
  </sheetViews>
  <pageMargins left="0.7" right="0.7" top="0.75" bottom="0.75" header="0.3" footer="0.3"/>
  <pageSetup paperSize="9" orientation="landscape"/>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31F0D3B-D6B5-8140-A99D-24C72FE3D9CB}">
  <sheetPr codeName="Chart12"/>
  <sheetViews>
    <sheetView workbookViewId="0"/>
  </sheetViews>
  <pageMargins left="0.7" right="0.7" top="0.75" bottom="0.75" header="0.3" footer="0.3"/>
  <pageSetup paperSize="9" orientation="landscape"/>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987A81A-A8BC-CA44-B266-00EFFE894C21}">
  <sheetPr codeName="Chart13"/>
  <sheetViews>
    <sheetView workbookViewId="0"/>
  </sheetViews>
  <pageMargins left="0.7" right="0.7" top="0.75" bottom="0.75" header="0.3" footer="0.3"/>
  <pageSetup paperSize="9" orientation="landscape"/>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D1C99-9E47-B044-BEB2-E4C0BBEDAFC0}">
  <sheetPr codeName="Chart14"/>
  <sheetViews>
    <sheetView workbookViewId="0"/>
  </sheetViews>
  <pageMargins left="0.7" right="0.7" top="0.75" bottom="0.75" header="0.3" footer="0.3"/>
  <pageSetup paperSize="9" orientation="landscape"/>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CF8D9F1-2E6F-7544-9022-33AEA57679EF}">
  <sheetPr codeName="Chart11"/>
  <sheetViews>
    <sheetView workbookViewId="0"/>
  </sheetViews>
  <pageMargins left="0.7" right="0.7" top="0.75" bottom="0.75" header="0.3" footer="0.3"/>
  <pageSetup paperSize="9" orientation="landscape"/>
  <drawing r:id="rId1"/>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5FD5258-9659-5B4C-9E54-F9AC5D8B320A}">
  <sheetPr codeName="Chart17"/>
  <sheetViews>
    <sheetView workbookViewId="0"/>
  </sheetViews>
  <pageMargins left="0.7" right="0.7" top="0.75" bottom="0.75" header="0.3" footer="0.3"/>
  <pageSetup paperSize="9" orientation="landscape"/>
  <drawing r:id="rId1"/>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361F040-2D1F-974F-9846-24684F81B8C9}">
  <sheetPr/>
  <sheetViews>
    <sheetView zoomScale="118" workbookViewId="0" zoomToFit="1"/>
  </sheetViews>
  <pageMargins left="0.7" right="0.7" top="0.75" bottom="0.75" header="0.3" footer="0.3"/>
  <drawing r:id="rId1"/>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DD16CC0-C25E-F24D-8D47-15EA9A076E37}">
  <sheetPr codeName="Chart18"/>
  <sheetViews>
    <sheetView zoomScale="118" workbookViewId="0" zoomToFit="1"/>
  </sheetViews>
  <pageMargins left="0.7" right="0.7" top="0.75" bottom="0.75" header="0.3" footer="0.3"/>
  <pageSetup paperSize="9" orientation="landscape"/>
  <drawing r:id="rId1"/>
</chartsheet>
</file>

<file path=xl/ctrlProps/ctrlProp1.xml><?xml version="1.0" encoding="utf-8"?>
<formControlPr xmlns="http://schemas.microsoft.com/office/spreadsheetml/2009/9/main" objectType="Radio" checked="Checked" firstButton="1" fmlaLink="$I$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firstButton="1" fmlaLink="$C$1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J$5"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2</xdr:col>
      <xdr:colOff>36909</xdr:colOff>
      <xdr:row>0</xdr:row>
      <xdr:rowOff>0</xdr:rowOff>
    </xdr:from>
    <xdr:to>
      <xdr:col>5</xdr:col>
      <xdr:colOff>47763</xdr:colOff>
      <xdr:row>7</xdr:row>
      <xdr:rowOff>19190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1351359" y="0"/>
          <a:ext cx="2360354" cy="141936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0</xdr:row>
      <xdr:rowOff>0</xdr:rowOff>
    </xdr:from>
    <xdr:to>
      <xdr:col>2</xdr:col>
      <xdr:colOff>381000</xdr:colOff>
      <xdr:row>5</xdr:row>
      <xdr:rowOff>105103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0"/>
          <a:ext cx="1552575" cy="1121103"/>
        </a:xfrm>
        <a:prstGeom prst="rect">
          <a:avLst/>
        </a:prstGeom>
        <a:effectLst>
          <a:outerShdw blurRad="50800" dist="38100" dir="2700000" algn="tl" rotWithShape="0">
            <a:prstClr val="black">
              <a:alpha val="40000"/>
            </a:prstClr>
          </a:outerShdw>
        </a:effectLst>
      </xdr:spPr>
    </xdr:pic>
    <xdr:clientData/>
  </xdr:twoCellAnchor>
  <xdr:twoCellAnchor>
    <xdr:from>
      <xdr:col>2</xdr:col>
      <xdr:colOff>123825</xdr:colOff>
      <xdr:row>5</xdr:row>
      <xdr:rowOff>95250</xdr:rowOff>
    </xdr:from>
    <xdr:to>
      <xdr:col>15</xdr:col>
      <xdr:colOff>446639</xdr:colOff>
      <xdr:row>55</xdr:row>
      <xdr:rowOff>135006</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5425" y="1095375"/>
          <a:ext cx="9238214" cy="100410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Ubuntu Light" panose="020B0304030602030204" pitchFamily="34" charset="0"/>
            </a:rPr>
            <a:t>Background </a:t>
          </a:r>
        </a:p>
        <a:p>
          <a:endParaRPr lang="en-US" sz="1100">
            <a:latin typeface="Ubuntu Light" panose="020B0304030602030204" pitchFamily="34" charset="0"/>
          </a:endParaRPr>
        </a:p>
        <a:p>
          <a:r>
            <a:rPr lang="en-GB" sz="1100" b="0" i="0">
              <a:solidFill>
                <a:srgbClr val="FF0000"/>
              </a:solidFill>
              <a:effectLst/>
              <a:latin typeface="Ubuntu Light" panose="020B0304030602030204" pitchFamily="34" charset="0"/>
              <a:ea typeface="+mn-ea"/>
              <a:cs typeface="+mn-cs"/>
            </a:rPr>
            <a:t>Quviviq received a marketing authorisation valid throughout the EU on 29 April 2022.[1] </a:t>
          </a:r>
          <a:r>
            <a:rPr lang="en-GB" sz="1100" b="0" i="0">
              <a:solidFill>
                <a:schemeClr val="dk1"/>
              </a:solidFill>
              <a:effectLst/>
              <a:latin typeface="Ubuntu Light" panose="020B0304030602030204" pitchFamily="34" charset="0"/>
              <a:ea typeface="+mn-ea"/>
              <a:cs typeface="+mn-cs"/>
            </a:rPr>
            <a:t>In Europe, QUVIVIQ is indicated for the treatment of adult patients with insomnia with symptoms present for at least 3 months with considerable impact on daytime functioning.</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QUVIVIQ is a dual orexin receptor antagonist, which blocks the binding of the wake-promoting neuropeptides orexins and is thought to turn down overactive wakefulness, as opposed to treatments that generally sedate the brain.</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During the Phase 3 clinical program, QUVIVIQ demonstrated significant improvement versus placebo on objective measures of sleep onset and sleep maintenance, and patient reported total sleep time. The 50 mg dose of QUVIVIQ, which was evaluated in one of the two pivotal studies, demonstrated a significant reduction in patient reported daytime sleepiness, using a validated instrument. The most common adverse reactions (in at least 5% of patients and greater than placebo) were headache (placebo: 5%, 25 mg: 6%, 50 mg: 7%,) and somnolence or fatigue (placebo: 4%, 25 mg: 6%, 50 mg: 5%).</a:t>
          </a:r>
        </a:p>
        <a:p>
          <a:endParaRPr lang="en-GB" sz="1100" b="0" i="0">
            <a:solidFill>
              <a:schemeClr val="dk1"/>
            </a:solidFill>
            <a:effectLst/>
            <a:latin typeface="Ubuntu Light" panose="020B0304030602030204" pitchFamily="34" charset="0"/>
            <a:ea typeface="+mn-ea"/>
            <a:cs typeface="+mn-cs"/>
          </a:endParaRPr>
        </a:p>
        <a:p>
          <a:r>
            <a:rPr lang="en-GB" sz="1100" b="1" i="0">
              <a:solidFill>
                <a:schemeClr val="dk1"/>
              </a:solidFill>
              <a:effectLst/>
              <a:latin typeface="Ubuntu Light" panose="020B0304030602030204" pitchFamily="34" charset="0"/>
              <a:ea typeface="+mn-ea"/>
              <a:cs typeface="+mn-cs"/>
            </a:rPr>
            <a:t>Phase 3 Clinical Program</a:t>
          </a:r>
          <a:br>
            <a:rPr lang="en-GB" sz="1100" b="0" i="0">
              <a:solidFill>
                <a:schemeClr val="dk1"/>
              </a:solidFill>
              <a:effectLst/>
              <a:latin typeface="Ubuntu Light" panose="020B0304030602030204" pitchFamily="34" charset="0"/>
              <a:ea typeface="+mn-ea"/>
              <a:cs typeface="+mn-cs"/>
            </a:rPr>
          </a:br>
          <a:r>
            <a:rPr lang="en-GB" sz="1100" b="0" i="0">
              <a:solidFill>
                <a:schemeClr val="dk1"/>
              </a:solidFill>
              <a:effectLst/>
              <a:latin typeface="Ubuntu Light" panose="020B0304030602030204" pitchFamily="34" charset="0"/>
              <a:ea typeface="+mn-ea"/>
              <a:cs typeface="+mn-cs"/>
            </a:rPr>
            <a:t>The efficacy of QUVIVIQ was evaluated in two multicenter, randomized, double-blind, placebo-controlled, parallel-group studies, Study 1 (</a:t>
          </a:r>
          <a:r>
            <a:rPr lang="en-GB" sz="1100" b="1" i="0" u="none" strike="noStrike">
              <a:solidFill>
                <a:schemeClr val="dk1"/>
              </a:solidFill>
              <a:effectLst/>
              <a:latin typeface="Ubuntu Light" panose="020B0304030602030204" pitchFamily="34" charset="0"/>
              <a:ea typeface="+mn-ea"/>
              <a:cs typeface="+mn-cs"/>
              <a:hlinkClick xmlns:r="http://schemas.openxmlformats.org/officeDocument/2006/relationships" r:id=""/>
            </a:rPr>
            <a:t>NCT03545191</a:t>
          </a:r>
          <a:r>
            <a:rPr lang="en-GB" sz="1100" b="0" i="0">
              <a:solidFill>
                <a:schemeClr val="dk1"/>
              </a:solidFill>
              <a:effectLst/>
              <a:latin typeface="Ubuntu Light" panose="020B0304030602030204" pitchFamily="34" charset="0"/>
              <a:ea typeface="+mn-ea"/>
              <a:cs typeface="+mn-cs"/>
            </a:rPr>
            <a:t>) and Study 2 (</a:t>
          </a:r>
          <a:r>
            <a:rPr lang="en-GB" sz="1100" b="1" i="0" u="none" strike="noStrike">
              <a:solidFill>
                <a:schemeClr val="dk1"/>
              </a:solidFill>
              <a:effectLst/>
              <a:latin typeface="Ubuntu Light" panose="020B0304030602030204" pitchFamily="34" charset="0"/>
              <a:ea typeface="+mn-ea"/>
              <a:cs typeface="+mn-cs"/>
              <a:hlinkClick xmlns:r="http://schemas.openxmlformats.org/officeDocument/2006/relationships" r:id=""/>
            </a:rPr>
            <a:t>NCT03575104</a:t>
          </a:r>
          <a:r>
            <a:rPr lang="en-GB" sz="1100" b="0" i="0">
              <a:solidFill>
                <a:schemeClr val="dk1"/>
              </a:solidFill>
              <a:effectLst/>
              <a:latin typeface="Ubuntu Light" panose="020B0304030602030204" pitchFamily="34" charset="0"/>
              <a:ea typeface="+mn-ea"/>
              <a:cs typeface="+mn-cs"/>
            </a:rPr>
            <a:t>).</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A total of 1854 patients with Diagnostic and Statistical Manual of Mental Disorders, 5th edition (DSM-5</a:t>
          </a:r>
          <a:r>
            <a:rPr lang="en-GB" sz="1100" b="0" i="0" baseline="30000">
              <a:solidFill>
                <a:schemeClr val="dk1"/>
              </a:solidFill>
              <a:effectLst/>
              <a:latin typeface="Ubuntu Light" panose="020B0304030602030204" pitchFamily="34" charset="0"/>
              <a:ea typeface="+mn-ea"/>
              <a:cs typeface="+mn-cs"/>
            </a:rPr>
            <a:t>®</a:t>
          </a:r>
          <a:r>
            <a:rPr lang="en-GB" sz="1100" b="0" i="0">
              <a:solidFill>
                <a:schemeClr val="dk1"/>
              </a:solidFill>
              <a:effectLst/>
              <a:latin typeface="Ubuntu Light" panose="020B0304030602030204" pitchFamily="34" charset="0"/>
              <a:ea typeface="+mn-ea"/>
              <a:cs typeface="+mn-cs"/>
            </a:rPr>
            <a:t>) insomnia were randomized to receive QUVIVIQ or placebo once daily, in the evening, for 3 months. Study 1 randomized 930 subjects to QUVIVIQ 50 mg (N = 310), 25 mg (N = 310) or placebo (N = 310). Study 2 randomized 924 subjects to QUVIVIQ 25 mg (N = 309), 10 mg (N = 307), or placebo (N = 308). The 10 mg dose is not an approved dose.</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At the end of the 3-month treatment period, both studies included a 7-day placebo run-out period, after which patients could enter a 9-month, double-blind, placebo-controlled extension study (Study 3, </a:t>
          </a:r>
          <a:r>
            <a:rPr lang="en-GB" sz="1100" b="1" i="0" u="none" strike="noStrike">
              <a:solidFill>
                <a:schemeClr val="dk1"/>
              </a:solidFill>
              <a:effectLst/>
              <a:latin typeface="Ubuntu Light" panose="020B0304030602030204" pitchFamily="34" charset="0"/>
              <a:ea typeface="+mn-ea"/>
              <a:cs typeface="+mn-cs"/>
              <a:hlinkClick xmlns:r="http://schemas.openxmlformats.org/officeDocument/2006/relationships" r:id=""/>
            </a:rPr>
            <a:t>NCT03679884</a:t>
          </a:r>
          <a:r>
            <a:rPr lang="en-GB" sz="1100" b="0" i="0">
              <a:solidFill>
                <a:schemeClr val="dk1"/>
              </a:solidFill>
              <a:effectLst/>
              <a:latin typeface="Ubuntu Light" panose="020B0304030602030204" pitchFamily="34" charset="0"/>
              <a:ea typeface="+mn-ea"/>
              <a:cs typeface="+mn-cs"/>
            </a:rPr>
            <a:t>). A total of 600 subjects were treated for at least 6 months of cumulative treatment, including 373 treated for at least 12 months.</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Primary efficacy endpoints for both studies were the change from baseline to Month 1 and Month 3 in Latency to Persistent Sleep (LPS) and Wake After Sleep Onset (WASO), measured objectively by polysomnography in a sleep laboratory. LPS is a measure of sleep induction and WASO is a measure of sleep maintenance.</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Secondary endpoints included in the statistical testing hierarchy with Type I error control were patient-reported Total Sleep Time (sTST), evaluated every morning at home using a validated Sleep Diary Questionnaire (SDQ).</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In Study 1, doses of 25 and 50 mg QUVIVIQ showed a statistically significant improvement vs placebo on polysomnography (LPS, WASO) and self-reported total sleep (sTST), at Month 1 and Month 3.</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In Study 2, QUVIVIQ 25 mg showed a statistically significant improvement vs placebo on WASO and sTST at Month 1 and Month 3. QUVIVIQ 10 mg did not show a statistically significant improvement on LPS, WASO, or sTST at Month 1 or Month 3.</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The efficacy of QUVIVIQ was similar across subgroups based on age, sex, race, and region.</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The 50 mg dose of QUVIVIQ, which was evaluated in one of the two pivotal studies, also demonstrated significant reduction in daytime sleepiness compared to placebo, as measured by the sleepiness domain score from the Insomnia Daytime Symptoms and Impacts Questionnaire (IDSIQ)[2] at month 1 and month 3 (key secondary endpoint). Results on this endpoint for the 25mg dose did not reach statistical significance in either study at both timepoints.</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The most common reported adverse reactions (in at least 5% of patients and greater than placebo) were headache (placebo: 5%, 25 mg: 6%, 50 mg: 7%,) and somnolence or fatigue (placebo: 4%, 25 mg: 6%, 50 mg: 5%).</a:t>
          </a:r>
        </a:p>
        <a:p>
          <a:endParaRPr lang="en-GB" sz="1100" b="0" i="0">
            <a:solidFill>
              <a:schemeClr val="dk1"/>
            </a:solidFill>
            <a:effectLst/>
            <a:latin typeface="Ubuntu Light" panose="020B0304030602030204" pitchFamily="34" charset="0"/>
            <a:ea typeface="+mn-ea"/>
            <a:cs typeface="+mn-cs"/>
          </a:endParaRPr>
        </a:p>
        <a:p>
          <a:r>
            <a:rPr lang="en-GB" sz="1100" b="1" i="0">
              <a:solidFill>
                <a:schemeClr val="dk1"/>
              </a:solidFill>
              <a:effectLst/>
              <a:latin typeface="Ubuntu Light" panose="020B0304030602030204" pitchFamily="34" charset="0"/>
              <a:ea typeface="+mn-ea"/>
              <a:cs typeface="+mn-cs"/>
            </a:rPr>
            <a:t>References</a:t>
          </a:r>
        </a:p>
        <a:p>
          <a:endParaRPr lang="en-GB" sz="1100" b="0" i="0">
            <a:solidFill>
              <a:schemeClr val="dk1"/>
            </a:solidFill>
            <a:effectLst/>
            <a:latin typeface="Ubuntu Light" panose="020B0304030602030204" pitchFamily="34" charset="0"/>
            <a:ea typeface="+mn-ea"/>
            <a:cs typeface="+mn-cs"/>
          </a:endParaRPr>
        </a:p>
        <a:p>
          <a:r>
            <a:rPr lang="en-GB" sz="1100" b="0" i="0">
              <a:solidFill>
                <a:schemeClr val="dk1"/>
              </a:solidFill>
              <a:effectLst/>
              <a:latin typeface="Ubuntu Light" panose="020B0304030602030204" pitchFamily="34" charset="0"/>
              <a:ea typeface="+mn-ea"/>
              <a:cs typeface="+mn-cs"/>
            </a:rPr>
            <a:t>[1]</a:t>
          </a:r>
          <a:r>
            <a:rPr lang="en-GB" sz="1100" b="0" i="0" baseline="0">
              <a:solidFill>
                <a:schemeClr val="dk1"/>
              </a:solidFill>
              <a:effectLst/>
              <a:latin typeface="Ubuntu Light" panose="020B0304030602030204" pitchFamily="34" charset="0"/>
              <a:ea typeface="+mn-ea"/>
              <a:cs typeface="+mn-cs"/>
            </a:rPr>
            <a:t> </a:t>
          </a:r>
          <a:r>
            <a:rPr lang="en-GB" sz="1100" b="0" i="0">
              <a:solidFill>
                <a:schemeClr val="dk1"/>
              </a:solidFill>
              <a:effectLst/>
              <a:latin typeface="Ubuntu Light" panose="020B0304030602030204" pitchFamily="34" charset="0"/>
              <a:ea typeface="+mn-ea"/>
              <a:cs typeface="+mn-cs"/>
            </a:rPr>
            <a:t>EMA. Quviviq.  https://www.ema.europa.eu/en/medicines/human/EPAR/quviviq#:~:text=As%20for%20all%20medicines%2C%20data,action%20taken%20to%20protect%20patients.&amp;text=Quviviq%20received%20a%20marketing%20authorisation,EU%20on%2029%20April%202022.</a:t>
          </a:r>
        </a:p>
        <a:p>
          <a:r>
            <a:rPr lang="en-GB" sz="1100" b="0" i="0">
              <a:solidFill>
                <a:schemeClr val="dk1"/>
              </a:solidFill>
              <a:effectLst/>
              <a:latin typeface="Ubuntu Light" panose="020B0304030602030204" pitchFamily="34" charset="0"/>
              <a:ea typeface="+mn-ea"/>
              <a:cs typeface="+mn-cs"/>
            </a:rPr>
            <a:t>[2] Hudgens S, Phillips-Beyer A, Newton L, Seboek Kinter D, Benes H. Development and validation of the Insomnia Daytime Symptoms and Impacts Questionnaire (IDSIQ). Patient. 2020;14(2): 249-268. https://doi. org/ 10. 1007/ s40271- 020- 00474-z</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161925</xdr:colOff>
      <xdr:row>0</xdr:row>
      <xdr:rowOff>9525</xdr:rowOff>
    </xdr:from>
    <xdr:to>
      <xdr:col>2</xdr:col>
      <xdr:colOff>270933</xdr:colOff>
      <xdr:row>5</xdr:row>
      <xdr:rowOff>114628</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1925" y="9525"/>
          <a:ext cx="1480608" cy="1121103"/>
        </a:xfrm>
        <a:prstGeom prst="rect">
          <a:avLst/>
        </a:prstGeom>
        <a:effectLst>
          <a:outerShdw blurRad="50800" dist="38100" dir="2700000" algn="tl" rotWithShape="0">
            <a:prstClr val="black">
              <a:alpha val="40000"/>
            </a:prstClr>
          </a:outerShdw>
        </a:effec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292100</xdr:colOff>
          <xdr:row>2</xdr:row>
          <xdr:rowOff>114300</xdr:rowOff>
        </xdr:from>
        <xdr:to>
          <xdr:col>4</xdr:col>
          <xdr:colOff>596900</xdr:colOff>
          <xdr:row>4</xdr:row>
          <xdr:rowOff>114300</xdr:rowOff>
        </xdr:to>
        <xdr:sp macro="" textlink="">
          <xdr:nvSpPr>
            <xdr:cNvPr id="6148" name="Option 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Turn probabilistic analysis 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749300</xdr:colOff>
          <xdr:row>2</xdr:row>
          <xdr:rowOff>139700</xdr:rowOff>
        </xdr:from>
        <xdr:to>
          <xdr:col>8</xdr:col>
          <xdr:colOff>457200</xdr:colOff>
          <xdr:row>4</xdr:row>
          <xdr:rowOff>101600</xdr:rowOff>
        </xdr:to>
        <xdr:sp macro="" textlink="">
          <xdr:nvSpPr>
            <xdr:cNvPr id="6149" name="Option 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Turn probabilistic analysis ON</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139700</xdr:colOff>
          <xdr:row>7</xdr:row>
          <xdr:rowOff>63500</xdr:rowOff>
        </xdr:from>
        <xdr:to>
          <xdr:col>4</xdr:col>
          <xdr:colOff>406400</xdr:colOff>
          <xdr:row>8</xdr:row>
          <xdr:rowOff>254000</xdr:rowOff>
        </xdr:to>
        <xdr:sp macro="" textlink="">
          <xdr:nvSpPr>
            <xdr:cNvPr id="12289" name="Option 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SDS from trial programme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7</xdr:row>
          <xdr:rowOff>139700</xdr:rowOff>
        </xdr:from>
        <xdr:to>
          <xdr:col>7</xdr:col>
          <xdr:colOff>266700</xdr:colOff>
          <xdr:row>8</xdr:row>
          <xdr:rowOff>254000</xdr:rowOff>
        </xdr:to>
        <xdr:sp macro="" textlink="">
          <xdr:nvSpPr>
            <xdr:cNvPr id="12290" name="Option Button 2" hidden="1">
              <a:extLst>
                <a:ext uri="{63B3BB69-23CF-44E3-9099-C40C66FF867C}">
                  <a14:compatExt spid="_x0000_s12290"/>
                </a:ext>
                <a:ext uri="{FF2B5EF4-FFF2-40B4-BE49-F238E27FC236}">
                  <a16:creationId xmlns:a16="http://schemas.microsoft.com/office/drawing/2014/main" id="{00000000-0008-0000-0500-000002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NHWS mapping ISI-WPAI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xdr:row>
          <xdr:rowOff>190500</xdr:rowOff>
        </xdr:from>
        <xdr:to>
          <xdr:col>8</xdr:col>
          <xdr:colOff>190500</xdr:colOff>
          <xdr:row>9</xdr:row>
          <xdr:rowOff>152400</xdr:rowOff>
        </xdr:to>
        <xdr:sp macro="" textlink="">
          <xdr:nvSpPr>
            <xdr:cNvPr id="12298" name="Group Box 10" hidden="1">
              <a:extLst>
                <a:ext uri="{63B3BB69-23CF-44E3-9099-C40C66FF867C}">
                  <a14:compatExt spid="_x0000_s12298"/>
                </a:ext>
                <a:ext uri="{FF2B5EF4-FFF2-40B4-BE49-F238E27FC236}">
                  <a16:creationId xmlns:a16="http://schemas.microsoft.com/office/drawing/2014/main" id="{00000000-0008-0000-0500-00000A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1300" b="0" i="0" u="none" strike="noStrike" baseline="0">
                  <a:solidFill>
                    <a:srgbClr val="000000"/>
                  </a:solidFill>
                  <a:latin typeface="Lucida Grande" pitchFamily="2" charset="0"/>
                  <a:cs typeface="Lucida Grande" pitchFamily="2" charset="0"/>
                </a:rPr>
                <a:t>Select method for estimating productivity gains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3</xdr:row>
          <xdr:rowOff>25400</xdr:rowOff>
        </xdr:from>
        <xdr:to>
          <xdr:col>8</xdr:col>
          <xdr:colOff>177800</xdr:colOff>
          <xdr:row>5</xdr:row>
          <xdr:rowOff>254000</xdr:rowOff>
        </xdr:to>
        <xdr:sp macro="" textlink="">
          <xdr:nvSpPr>
            <xdr:cNvPr id="12304" name="Group Box 16" hidden="1">
              <a:extLst>
                <a:ext uri="{63B3BB69-23CF-44E3-9099-C40C66FF867C}">
                  <a14:compatExt spid="_x0000_s12304"/>
                </a:ext>
                <a:ext uri="{FF2B5EF4-FFF2-40B4-BE49-F238E27FC236}">
                  <a16:creationId xmlns:a16="http://schemas.microsoft.com/office/drawing/2014/main" id="{00000000-0008-0000-0500-000010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1300" b="0" i="0" u="none" strike="noStrike" baseline="0">
                  <a:solidFill>
                    <a:srgbClr val="000000"/>
                  </a:solidFill>
                  <a:latin typeface="Lucida Grande" pitchFamily="2" charset="0"/>
                  <a:cs typeface="Lucida Grande" pitchFamily="2" charset="0"/>
                </a:rPr>
                <a:t>Select algorithm for ISI-EQ5D mapping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4</xdr:row>
          <xdr:rowOff>38100</xdr:rowOff>
        </xdr:from>
        <xdr:to>
          <xdr:col>2</xdr:col>
          <xdr:colOff>1663700</xdr:colOff>
          <xdr:row>5</xdr:row>
          <xdr:rowOff>152400</xdr:rowOff>
        </xdr:to>
        <xdr:sp macro="" textlink="">
          <xdr:nvSpPr>
            <xdr:cNvPr id="12305" name="Option Button 17" hidden="1">
              <a:extLst>
                <a:ext uri="{63B3BB69-23CF-44E3-9099-C40C66FF867C}">
                  <a14:compatExt spid="_x0000_s12305"/>
                </a:ext>
                <a:ext uri="{FF2B5EF4-FFF2-40B4-BE49-F238E27FC236}">
                  <a16:creationId xmlns:a16="http://schemas.microsoft.com/office/drawing/2014/main" id="{00000000-0008-0000-0500-000011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gamma-log GLM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4</xdr:row>
          <xdr:rowOff>38100</xdr:rowOff>
        </xdr:from>
        <xdr:to>
          <xdr:col>6</xdr:col>
          <xdr:colOff>101600</xdr:colOff>
          <xdr:row>5</xdr:row>
          <xdr:rowOff>152400</xdr:rowOff>
        </xdr:to>
        <xdr:sp macro="" textlink="">
          <xdr:nvSpPr>
            <xdr:cNvPr id="12306" name="Option Button 18" hidden="1">
              <a:extLst>
                <a:ext uri="{63B3BB69-23CF-44E3-9099-C40C66FF867C}">
                  <a14:compatExt spid="_x0000_s12306"/>
                </a:ext>
                <a:ext uri="{FF2B5EF4-FFF2-40B4-BE49-F238E27FC236}">
                  <a16:creationId xmlns:a16="http://schemas.microsoft.com/office/drawing/2014/main" id="{00000000-0008-0000-0500-000012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ALDVMM*</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2</xdr:row>
          <xdr:rowOff>114300</xdr:rowOff>
        </xdr:from>
        <xdr:to>
          <xdr:col>4</xdr:col>
          <xdr:colOff>266700</xdr:colOff>
          <xdr:row>4</xdr:row>
          <xdr:rowOff>101600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7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Run Probabilistic Analysis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20</xdr:col>
      <xdr:colOff>782807</xdr:colOff>
      <xdr:row>60</xdr:row>
      <xdr:rowOff>22187</xdr:rowOff>
    </xdr:from>
    <xdr:to>
      <xdr:col>30</xdr:col>
      <xdr:colOff>246646</xdr:colOff>
      <xdr:row>95</xdr:row>
      <xdr:rowOff>55957</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6187907" y="14042987"/>
          <a:ext cx="7769639" cy="7145770"/>
        </a:xfrm>
        <a:prstGeom prst="rect">
          <a:avLst/>
        </a:prstGeom>
      </xdr:spPr>
    </xdr:pic>
    <xdr:clientData/>
  </xdr:twoCellAnchor>
  <xdr:twoCellAnchor editAs="oneCell">
    <xdr:from>
      <xdr:col>10</xdr:col>
      <xdr:colOff>560974</xdr:colOff>
      <xdr:row>60</xdr:row>
      <xdr:rowOff>7085</xdr:rowOff>
    </xdr:from>
    <xdr:to>
      <xdr:col>20</xdr:col>
      <xdr:colOff>613988</xdr:colOff>
      <xdr:row>84</xdr:row>
      <xdr:rowOff>140683</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8282574" y="14027885"/>
          <a:ext cx="7736514" cy="5010398"/>
        </a:xfrm>
        <a:prstGeom prst="rect">
          <a:avLst/>
        </a:prstGeom>
      </xdr:spPr>
    </xdr:pic>
    <xdr:clientData/>
  </xdr:twoCellAnchor>
  <xdr:twoCellAnchor editAs="oneCell">
    <xdr:from>
      <xdr:col>1</xdr:col>
      <xdr:colOff>13107</xdr:colOff>
      <xdr:row>60</xdr:row>
      <xdr:rowOff>39756</xdr:rowOff>
    </xdr:from>
    <xdr:to>
      <xdr:col>9</xdr:col>
      <xdr:colOff>283948</xdr:colOff>
      <xdr:row>86</xdr:row>
      <xdr:rowOff>185963</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stretch>
          <a:fillRect/>
        </a:stretch>
      </xdr:blipFill>
      <xdr:spPr>
        <a:xfrm>
          <a:off x="394107" y="14060556"/>
          <a:ext cx="7763841" cy="542940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0" y="0"/>
    <xdr:ext cx="9309100" cy="6070600"/>
    <xdr:graphicFrame macro="">
      <xdr:nvGraphicFramePr>
        <xdr:cNvPr id="3" name="Chart 1">
          <a:extLst>
            <a:ext uri="{FF2B5EF4-FFF2-40B4-BE49-F238E27FC236}">
              <a16:creationId xmlns:a16="http://schemas.microsoft.com/office/drawing/2014/main" id="{00000000-0008-0000-1100-00000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9309100" cy="6070600"/>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9309100" cy="6070600"/>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9309100" cy="6070600"/>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9309100" cy="6070600"/>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309100" cy="6070600"/>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9309100" cy="6070600"/>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9309100" cy="6070600"/>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absoluteAnchor>
    <xdr:pos x="0" y="0"/>
    <xdr:ext cx="9298983" cy="6059407"/>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9298983" cy="6059407"/>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5.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hyperlink" Target="https://www.ons.gov.uk/peoplepopulationandcommunity/birthsdeathsandmarriages/lifeexpectancies/bulletins/englishlifetablesno17/2015-09-0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24164-441D-4BD0-85F5-21475F785683}">
  <sheetPr codeName="Sheet1"/>
  <dimension ref="E1:S33"/>
  <sheetViews>
    <sheetView showGridLines="0" tabSelected="1" zoomScaleNormal="100" workbookViewId="0"/>
  </sheetViews>
  <sheetFormatPr baseColWidth="10" defaultColWidth="8.6640625" defaultRowHeight="16"/>
  <cols>
    <col min="5" max="5" width="12.6640625" customWidth="1"/>
    <col min="6" max="6" width="21.6640625" style="106" customWidth="1"/>
  </cols>
  <sheetData>
    <row r="1" spans="5:19" s="92" customFormat="1">
      <c r="F1" s="175"/>
    </row>
    <row r="2" spans="5:19" s="92" customFormat="1">
      <c r="F2" s="175"/>
    </row>
    <row r="3" spans="5:19" s="92" customFormat="1">
      <c r="F3" s="175"/>
    </row>
    <row r="4" spans="5:19" s="92" customFormat="1">
      <c r="F4" s="175"/>
    </row>
    <row r="5" spans="5:19" s="92" customFormat="1">
      <c r="F5" s="175"/>
    </row>
    <row r="6" spans="5:19" s="92" customFormat="1" ht="21" customHeight="1">
      <c r="F6" s="175"/>
    </row>
    <row r="7" spans="5:19" s="92" customFormat="1">
      <c r="F7" s="175"/>
    </row>
    <row r="8" spans="5:19" s="92" customFormat="1">
      <c r="F8" s="175"/>
    </row>
    <row r="9" spans="5:19" s="92" customFormat="1" ht="22.25" customHeight="1">
      <c r="F9" s="175"/>
      <c r="R9" s="93"/>
    </row>
    <row r="10" spans="5:19" s="92" customFormat="1" ht="22.25" customHeight="1">
      <c r="F10" s="175"/>
    </row>
    <row r="11" spans="5:19" s="92" customFormat="1" ht="22.25" customHeight="1">
      <c r="F11" s="175"/>
      <c r="R11" s="94"/>
    </row>
    <row r="12" spans="5:19" s="92" customFormat="1" ht="38" customHeight="1">
      <c r="E12" s="173" t="s">
        <v>162</v>
      </c>
      <c r="F12" s="175"/>
    </row>
    <row r="13" spans="5:19" s="92" customFormat="1" ht="22.25" customHeight="1">
      <c r="E13" s="170"/>
      <c r="F13" s="175"/>
    </row>
    <row r="14" spans="5:19" s="92" customFormat="1" ht="36" customHeight="1">
      <c r="E14" s="171" t="s">
        <v>163</v>
      </c>
      <c r="F14" s="175"/>
      <c r="S14" s="96"/>
    </row>
    <row r="15" spans="5:19" s="92" customFormat="1" ht="22.25" customHeight="1">
      <c r="F15" s="175"/>
    </row>
    <row r="16" spans="5:19" s="92" customFormat="1" ht="40.25" customHeight="1">
      <c r="E16" s="172" t="s">
        <v>164</v>
      </c>
      <c r="F16" s="175"/>
    </row>
    <row r="17" spans="5:8" s="92" customFormat="1" ht="22.25" customHeight="1">
      <c r="E17" s="95"/>
      <c r="F17" s="175"/>
    </row>
    <row r="18" spans="5:8" s="92" customFormat="1" ht="19.25" customHeight="1">
      <c r="E18" s="185" t="s">
        <v>378</v>
      </c>
      <c r="F18" s="175"/>
    </row>
    <row r="19" spans="5:8" s="92" customFormat="1" ht="15" customHeight="1">
      <c r="F19" s="175"/>
    </row>
    <row r="20" spans="5:8" s="92" customFormat="1" ht="19">
      <c r="E20" s="215" t="s">
        <v>425</v>
      </c>
      <c r="F20" s="214" t="s">
        <v>381</v>
      </c>
      <c r="G20" s="174" t="s">
        <v>379</v>
      </c>
      <c r="H20" s="174"/>
    </row>
    <row r="21" spans="5:8" ht="19">
      <c r="E21" s="216" t="s">
        <v>426</v>
      </c>
      <c r="F21" s="214" t="s">
        <v>380</v>
      </c>
      <c r="G21" s="119" t="s">
        <v>382</v>
      </c>
      <c r="H21" s="119"/>
    </row>
    <row r="22" spans="5:8" ht="19">
      <c r="E22" s="216" t="s">
        <v>422</v>
      </c>
      <c r="F22" s="214" t="s">
        <v>423</v>
      </c>
      <c r="G22" s="119" t="s">
        <v>424</v>
      </c>
      <c r="H22" s="119"/>
    </row>
    <row r="23" spans="5:8" ht="19">
      <c r="E23" s="216" t="s">
        <v>427</v>
      </c>
      <c r="F23" s="214" t="s">
        <v>428</v>
      </c>
      <c r="G23" s="119" t="s">
        <v>454</v>
      </c>
    </row>
    <row r="24" spans="5:8" ht="19">
      <c r="E24" s="216" t="s">
        <v>487</v>
      </c>
      <c r="F24" s="214" t="s">
        <v>484</v>
      </c>
      <c r="G24" s="119" t="s">
        <v>488</v>
      </c>
    </row>
    <row r="25" spans="5:8" ht="19">
      <c r="E25" s="216" t="s">
        <v>489</v>
      </c>
      <c r="F25" s="214" t="s">
        <v>490</v>
      </c>
      <c r="G25" s="119" t="s">
        <v>491</v>
      </c>
    </row>
    <row r="26" spans="5:8" ht="19">
      <c r="E26" s="216" t="s">
        <v>492</v>
      </c>
      <c r="F26" s="214" t="s">
        <v>493</v>
      </c>
      <c r="G26" s="119" t="s">
        <v>630</v>
      </c>
    </row>
    <row r="27" spans="5:8" ht="19">
      <c r="E27" s="216" t="s">
        <v>627</v>
      </c>
      <c r="F27" s="214" t="s">
        <v>629</v>
      </c>
      <c r="G27" s="119" t="s">
        <v>628</v>
      </c>
    </row>
    <row r="28" spans="5:8" ht="19">
      <c r="E28" s="216" t="s">
        <v>693</v>
      </c>
      <c r="F28" s="214" t="s">
        <v>694</v>
      </c>
      <c r="G28" s="119" t="s">
        <v>695</v>
      </c>
    </row>
    <row r="29" spans="5:8" ht="19">
      <c r="F29" s="214"/>
      <c r="G29" s="119" t="s">
        <v>714</v>
      </c>
    </row>
    <row r="30" spans="5:8" ht="19">
      <c r="E30" s="216" t="s">
        <v>715</v>
      </c>
      <c r="F30" s="214" t="s">
        <v>716</v>
      </c>
      <c r="G30" s="119" t="s">
        <v>717</v>
      </c>
    </row>
    <row r="31" spans="5:8" ht="19">
      <c r="E31" s="216" t="s">
        <v>745</v>
      </c>
      <c r="F31" s="214" t="s">
        <v>746</v>
      </c>
      <c r="G31" s="119" t="s">
        <v>747</v>
      </c>
    </row>
    <row r="32" spans="5:8" ht="19">
      <c r="E32" s="216" t="s">
        <v>749</v>
      </c>
      <c r="F32" s="214" t="s">
        <v>750</v>
      </c>
      <c r="G32" s="119" t="s">
        <v>751</v>
      </c>
    </row>
    <row r="33" spans="5:7" ht="19">
      <c r="E33" s="216" t="s">
        <v>801</v>
      </c>
      <c r="F33" s="214" t="s">
        <v>803</v>
      </c>
      <c r="G33" s="119" t="s">
        <v>802</v>
      </c>
    </row>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40F38-3FEB-4D2D-B7DF-5499424DFCE3}">
  <sheetPr codeName="Sheet5"/>
  <dimension ref="A1:J42"/>
  <sheetViews>
    <sheetView showGridLines="0" zoomScaleNormal="100" workbookViewId="0">
      <selection activeCell="U17" sqref="U17"/>
    </sheetView>
  </sheetViews>
  <sheetFormatPr baseColWidth="10" defaultColWidth="8.6640625" defaultRowHeight="16"/>
  <cols>
    <col min="1" max="2" width="9" style="100"/>
  </cols>
  <sheetData>
    <row r="1" spans="10:10" s="100" customFormat="1"/>
    <row r="2" spans="10:10" s="100" customFormat="1"/>
    <row r="3" spans="10:10" s="100" customFormat="1"/>
    <row r="4" spans="10:10" s="100" customFormat="1"/>
    <row r="5" spans="10:10" s="100" customFormat="1"/>
    <row r="7" spans="10:10">
      <c r="J7" s="97"/>
    </row>
    <row r="8" spans="10:10">
      <c r="J8" s="97"/>
    </row>
    <row r="9" spans="10:10">
      <c r="J9" s="97"/>
    </row>
    <row r="10" spans="10:10">
      <c r="J10" s="97"/>
    </row>
    <row r="11" spans="10:10">
      <c r="J11" s="97"/>
    </row>
    <row r="12" spans="10:10">
      <c r="J12" s="97"/>
    </row>
    <row r="13" spans="10:10">
      <c r="J13" s="97"/>
    </row>
    <row r="14" spans="10:10">
      <c r="J14" s="97"/>
    </row>
    <row r="15" spans="10:10">
      <c r="J15" s="97"/>
    </row>
    <row r="16" spans="10:10">
      <c r="J16" s="97"/>
    </row>
    <row r="17" spans="4:10">
      <c r="J17" s="99"/>
    </row>
    <row r="18" spans="4:10">
      <c r="J18" s="99"/>
    </row>
    <row r="19" spans="4:10">
      <c r="J19" s="99"/>
    </row>
    <row r="20" spans="4:10">
      <c r="J20" s="97"/>
    </row>
    <row r="21" spans="4:10">
      <c r="J21" s="97"/>
    </row>
    <row r="22" spans="4:10">
      <c r="J22" s="97"/>
    </row>
    <row r="23" spans="4:10">
      <c r="J23" s="97"/>
    </row>
    <row r="26" spans="4:10">
      <c r="D26" s="97"/>
      <c r="E26" s="97"/>
      <c r="F26" s="97"/>
      <c r="G26" s="97"/>
      <c r="H26" s="97"/>
      <c r="I26" s="97"/>
    </row>
    <row r="27" spans="4:10">
      <c r="D27" s="97"/>
      <c r="E27" s="97"/>
      <c r="F27" s="97"/>
      <c r="G27" s="97"/>
      <c r="H27" s="97"/>
      <c r="I27" s="97"/>
    </row>
    <row r="28" spans="4:10">
      <c r="D28" s="98"/>
      <c r="E28" s="97"/>
      <c r="F28" s="97"/>
      <c r="G28" s="97"/>
      <c r="H28" s="97"/>
      <c r="I28" s="97"/>
    </row>
    <row r="29" spans="4:10">
      <c r="D29" s="97"/>
      <c r="E29" s="97"/>
      <c r="F29" s="97"/>
      <c r="G29" s="97"/>
      <c r="H29" s="97"/>
      <c r="I29" s="97"/>
    </row>
    <row r="30" spans="4:10">
      <c r="D30" s="97"/>
      <c r="E30" s="97"/>
      <c r="F30" s="97"/>
      <c r="G30" s="97"/>
      <c r="H30" s="97"/>
      <c r="I30" s="97"/>
    </row>
    <row r="31" spans="4:10">
      <c r="D31" s="97"/>
      <c r="E31" s="97"/>
      <c r="F31" s="97"/>
      <c r="G31" s="97"/>
      <c r="H31" s="97"/>
      <c r="I31" s="97"/>
    </row>
    <row r="32" spans="4:10">
      <c r="D32" s="97"/>
      <c r="E32" s="97"/>
      <c r="F32" s="97"/>
      <c r="G32" s="97"/>
      <c r="H32" s="97"/>
      <c r="I32" s="97"/>
    </row>
    <row r="33" spans="4:9">
      <c r="D33" s="97"/>
      <c r="E33" s="97"/>
      <c r="F33" s="97"/>
      <c r="G33" s="97"/>
      <c r="H33" s="97"/>
      <c r="I33" s="97"/>
    </row>
    <row r="34" spans="4:9">
      <c r="D34" s="97"/>
      <c r="E34" s="97"/>
      <c r="F34" s="97"/>
      <c r="G34" s="97"/>
      <c r="H34" s="97"/>
      <c r="I34" s="97"/>
    </row>
    <row r="35" spans="4:9">
      <c r="D35" s="97"/>
      <c r="E35" s="98"/>
      <c r="F35" s="97"/>
      <c r="G35" s="97"/>
      <c r="H35" s="97"/>
      <c r="I35" s="97"/>
    </row>
    <row r="36" spans="4:9">
      <c r="D36" s="98"/>
      <c r="E36" s="97"/>
      <c r="F36" s="99"/>
      <c r="G36" s="99"/>
      <c r="H36" s="99"/>
      <c r="I36" s="99"/>
    </row>
    <row r="37" spans="4:9">
      <c r="D37" s="98"/>
      <c r="E37" s="97"/>
      <c r="F37" s="99"/>
      <c r="G37" s="99"/>
      <c r="H37" s="99"/>
      <c r="I37" s="99"/>
    </row>
    <row r="38" spans="4:9">
      <c r="D38" s="98"/>
      <c r="E38" s="97"/>
      <c r="F38" s="99"/>
      <c r="G38" s="99"/>
      <c r="H38" s="99"/>
      <c r="I38" s="99"/>
    </row>
    <row r="39" spans="4:9">
      <c r="D39" s="97"/>
      <c r="E39" s="97"/>
      <c r="F39" s="97"/>
      <c r="G39" s="97"/>
      <c r="H39" s="97"/>
      <c r="I39" s="97"/>
    </row>
    <row r="40" spans="4:9">
      <c r="D40" s="97"/>
      <c r="E40" s="97"/>
      <c r="F40" s="97"/>
      <c r="G40" s="97"/>
      <c r="H40" s="97"/>
      <c r="I40" s="97"/>
    </row>
    <row r="41" spans="4:9">
      <c r="D41" s="97"/>
      <c r="E41" s="97"/>
      <c r="F41" s="97"/>
      <c r="G41" s="97"/>
      <c r="H41" s="97"/>
      <c r="I41" s="97"/>
    </row>
    <row r="42" spans="4:9">
      <c r="D42" s="97"/>
      <c r="E42" s="97"/>
      <c r="F42" s="97"/>
      <c r="G42" s="97"/>
      <c r="H42" s="97"/>
      <c r="I42" s="97"/>
    </row>
  </sheetData>
  <pageMargins left="0.7" right="0.7" top="0.75" bottom="0.75" header="0.3" footer="0.3"/>
  <pageSetup paperSize="9"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65E60-06BD-4EE2-B571-D160C7850C2B}">
  <sheetPr codeName="Sheet6"/>
  <dimension ref="A1:R36"/>
  <sheetViews>
    <sheetView showGridLines="0" topLeftCell="A6" zoomScale="115" zoomScaleNormal="115" workbookViewId="0">
      <selection activeCell="M39" sqref="M39"/>
    </sheetView>
  </sheetViews>
  <sheetFormatPr baseColWidth="10" defaultColWidth="8.6640625" defaultRowHeight="16"/>
  <cols>
    <col min="1" max="2" width="9" style="100"/>
    <col min="4" max="4" width="22.1640625" style="167" customWidth="1"/>
  </cols>
  <sheetData>
    <row r="1" spans="4:18" s="100" customFormat="1">
      <c r="D1" s="166"/>
    </row>
    <row r="2" spans="4:18" s="100" customFormat="1">
      <c r="D2" s="166"/>
    </row>
    <row r="3" spans="4:18" s="100" customFormat="1">
      <c r="D3" s="166"/>
    </row>
    <row r="4" spans="4:18" s="100" customFormat="1">
      <c r="D4" s="166"/>
    </row>
    <row r="5" spans="4:18" s="100" customFormat="1">
      <c r="D5" s="166"/>
    </row>
    <row r="7" spans="4:18" ht="20" thickBot="1">
      <c r="D7" s="169" t="s">
        <v>165</v>
      </c>
      <c r="E7" s="101"/>
      <c r="F7" s="101"/>
      <c r="G7" s="101"/>
      <c r="H7" s="101"/>
      <c r="I7" s="101"/>
      <c r="J7" s="86"/>
      <c r="K7" s="86"/>
      <c r="L7" s="86"/>
      <c r="M7" s="86"/>
      <c r="N7" s="86"/>
      <c r="O7" s="86"/>
      <c r="P7" s="86"/>
      <c r="Q7" s="86"/>
      <c r="R7" s="86"/>
    </row>
    <row r="8" spans="4:18" ht="19">
      <c r="D8" s="210"/>
      <c r="E8" s="97"/>
      <c r="F8" s="97"/>
      <c r="G8" s="97"/>
      <c r="H8" s="97"/>
      <c r="I8" s="97"/>
    </row>
    <row r="9" spans="4:18">
      <c r="D9" s="211" t="s">
        <v>471</v>
      </c>
      <c r="E9" s="97"/>
      <c r="F9" s="97"/>
      <c r="G9" s="97"/>
      <c r="H9" s="97"/>
      <c r="I9" s="97"/>
    </row>
    <row r="10" spans="4:18">
      <c r="D10" s="167" t="s">
        <v>462</v>
      </c>
      <c r="E10" t="str">
        <f>'Model | Parameters'!B2</f>
        <v>Model Parameters</v>
      </c>
      <c r="F10" s="97"/>
      <c r="G10" s="97"/>
      <c r="H10" s="97"/>
      <c r="I10" s="97"/>
    </row>
    <row r="11" spans="4:18">
      <c r="D11" s="167" t="s">
        <v>483</v>
      </c>
      <c r="E11" t="str">
        <f>'Model | ISI analysis (live)'!B2</f>
        <v>This sheet is 'live': it holds the regression results that are used to drive the model and the values here link through to the parameters sheet</v>
      </c>
      <c r="F11" s="97"/>
      <c r="G11" s="97"/>
      <c r="H11" s="97"/>
      <c r="I11" s="97"/>
    </row>
    <row r="12" spans="4:18">
      <c r="D12" s="167" t="s">
        <v>482</v>
      </c>
      <c r="E12" t="str">
        <f>'Model | 1 Year'!B2</f>
        <v>This is the one year model based on the 301 trial with 303 continuation</v>
      </c>
      <c r="F12" s="97"/>
      <c r="G12" s="97"/>
      <c r="H12" s="97"/>
      <c r="I12" s="97"/>
    </row>
    <row r="13" spans="4:18">
      <c r="D13" s="167" t="s">
        <v>463</v>
      </c>
      <c r="E13" t="str">
        <f>'Model | Lifetime'!B2</f>
        <v>This is the lifetime model</v>
      </c>
      <c r="F13" s="97"/>
      <c r="G13" s="97"/>
      <c r="H13" s="97"/>
      <c r="I13" s="97"/>
    </row>
    <row r="14" spans="4:18">
      <c r="D14" s="167" t="s">
        <v>464</v>
      </c>
      <c r="E14" t="str">
        <f>'Model | Simulation'!B2</f>
        <v>On this sheet the probabilistic results are obtained</v>
      </c>
      <c r="F14" s="97"/>
      <c r="G14" s="97"/>
      <c r="H14" s="97"/>
      <c r="I14" s="97"/>
    </row>
    <row r="15" spans="4:18">
      <c r="F15" s="97"/>
      <c r="G15" s="97"/>
      <c r="H15" s="97"/>
      <c r="I15" s="97"/>
    </row>
    <row r="16" spans="4:18">
      <c r="D16" s="211" t="s">
        <v>472</v>
      </c>
      <c r="F16" s="97"/>
      <c r="G16" s="97"/>
      <c r="H16" s="97"/>
      <c r="I16" s="97"/>
    </row>
    <row r="17" spans="4:9">
      <c r="D17" s="167" t="s">
        <v>465</v>
      </c>
      <c r="E17" t="str">
        <f>'Ref | NHWS utility'!B2</f>
        <v>On this sheet the gamma-log GLM mapping model for ISI-EQ5D from the NHWS is presented</v>
      </c>
      <c r="F17" s="97"/>
      <c r="G17" s="97"/>
      <c r="H17" s="97"/>
      <c r="I17" s="97"/>
    </row>
    <row r="18" spans="4:9">
      <c r="D18" s="167" t="s">
        <v>731</v>
      </c>
      <c r="E18" t="str">
        <f>'Ref | NHWS utility2'!B2</f>
        <v>On this sheet the ALDVMM mapping model for ISI-EQ5D from the NHWS is presented</v>
      </c>
      <c r="F18" s="97"/>
      <c r="G18" s="97"/>
      <c r="H18" s="97"/>
      <c r="I18" s="97"/>
    </row>
    <row r="19" spans="4:9">
      <c r="D19" s="167" t="s">
        <v>466</v>
      </c>
      <c r="E19" t="str">
        <f>'Ref | NHWS RU'!B2</f>
        <v>On this sheet the HCRU and productivity losses are estmated based on GLM regressions from NHWS</v>
      </c>
      <c r="F19" s="97"/>
      <c r="G19" s="97"/>
      <c r="H19" s="97"/>
      <c r="I19" s="97"/>
    </row>
    <row r="20" spans="4:9">
      <c r="D20" s="167" t="s">
        <v>468</v>
      </c>
      <c r="E20" t="str">
        <f>'Ref | SDS'!B2</f>
        <v>On this sheet the Sheehan Disability Scale Results from 301 and 303 are presented and converted to productivity losses</v>
      </c>
      <c r="F20" s="97"/>
      <c r="G20" s="97"/>
      <c r="H20" s="97"/>
      <c r="I20" s="97"/>
    </row>
    <row r="21" spans="4:9">
      <c r="D21" s="167" t="s">
        <v>732</v>
      </c>
      <c r="E21" t="str">
        <f>'Ref | AEs'!B2</f>
        <v>On this sheet the consequences of AEs in the treatment and placebo groups are calculated based on 301 and 303 data</v>
      </c>
      <c r="F21" s="97"/>
      <c r="G21" s="97"/>
      <c r="H21" s="97"/>
      <c r="I21" s="97"/>
    </row>
    <row r="22" spans="4:9">
      <c r="D22" s="167" t="s">
        <v>467</v>
      </c>
      <c r="E22" t="str">
        <f>'Ref | Study 303'!B2</f>
        <v>These are the summary results from study 303 split by severity and for the whole population</v>
      </c>
      <c r="F22" s="97"/>
      <c r="G22" s="97"/>
      <c r="H22" s="97"/>
      <c r="I22" s="97"/>
    </row>
    <row r="23" spans="4:9">
      <c r="D23" s="167" t="s">
        <v>469</v>
      </c>
      <c r="E23" t="str">
        <f>'Ref | ONS Lifetable'!B2</f>
        <v>This sheet includes the English Life Tables No.17: 2010 to 2012</v>
      </c>
      <c r="F23" s="97"/>
      <c r="G23" s="97"/>
      <c r="H23" s="97"/>
      <c r="I23" s="97"/>
    </row>
    <row r="24" spans="4:9">
      <c r="D24" s="167" t="s">
        <v>470</v>
      </c>
      <c r="E24" t="str">
        <f>'Ref | DSA'!B2</f>
        <v>On this sheet the deterministic sensitivity analysis is summarised and the data for the Tornado Plot created</v>
      </c>
      <c r="F24" s="97"/>
      <c r="G24" s="97"/>
      <c r="H24" s="97"/>
      <c r="I24" s="97"/>
    </row>
    <row r="25" spans="4:9">
      <c r="F25" s="97"/>
      <c r="G25" s="97"/>
      <c r="H25" s="97"/>
      <c r="I25" s="97"/>
    </row>
    <row r="26" spans="4:9">
      <c r="D26" s="211" t="s">
        <v>473</v>
      </c>
      <c r="F26" s="99"/>
      <c r="G26" s="99"/>
      <c r="H26" s="99"/>
      <c r="I26" s="99"/>
    </row>
    <row r="27" spans="4:9">
      <c r="D27" s="167" t="s">
        <v>372</v>
      </c>
      <c r="E27" t="s">
        <v>373</v>
      </c>
      <c r="F27" s="99"/>
      <c r="G27" s="99"/>
      <c r="H27" s="99"/>
      <c r="I27" s="99"/>
    </row>
    <row r="28" spans="4:9">
      <c r="D28" s="167" t="s">
        <v>374</v>
      </c>
      <c r="E28" t="s">
        <v>375</v>
      </c>
      <c r="F28" s="99"/>
      <c r="G28" s="99"/>
      <c r="H28" s="99"/>
      <c r="I28" s="99"/>
    </row>
    <row r="29" spans="4:9">
      <c r="D29" s="167" t="s">
        <v>474</v>
      </c>
      <c r="E29" t="s">
        <v>376</v>
      </c>
      <c r="F29" s="99"/>
      <c r="G29" s="99"/>
      <c r="H29" s="99"/>
      <c r="I29" s="99"/>
    </row>
    <row r="30" spans="4:9">
      <c r="D30" s="167" t="s">
        <v>460</v>
      </c>
      <c r="E30" t="s">
        <v>475</v>
      </c>
      <c r="F30" s="97"/>
      <c r="G30" s="97"/>
      <c r="H30" s="97"/>
      <c r="I30" s="97"/>
    </row>
    <row r="31" spans="4:9">
      <c r="D31" s="167" t="s">
        <v>477</v>
      </c>
      <c r="E31" t="s">
        <v>476</v>
      </c>
      <c r="F31" s="97"/>
      <c r="G31" s="97"/>
      <c r="H31" s="97"/>
      <c r="I31" s="97"/>
    </row>
    <row r="32" spans="4:9">
      <c r="D32" s="167" t="s">
        <v>461</v>
      </c>
      <c r="E32" t="s">
        <v>480</v>
      </c>
      <c r="F32" s="97"/>
      <c r="G32" s="97"/>
      <c r="H32" s="97"/>
      <c r="I32" s="97"/>
    </row>
    <row r="33" spans="4:9">
      <c r="D33" s="167" t="s">
        <v>478</v>
      </c>
      <c r="E33" t="s">
        <v>479</v>
      </c>
      <c r="F33" s="97"/>
      <c r="G33" s="97"/>
      <c r="H33" s="97"/>
      <c r="I33" s="97"/>
    </row>
    <row r="34" spans="4:9">
      <c r="D34" s="167" t="s">
        <v>370</v>
      </c>
      <c r="E34" t="s">
        <v>369</v>
      </c>
      <c r="F34" s="97"/>
      <c r="G34" s="97"/>
      <c r="H34" s="97"/>
      <c r="I34" s="97"/>
    </row>
    <row r="35" spans="4:9">
      <c r="D35" s="167" t="s">
        <v>455</v>
      </c>
      <c r="E35" t="s">
        <v>481</v>
      </c>
      <c r="F35" s="97"/>
      <c r="G35" s="97"/>
      <c r="H35" s="97"/>
      <c r="I35" s="97"/>
    </row>
    <row r="36" spans="4:9">
      <c r="D36" s="167" t="s">
        <v>734</v>
      </c>
      <c r="E36" t="s">
        <v>735</v>
      </c>
    </row>
  </sheetData>
  <pageMargins left="0.7" right="0.7" top="0.75" bottom="0.75" header="0.3" footer="0.3"/>
  <pageSetup paperSize="9" orientation="portrait" horizontalDpi="0" verticalDpi="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432A4-7455-7141-A98F-F651255C71A1}">
  <sheetPr codeName="Sheet3">
    <tabColor rgb="FFCAB68E"/>
  </sheetPr>
  <dimension ref="A2:N85"/>
  <sheetViews>
    <sheetView showGridLines="0" topLeftCell="A56" zoomScaleNormal="100" workbookViewId="0"/>
  </sheetViews>
  <sheetFormatPr baseColWidth="10" defaultColWidth="11" defaultRowHeight="16"/>
  <cols>
    <col min="1" max="1" width="6.5" style="103" customWidth="1"/>
    <col min="2" max="2" width="13" customWidth="1"/>
    <col min="3" max="3" width="11.5" bestFit="1" customWidth="1"/>
    <col min="4" max="4" width="12.6640625" bestFit="1" customWidth="1"/>
    <col min="7" max="7" width="11.5" bestFit="1" customWidth="1"/>
    <col min="8" max="8" width="12" customWidth="1"/>
    <col min="9" max="9" width="67" customWidth="1"/>
    <col min="10" max="13" width="11" customWidth="1"/>
  </cols>
  <sheetData>
    <row r="2" spans="1:14" ht="22" thickBot="1">
      <c r="B2" s="102" t="s">
        <v>155</v>
      </c>
      <c r="C2" s="86"/>
      <c r="D2" s="86"/>
      <c r="E2" s="86"/>
      <c r="F2" s="86"/>
      <c r="G2" s="189"/>
      <c r="H2" s="86"/>
      <c r="I2" s="86"/>
    </row>
    <row r="3" spans="1:14">
      <c r="I3" s="103">
        <v>1</v>
      </c>
    </row>
    <row r="6" spans="1:14">
      <c r="B6" s="4" t="s">
        <v>16</v>
      </c>
      <c r="C6" s="218" t="s">
        <v>17</v>
      </c>
      <c r="D6" s="218" t="s">
        <v>11</v>
      </c>
      <c r="E6" s="218" t="s">
        <v>277</v>
      </c>
      <c r="F6" s="218" t="s">
        <v>278</v>
      </c>
      <c r="G6" s="218" t="s">
        <v>156</v>
      </c>
      <c r="H6" s="105" t="s">
        <v>157</v>
      </c>
      <c r="I6" s="4" t="s">
        <v>18</v>
      </c>
    </row>
    <row r="7" spans="1:14">
      <c r="B7" s="4"/>
      <c r="C7" s="262"/>
      <c r="D7" s="4"/>
      <c r="E7" s="4"/>
      <c r="F7" s="4"/>
      <c r="G7" s="4"/>
      <c r="H7" s="105"/>
      <c r="I7" s="4"/>
    </row>
    <row r="8" spans="1:14">
      <c r="B8" s="6" t="s">
        <v>170</v>
      </c>
      <c r="H8" s="106"/>
    </row>
    <row r="9" spans="1:14">
      <c r="A9" s="191" t="str">
        <f>IF($I$3&lt;&gt;1,E9,B9)</f>
        <v>baseISI</v>
      </c>
      <c r="B9" t="s">
        <v>19</v>
      </c>
      <c r="C9" s="3">
        <f>IF($I$3&lt;&gt;1,G9,D9)</f>
        <v>19.211849999999998</v>
      </c>
      <c r="D9" s="3">
        <f>'Model | ISI analysis (live)'!E10</f>
        <v>19.211849999999998</v>
      </c>
      <c r="E9" s="3">
        <f>'Model | ISI analysis (live)'!F10/SQRT('Model | ISI analysis (live)'!D10)</f>
        <v>0.16759834618869815</v>
      </c>
      <c r="F9" s="3"/>
      <c r="G9" s="3">
        <f ca="1">_xlfn.NORM.INV(RAND(),D9,E9)</f>
        <v>19.39437470312998</v>
      </c>
      <c r="H9" s="107" t="s">
        <v>20</v>
      </c>
      <c r="I9" t="s">
        <v>32</v>
      </c>
    </row>
    <row r="10" spans="1:14">
      <c r="A10" s="191"/>
      <c r="B10" s="4"/>
      <c r="C10" s="3"/>
      <c r="D10" s="3"/>
      <c r="E10" s="3"/>
      <c r="F10" s="3"/>
      <c r="G10" s="3"/>
      <c r="H10" s="107"/>
    </row>
    <row r="11" spans="1:14">
      <c r="A11" s="191"/>
      <c r="B11" s="6" t="s">
        <v>172</v>
      </c>
      <c r="C11" s="3"/>
      <c r="D11" s="3"/>
      <c r="E11" s="3"/>
      <c r="F11" s="3"/>
      <c r="G11" s="3"/>
      <c r="H11" s="107"/>
    </row>
    <row r="12" spans="1:14">
      <c r="A12" s="191" t="str">
        <f>IF($I$3&lt;&gt;1,E12,B12)</f>
        <v>consM1</v>
      </c>
      <c r="B12" t="s">
        <v>174</v>
      </c>
      <c r="C12" s="3">
        <f>IF($I$3&lt;&gt;1,G12,D12)</f>
        <v>3.9408129999999999</v>
      </c>
      <c r="D12" s="3">
        <f>'Model | ISI analysis (live)'!D23</f>
        <v>3.9408129999999999</v>
      </c>
      <c r="E12" s="3">
        <f>'Model | ISI analysis (live)'!E23</f>
        <v>1.049544</v>
      </c>
      <c r="F12" s="3"/>
      <c r="G12" s="3">
        <f ca="1">'Model | ISI analysis (live)'!O35</f>
        <v>4.65767347332815</v>
      </c>
      <c r="H12" s="106" t="s">
        <v>22</v>
      </c>
      <c r="I12" t="s">
        <v>199</v>
      </c>
      <c r="K12" s="6"/>
      <c r="L12" s="3"/>
      <c r="M12" s="3"/>
      <c r="N12" s="3"/>
    </row>
    <row r="13" spans="1:14">
      <c r="A13" s="191" t="str">
        <f>IF($I$3&lt;&gt;1,E13,B13)</f>
        <v>baseISIadjM1</v>
      </c>
      <c r="B13" t="s">
        <v>175</v>
      </c>
      <c r="C13" s="3">
        <f>IF($I$3&lt;&gt;1,G13,D13)</f>
        <v>0.62698149999999997</v>
      </c>
      <c r="D13" s="3">
        <f>'Model | ISI analysis (live)'!D21</f>
        <v>0.62698149999999997</v>
      </c>
      <c r="E13" s="3">
        <f>'Model | ISI analysis (live)'!E21</f>
        <v>5.2469000000000002E-2</v>
      </c>
      <c r="F13" s="3"/>
      <c r="G13" s="3">
        <f ca="1">'Model | ISI analysis (live)'!O33</f>
        <v>0.59275673175284482</v>
      </c>
      <c r="H13" s="106" t="s">
        <v>22</v>
      </c>
      <c r="I13" t="s">
        <v>200</v>
      </c>
      <c r="L13" s="3"/>
      <c r="M13" s="3"/>
      <c r="N13" s="3"/>
    </row>
    <row r="14" spans="1:14">
      <c r="A14" s="191" t="str">
        <f>IF($I$3&lt;&gt;1,E14,B14)</f>
        <v>D50mgM1</v>
      </c>
      <c r="B14" t="s">
        <v>176</v>
      </c>
      <c r="C14" s="3">
        <f>IF($I$3&lt;&gt;1,G14,D14)</f>
        <v>-1.696636</v>
      </c>
      <c r="D14" s="3">
        <f>'Model | ISI analysis (live)'!D22</f>
        <v>-1.696636</v>
      </c>
      <c r="E14" s="3">
        <f>'Model | ISI analysis (live)'!E22</f>
        <v>0.41470659999999998</v>
      </c>
      <c r="F14" s="3"/>
      <c r="G14" s="3">
        <f ca="1">'Model | ISI analysis (live)'!O34</f>
        <v>-2.3917662584602781</v>
      </c>
      <c r="H14" s="106" t="s">
        <v>22</v>
      </c>
      <c r="I14" t="s">
        <v>201</v>
      </c>
      <c r="L14" s="3"/>
      <c r="M14" s="3"/>
      <c r="N14" s="3"/>
    </row>
    <row r="15" spans="1:14">
      <c r="A15" s="191"/>
      <c r="B15" s="4"/>
      <c r="C15" s="3"/>
      <c r="D15" s="3"/>
      <c r="E15" s="3"/>
      <c r="F15" s="3"/>
      <c r="G15" s="3"/>
      <c r="H15" s="106"/>
      <c r="L15" s="3"/>
      <c r="M15" s="3"/>
      <c r="N15" s="3"/>
    </row>
    <row r="16" spans="1:14">
      <c r="A16" s="191"/>
      <c r="B16" s="6" t="s">
        <v>173</v>
      </c>
      <c r="C16" s="3"/>
      <c r="D16" s="3"/>
      <c r="E16" s="3"/>
      <c r="F16" s="3"/>
      <c r="G16" s="3"/>
      <c r="H16" s="107"/>
      <c r="K16" s="4"/>
      <c r="L16" s="3"/>
      <c r="M16" s="3"/>
      <c r="N16" s="3"/>
    </row>
    <row r="17" spans="1:14">
      <c r="A17" s="191" t="str">
        <f>IF($I$3&lt;&gt;1,E17,B17)</f>
        <v>cons</v>
      </c>
      <c r="B17" t="s">
        <v>23</v>
      </c>
      <c r="C17" s="3">
        <f>IF($I$3&lt;&gt;1,G17,D17)</f>
        <v>3.7666650000000002</v>
      </c>
      <c r="D17" s="3">
        <f>'Model | ISI analysis (live)'!D27</f>
        <v>3.7666650000000002</v>
      </c>
      <c r="E17" s="3">
        <f>'Model | ISI analysis (live)'!E27</f>
        <v>1.2408699999999999</v>
      </c>
      <c r="F17" s="3"/>
      <c r="G17" s="3">
        <f ca="1">'Model | ISI analysis (live)'!O38</f>
        <v>4.5915908507418566</v>
      </c>
      <c r="H17" s="106" t="s">
        <v>22</v>
      </c>
      <c r="I17" t="s">
        <v>298</v>
      </c>
      <c r="K17" s="6"/>
      <c r="L17" s="3"/>
      <c r="M17" s="3"/>
      <c r="N17" s="3"/>
    </row>
    <row r="18" spans="1:14">
      <c r="A18" s="191" t="str">
        <f t="shared" ref="A18:C24" si="0">IF($I$3&lt;&gt;1,E18,B18)</f>
        <v>baseISIadj</v>
      </c>
      <c r="B18" t="s">
        <v>21</v>
      </c>
      <c r="C18" s="3">
        <f t="shared" si="0"/>
        <v>0.52666550000000001</v>
      </c>
      <c r="D18" s="3">
        <f>'Model | ISI analysis (live)'!D25</f>
        <v>0.52666550000000001</v>
      </c>
      <c r="E18" s="3">
        <f>'Model | ISI analysis (live)'!E25</f>
        <v>6.20338E-2</v>
      </c>
      <c r="F18" s="3"/>
      <c r="G18" s="3">
        <f ca="1">'Model | ISI analysis (live)'!O36</f>
        <v>0.50351357213425507</v>
      </c>
      <c r="H18" s="106" t="s">
        <v>22</v>
      </c>
      <c r="I18" t="s">
        <v>299</v>
      </c>
      <c r="L18" s="3"/>
      <c r="M18" s="3"/>
      <c r="N18" s="3"/>
    </row>
    <row r="19" spans="1:14">
      <c r="A19" s="191" t="str">
        <f t="shared" si="0"/>
        <v>D50mg</v>
      </c>
      <c r="B19" t="s">
        <v>6</v>
      </c>
      <c r="C19" s="3">
        <f t="shared" si="0"/>
        <v>-1.981649</v>
      </c>
      <c r="D19" s="3">
        <f>'Model | ISI analysis (live)'!D26</f>
        <v>-1.981649</v>
      </c>
      <c r="E19" s="3">
        <f>'Model | ISI analysis (live)'!E26</f>
        <v>0.49030489999999999</v>
      </c>
      <c r="F19" s="3"/>
      <c r="G19" s="3">
        <f ca="1">'Model | ISI analysis (live)'!O37</f>
        <v>-2.773805152406486</v>
      </c>
      <c r="H19" s="106" t="s">
        <v>22</v>
      </c>
      <c r="I19" t="s">
        <v>300</v>
      </c>
      <c r="L19" s="3"/>
      <c r="M19" s="3"/>
      <c r="N19" s="3"/>
    </row>
    <row r="20" spans="1:14">
      <c r="A20" s="191"/>
      <c r="B20" s="4"/>
      <c r="C20" s="3"/>
      <c r="D20" s="3"/>
      <c r="E20" s="3"/>
      <c r="F20" s="3"/>
      <c r="G20" s="3"/>
      <c r="H20" s="106"/>
      <c r="L20" s="3"/>
      <c r="M20" s="3"/>
      <c r="N20" s="3"/>
    </row>
    <row r="21" spans="1:14">
      <c r="A21" s="191"/>
      <c r="B21" s="6" t="s">
        <v>171</v>
      </c>
      <c r="C21" s="3"/>
      <c r="D21" s="3"/>
      <c r="E21" s="3"/>
      <c r="F21" s="3"/>
      <c r="G21" s="3"/>
      <c r="H21" s="106"/>
    </row>
    <row r="22" spans="1:14">
      <c r="A22" s="191" t="str">
        <f t="shared" si="0"/>
        <v>303ISI6m</v>
      </c>
      <c r="B22" t="s">
        <v>202</v>
      </c>
      <c r="C22" s="3">
        <f t="shared" si="0"/>
        <v>-0.60323458617499881</v>
      </c>
      <c r="D22" s="3">
        <f>'Model | ISI analysis (live)'!D46</f>
        <v>-0.60323458617499881</v>
      </c>
      <c r="E22" s="3">
        <f>'Model | ISI analysis (live)'!E46</f>
        <v>0.72025909306681013</v>
      </c>
      <c r="F22" s="3"/>
      <c r="G22" s="3">
        <f t="shared" ref="G22:G27" ca="1" si="1">_xlfn.NORM.INV(RAND(),D22,E22)</f>
        <v>-0.60296931381209762</v>
      </c>
      <c r="H22" s="106" t="s">
        <v>20</v>
      </c>
      <c r="I22" t="s">
        <v>344</v>
      </c>
    </row>
    <row r="23" spans="1:14">
      <c r="A23" s="191" t="str">
        <f t="shared" si="0"/>
        <v>303ISI9m</v>
      </c>
      <c r="B23" t="s">
        <v>203</v>
      </c>
      <c r="C23" s="3">
        <f t="shared" si="0"/>
        <v>-1.2032345861750002</v>
      </c>
      <c r="D23" s="3">
        <f>'Model | ISI analysis (live)'!D47</f>
        <v>-1.2032345861750002</v>
      </c>
      <c r="E23" s="3">
        <f>'Model | ISI analysis (live)'!E47</f>
        <v>0.75660645192117137</v>
      </c>
      <c r="F23" s="3"/>
      <c r="G23" s="3">
        <f t="shared" ca="1" si="1"/>
        <v>-0.85689527729252102</v>
      </c>
      <c r="H23" s="106" t="s">
        <v>20</v>
      </c>
      <c r="I23" t="s">
        <v>345</v>
      </c>
    </row>
    <row r="24" spans="1:14">
      <c r="A24" s="191" t="str">
        <f t="shared" si="0"/>
        <v>303ISI12m</v>
      </c>
      <c r="B24" t="s">
        <v>204</v>
      </c>
      <c r="C24" s="3">
        <f t="shared" si="0"/>
        <v>-1.7032345861750002</v>
      </c>
      <c r="D24" s="3">
        <f>'Model | ISI analysis (live)'!D48</f>
        <v>-1.7032345861750002</v>
      </c>
      <c r="E24" s="3">
        <f>'Model | ISI analysis (live)'!E48</f>
        <v>0.7703382264972215</v>
      </c>
      <c r="F24" s="3"/>
      <c r="G24" s="3">
        <f t="shared" ca="1" si="1"/>
        <v>-1.8886407848965081</v>
      </c>
      <c r="H24" s="106" t="s">
        <v>20</v>
      </c>
      <c r="I24" t="s">
        <v>346</v>
      </c>
    </row>
    <row r="25" spans="1:14">
      <c r="A25" s="191" t="str">
        <f t="shared" ref="A25:C27" si="2">IF($I$3&lt;&gt;1,E25,B25)</f>
        <v>303ISI6mPLA</v>
      </c>
      <c r="B25" t="s">
        <v>340</v>
      </c>
      <c r="C25" s="3">
        <f t="shared" si="2"/>
        <v>0</v>
      </c>
      <c r="D25" s="3">
        <v>0</v>
      </c>
      <c r="E25" s="3">
        <v>1.0000000000000001E-5</v>
      </c>
      <c r="F25" s="3"/>
      <c r="G25" s="3">
        <f ca="1">_xlfn.NORM.INV(RAND(),D25,E25)</f>
        <v>-8.105380203212971E-6</v>
      </c>
      <c r="H25" s="106" t="s">
        <v>20</v>
      </c>
      <c r="I25" t="s">
        <v>347</v>
      </c>
    </row>
    <row r="26" spans="1:14">
      <c r="A26" s="191" t="str">
        <f t="shared" si="2"/>
        <v>303ISI9mPLA</v>
      </c>
      <c r="B26" t="s">
        <v>341</v>
      </c>
      <c r="C26" s="3">
        <f t="shared" si="2"/>
        <v>0</v>
      </c>
      <c r="D26" s="3">
        <v>0</v>
      </c>
      <c r="E26" s="3">
        <v>9.9999999999999995E-7</v>
      </c>
      <c r="F26" s="3"/>
      <c r="G26" s="3">
        <f t="shared" ca="1" si="1"/>
        <v>1.6070112747533714E-7</v>
      </c>
      <c r="H26" s="106" t="s">
        <v>20</v>
      </c>
      <c r="I26" t="s">
        <v>348</v>
      </c>
    </row>
    <row r="27" spans="1:14">
      <c r="A27" s="191" t="str">
        <f t="shared" si="2"/>
        <v>303ISI12mPLA</v>
      </c>
      <c r="B27" t="s">
        <v>342</v>
      </c>
      <c r="C27" s="3">
        <f t="shared" si="2"/>
        <v>0</v>
      </c>
      <c r="D27" s="3">
        <v>0</v>
      </c>
      <c r="E27" s="3">
        <v>9.9999999999999995E-7</v>
      </c>
      <c r="F27" s="3"/>
      <c r="G27" s="3">
        <f t="shared" ca="1" si="1"/>
        <v>-5.6661112937919689E-7</v>
      </c>
      <c r="H27" s="106" t="s">
        <v>20</v>
      </c>
      <c r="I27" t="s">
        <v>349</v>
      </c>
    </row>
    <row r="28" spans="1:14">
      <c r="A28" s="191"/>
      <c r="C28" s="3"/>
      <c r="D28" s="3"/>
      <c r="E28" s="3"/>
      <c r="F28" s="3"/>
      <c r="G28" s="3"/>
      <c r="H28" s="106"/>
    </row>
    <row r="29" spans="1:14">
      <c r="A29" s="191"/>
      <c r="B29" s="6" t="s">
        <v>206</v>
      </c>
      <c r="C29" s="3"/>
      <c r="D29" s="3"/>
      <c r="E29" s="3"/>
      <c r="F29" s="3"/>
      <c r="G29" s="3"/>
      <c r="H29" s="106"/>
    </row>
    <row r="30" spans="1:14">
      <c r="A30" s="191" t="str">
        <f>IF($I$3&lt;&gt;1,E30,B30)</f>
        <v>dom1</v>
      </c>
      <c r="B30" t="s">
        <v>207</v>
      </c>
      <c r="C30" s="3">
        <f>IF($I$3&lt;&gt;1,G30,D30)</f>
        <v>3.5483870967741936E-2</v>
      </c>
      <c r="D30" s="3">
        <f>E30/SUM(E30:F30)</f>
        <v>3.5483870967741936E-2</v>
      </c>
      <c r="E30" s="14">
        <v>11</v>
      </c>
      <c r="F30" s="14">
        <v>299</v>
      </c>
      <c r="G30" s="3">
        <f ca="1">BETAINV(RAND(),E30,F30)</f>
        <v>3.1021702023495086E-2</v>
      </c>
      <c r="H30" s="106" t="s">
        <v>278</v>
      </c>
      <c r="I30" t="s">
        <v>308</v>
      </c>
      <c r="J30" s="1"/>
      <c r="K30" s="1"/>
      <c r="L30" s="1"/>
      <c r="M30" s="1"/>
    </row>
    <row r="31" spans="1:14">
      <c r="A31" s="191" t="str">
        <f>IF($I$3&lt;&gt;1,E31,B31)</f>
        <v>dom3</v>
      </c>
      <c r="B31" t="s">
        <v>208</v>
      </c>
      <c r="C31" s="3">
        <f>IF($I$3&lt;&gt;1,G31,D31)</f>
        <v>5.3511705685618728E-2</v>
      </c>
      <c r="D31" s="3">
        <f>E31/SUM(E31:F31)</f>
        <v>5.3511705685618728E-2</v>
      </c>
      <c r="E31" s="14">
        <v>16</v>
      </c>
      <c r="F31" s="14">
        <v>283</v>
      </c>
      <c r="G31" s="3">
        <f ca="1">BETAINV(RAND(),E31,F31)</f>
        <v>7.6650003034260172E-2</v>
      </c>
      <c r="H31" s="106" t="s">
        <v>278</v>
      </c>
      <c r="I31" t="s">
        <v>309</v>
      </c>
      <c r="J31" s="1"/>
      <c r="K31" s="1"/>
      <c r="L31" s="1"/>
      <c r="M31" s="1"/>
    </row>
    <row r="32" spans="1:14">
      <c r="A32" s="191" t="str">
        <f>IF($I$3&lt;&gt;1,E32,B32)</f>
        <v>dom6</v>
      </c>
      <c r="B32" t="s">
        <v>209</v>
      </c>
      <c r="C32" s="3">
        <f>IF($I$3&lt;&gt;1,G32,D32)</f>
        <v>0.24087591240875914</v>
      </c>
      <c r="D32" s="3">
        <f>E32/SUM(E32:F32)</f>
        <v>0.24087591240875914</v>
      </c>
      <c r="E32" s="14">
        <v>33</v>
      </c>
      <c r="F32" s="14">
        <v>104</v>
      </c>
      <c r="G32" s="3">
        <f ca="1">BETAINV(RAND(),E32,F32)</f>
        <v>0.22936421809957189</v>
      </c>
      <c r="H32" s="106" t="s">
        <v>278</v>
      </c>
      <c r="I32" t="s">
        <v>310</v>
      </c>
      <c r="J32" s="1"/>
      <c r="K32" s="1"/>
      <c r="L32" s="1"/>
      <c r="M32" s="1"/>
    </row>
    <row r="33" spans="1:14">
      <c r="A33" s="191" t="str">
        <f>IF($I$3&lt;&gt;1,E33,B33)</f>
        <v>dom9</v>
      </c>
      <c r="B33" t="s">
        <v>210</v>
      </c>
      <c r="C33" s="3">
        <f>IF($I$3&lt;&gt;1,G33,D33)</f>
        <v>8.6538461538461536E-2</v>
      </c>
      <c r="D33" s="3">
        <f>E33/SUM(E33:F33)</f>
        <v>8.6538461538461536E-2</v>
      </c>
      <c r="E33" s="14">
        <v>9</v>
      </c>
      <c r="F33" s="14">
        <v>95</v>
      </c>
      <c r="G33" s="3">
        <f ca="1">BETAINV(RAND(),E33,F33)</f>
        <v>7.2769130684066846E-2</v>
      </c>
      <c r="H33" s="106" t="s">
        <v>278</v>
      </c>
      <c r="I33" t="s">
        <v>311</v>
      </c>
      <c r="J33" s="1"/>
      <c r="K33" s="1"/>
      <c r="L33" s="1"/>
      <c r="M33" s="1"/>
    </row>
    <row r="34" spans="1:14">
      <c r="A34" s="191" t="str">
        <f>IF($I$3&lt;&gt;1,E34,B34)</f>
        <v>dom12</v>
      </c>
      <c r="B34" t="s">
        <v>211</v>
      </c>
      <c r="C34" s="3">
        <f>IF($I$3&lt;&gt;1,G34,D34)</f>
        <v>0.12631578947368421</v>
      </c>
      <c r="D34" s="3">
        <f>E34/SUM(E34:F34)</f>
        <v>0.12631578947368421</v>
      </c>
      <c r="E34" s="14">
        <v>12</v>
      </c>
      <c r="F34" s="14">
        <v>83</v>
      </c>
      <c r="G34" s="3">
        <f ca="1">BETAINV(RAND(),E34,F34)</f>
        <v>0.1025738605184206</v>
      </c>
      <c r="H34" s="106" t="s">
        <v>278</v>
      </c>
      <c r="I34" t="s">
        <v>312</v>
      </c>
      <c r="J34" s="1"/>
      <c r="K34" s="1"/>
      <c r="L34" s="1"/>
      <c r="M34" s="1"/>
    </row>
    <row r="35" spans="1:14">
      <c r="A35" s="191"/>
      <c r="C35" s="3"/>
      <c r="D35" s="3"/>
      <c r="E35" s="3"/>
      <c r="F35" s="3"/>
      <c r="G35" s="3"/>
      <c r="H35" s="106"/>
    </row>
    <row r="36" spans="1:14">
      <c r="A36" s="191"/>
      <c r="B36" s="6" t="s">
        <v>219</v>
      </c>
      <c r="C36" s="3"/>
      <c r="D36" s="3"/>
      <c r="E36" s="3"/>
      <c r="F36" s="3"/>
      <c r="G36" s="3"/>
      <c r="H36" s="106"/>
    </row>
    <row r="37" spans="1:14">
      <c r="A37" s="186" t="str">
        <f>IF($I$3&lt;&gt;1,E37,B37)</f>
        <v>consU</v>
      </c>
      <c r="B37" t="s">
        <v>160</v>
      </c>
      <c r="C37" s="1">
        <f>IF($I$3&lt;&gt;1,G37,D37)</f>
        <v>-1.8523132944929142</v>
      </c>
      <c r="D37" s="1">
        <f>'Ref | NHWS utility'!C5</f>
        <v>-1.8523132944929142</v>
      </c>
      <c r="E37" s="1">
        <f>'Ref | NHWS utility'!D10</f>
        <v>2.3675490694469101E-2</v>
      </c>
      <c r="G37" s="3">
        <f ca="1">'Ref | NHWS utility'!D5</f>
        <v>-1.8250721596276924</v>
      </c>
      <c r="H37" s="106" t="s">
        <v>22</v>
      </c>
      <c r="I37" t="s">
        <v>367</v>
      </c>
      <c r="J37" s="1"/>
      <c r="K37" s="1"/>
      <c r="L37" s="1"/>
      <c r="M37" s="1"/>
      <c r="N37" s="91"/>
    </row>
    <row r="38" spans="1:14">
      <c r="A38" s="186" t="str">
        <f>IF($I$3&lt;&gt;1,E38,B38)</f>
        <v>ISItotU</v>
      </c>
      <c r="B38" t="s">
        <v>161</v>
      </c>
      <c r="C38" s="1">
        <f>IF($I$3&lt;&gt;1,G38,D38)</f>
        <v>4.6917080727557237E-2</v>
      </c>
      <c r="D38" s="1">
        <f>'Ref | NHWS utility'!C6</f>
        <v>4.6917080727557237E-2</v>
      </c>
      <c r="E38" s="1">
        <f>SQRT('Ref | NHWS utility'!D22^2+'Ref | NHWS utility'!D26^2)</f>
        <v>1.8255287973671947E-2</v>
      </c>
      <c r="G38" s="3">
        <f ca="1">'Ref | NHWS utility'!D6</f>
        <v>4.5855864752868888E-2</v>
      </c>
      <c r="H38" s="106" t="s">
        <v>22</v>
      </c>
      <c r="I38" t="s">
        <v>368</v>
      </c>
      <c r="J38" s="1"/>
      <c r="K38" s="1"/>
      <c r="L38" s="1"/>
      <c r="M38" s="1"/>
      <c r="N38" s="91"/>
    </row>
    <row r="39" spans="1:14">
      <c r="A39" s="186"/>
      <c r="C39" s="1"/>
      <c r="D39" s="1"/>
      <c r="G39" s="3"/>
      <c r="H39" s="106"/>
      <c r="J39" s="91"/>
      <c r="L39" s="3"/>
      <c r="N39" s="91"/>
    </row>
    <row r="40" spans="1:14">
      <c r="A40" s="186"/>
      <c r="B40" s="6" t="s">
        <v>220</v>
      </c>
      <c r="C40" s="1"/>
      <c r="D40" s="1"/>
      <c r="G40" s="3"/>
      <c r="H40" s="106"/>
      <c r="J40" s="91"/>
      <c r="L40" s="3"/>
      <c r="N40" s="91"/>
    </row>
    <row r="41" spans="1:14">
      <c r="A41" s="192">
        <v>1.4</v>
      </c>
      <c r="B41" t="s">
        <v>223</v>
      </c>
      <c r="C41" s="109">
        <v>1.4</v>
      </c>
      <c r="D41" s="1">
        <v>1.4</v>
      </c>
      <c r="G41" s="3"/>
      <c r="H41" s="106" t="s">
        <v>313</v>
      </c>
      <c r="I41" t="s">
        <v>224</v>
      </c>
      <c r="J41" s="91"/>
      <c r="L41" s="3"/>
      <c r="N41" s="91"/>
    </row>
    <row r="42" spans="1:14">
      <c r="A42" s="191" t="str">
        <f t="shared" ref="A42:A47" si="3">IF($I$3&lt;&gt;1,E42,B42)</f>
        <v>consGP</v>
      </c>
      <c r="B42" t="s">
        <v>141</v>
      </c>
      <c r="C42" s="3">
        <f t="shared" ref="C42:C47" si="4">IF($I$3&lt;&gt;1,G42,D42)</f>
        <v>1.8773962272333042</v>
      </c>
      <c r="D42" s="1">
        <f>'Ref | NHWS RU'!I9</f>
        <v>1.8773962272333042</v>
      </c>
      <c r="E42" s="1">
        <f>'Ref | NHWS RU'!D190</f>
        <v>0.2006</v>
      </c>
      <c r="F42" s="1"/>
      <c r="G42" s="1">
        <f ca="1">'Ref | NHWS RU'!I17</f>
        <v>2.0529844818179717</v>
      </c>
      <c r="H42" s="106" t="s">
        <v>22</v>
      </c>
      <c r="I42" s="108" t="s">
        <v>438</v>
      </c>
      <c r="J42" s="1"/>
      <c r="K42" s="1"/>
      <c r="L42" s="1"/>
      <c r="M42" s="1"/>
    </row>
    <row r="43" spans="1:14">
      <c r="A43" s="191" t="str">
        <f t="shared" si="3"/>
        <v>ISItotGP</v>
      </c>
      <c r="B43" t="s">
        <v>142</v>
      </c>
      <c r="C43" s="3">
        <f t="shared" si="4"/>
        <v>1.6E-2</v>
      </c>
      <c r="D43" s="1">
        <f>'Ref | NHWS RU'!I10</f>
        <v>1.6E-2</v>
      </c>
      <c r="E43" s="1">
        <f>'Ref | NHWS RU'!D191</f>
        <v>4.7999999999999996E-3</v>
      </c>
      <c r="F43" s="1"/>
      <c r="G43" s="1">
        <f ca="1">'Ref | NHWS RU'!I18</f>
        <v>6.2046118235758833E-3</v>
      </c>
      <c r="H43" s="106" t="s">
        <v>22</v>
      </c>
      <c r="I43" s="108" t="s">
        <v>439</v>
      </c>
      <c r="J43" s="1"/>
      <c r="K43" s="1"/>
      <c r="L43" s="1"/>
      <c r="M43" s="1"/>
    </row>
    <row r="44" spans="1:14">
      <c r="A44" s="191" t="str">
        <f t="shared" si="3"/>
        <v>consER</v>
      </c>
      <c r="B44" t="s">
        <v>143</v>
      </c>
      <c r="C44" s="3">
        <f t="shared" si="4"/>
        <v>-1.1779039895923655</v>
      </c>
      <c r="D44" s="1">
        <v>-1.1779039895923655</v>
      </c>
      <c r="E44" s="1">
        <f>'Ref | NHWS RU'!D161</f>
        <v>0.54400000000000004</v>
      </c>
      <c r="F44" s="1"/>
      <c r="G44" s="1">
        <f ca="1">'Ref | NHWS RU'!H17</f>
        <v>-1.2725433932635353</v>
      </c>
      <c r="H44" s="106" t="s">
        <v>22</v>
      </c>
      <c r="I44" s="108" t="s">
        <v>440</v>
      </c>
      <c r="J44" s="1"/>
      <c r="K44" s="1"/>
      <c r="L44" s="1"/>
      <c r="M44" s="1"/>
    </row>
    <row r="45" spans="1:14">
      <c r="A45" s="191" t="str">
        <f t="shared" si="3"/>
        <v>ISItotER</v>
      </c>
      <c r="B45" t="s">
        <v>144</v>
      </c>
      <c r="C45" s="3">
        <f t="shared" si="4"/>
        <v>3.2000000000000001E-2</v>
      </c>
      <c r="D45" s="1">
        <v>3.2000000000000001E-2</v>
      </c>
      <c r="E45" s="1">
        <f>'Ref | NHWS RU'!D162</f>
        <v>1.3100000000000001E-2</v>
      </c>
      <c r="F45" s="1"/>
      <c r="G45" s="1">
        <f ca="1">'Ref | NHWS RU'!H18</f>
        <v>4.7830414755011083E-2</v>
      </c>
      <c r="H45" s="106" t="s">
        <v>22</v>
      </c>
      <c r="I45" s="108" t="s">
        <v>441</v>
      </c>
      <c r="J45" s="1"/>
      <c r="K45" s="1"/>
      <c r="L45" s="1"/>
      <c r="M45" s="1"/>
    </row>
    <row r="46" spans="1:14">
      <c r="A46" s="191" t="str">
        <f t="shared" si="3"/>
        <v>consIP</v>
      </c>
      <c r="B46" t="s">
        <v>145</v>
      </c>
      <c r="C46" s="3">
        <f t="shared" si="4"/>
        <v>-1.8005504005374346</v>
      </c>
      <c r="D46" s="1">
        <f>'Ref | NHWS RU'!G9</f>
        <v>-1.8005504005374346</v>
      </c>
      <c r="E46" s="1">
        <f>'Ref | NHWS RU'!D132</f>
        <v>0.65847648049321572</v>
      </c>
      <c r="F46" s="1"/>
      <c r="G46" s="1">
        <f ca="1">'Ref | NHWS RU'!G17</f>
        <v>-1.6437509179350769</v>
      </c>
      <c r="H46" s="106" t="s">
        <v>22</v>
      </c>
      <c r="I46" s="108" t="s">
        <v>442</v>
      </c>
      <c r="J46" s="1"/>
      <c r="K46" s="1"/>
      <c r="L46" s="1"/>
      <c r="M46" s="1"/>
    </row>
    <row r="47" spans="1:14">
      <c r="A47" s="191" t="str">
        <f t="shared" si="3"/>
        <v>ISItotIP</v>
      </c>
      <c r="B47" t="s">
        <v>146</v>
      </c>
      <c r="C47" s="3">
        <f t="shared" si="4"/>
        <v>1.7226593642652988E-2</v>
      </c>
      <c r="D47" s="1">
        <f>'Ref | NHWS RU'!G10</f>
        <v>1.7226593642652988E-2</v>
      </c>
      <c r="E47" s="1">
        <f>'Ref | NHWS RU'!D133</f>
        <v>1.5933391329358726E-2</v>
      </c>
      <c r="F47" s="1"/>
      <c r="G47" s="1">
        <f ca="1">'Ref | NHWS RU'!G18</f>
        <v>1.8529407756391347E-2</v>
      </c>
      <c r="H47" s="106" t="s">
        <v>22</v>
      </c>
      <c r="I47" s="108" t="s">
        <v>443</v>
      </c>
      <c r="J47" s="1"/>
      <c r="K47" s="1"/>
      <c r="L47" s="1"/>
      <c r="M47" s="1"/>
    </row>
    <row r="48" spans="1:14">
      <c r="A48" s="192" t="str">
        <f t="shared" ref="A48:C53" si="5">IF($I$3&lt;&gt;1,E48,B48)</f>
        <v>ucGP</v>
      </c>
      <c r="B48" t="s">
        <v>151</v>
      </c>
      <c r="C48" s="109">
        <f t="shared" si="5"/>
        <v>39.229999999999997</v>
      </c>
      <c r="D48" s="110">
        <v>39.229999999999997</v>
      </c>
      <c r="E48" s="14">
        <v>4</v>
      </c>
      <c r="F48" s="1"/>
      <c r="G48" s="110">
        <f ca="1">_xlfn.NORM.INV(RAND(),D48,E48)</f>
        <v>43.388429890391329</v>
      </c>
      <c r="H48" s="106" t="s">
        <v>20</v>
      </c>
      <c r="I48" s="108" t="s">
        <v>437</v>
      </c>
      <c r="J48" s="9"/>
      <c r="K48" s="1"/>
      <c r="L48" s="9"/>
      <c r="M48" s="9"/>
    </row>
    <row r="49" spans="1:13">
      <c r="A49" s="192" t="str">
        <f t="shared" si="5"/>
        <v>ucER</v>
      </c>
      <c r="B49" t="s">
        <v>152</v>
      </c>
      <c r="C49" s="109">
        <f t="shared" si="5"/>
        <v>184.62</v>
      </c>
      <c r="D49" s="110">
        <v>184.62</v>
      </c>
      <c r="E49" s="14">
        <f>E48/D48*D49</f>
        <v>18.824369105276578</v>
      </c>
      <c r="F49" s="1"/>
      <c r="G49" s="110">
        <f ca="1">_xlfn.NORM.INV(RAND(),D49,E49)</f>
        <v>171.32130730385387</v>
      </c>
      <c r="H49" s="106" t="s">
        <v>20</v>
      </c>
      <c r="I49" s="108" t="s">
        <v>435</v>
      </c>
      <c r="J49" s="9"/>
      <c r="K49" s="1"/>
      <c r="L49" s="9"/>
      <c r="M49" s="9"/>
    </row>
    <row r="50" spans="1:13">
      <c r="A50" s="192" t="str">
        <f t="shared" si="5"/>
        <v>ucIP</v>
      </c>
      <c r="B50" t="s">
        <v>153</v>
      </c>
      <c r="C50" s="109">
        <f t="shared" si="5"/>
        <v>996.29</v>
      </c>
      <c r="D50" s="110">
        <v>996.29</v>
      </c>
      <c r="E50" s="14">
        <f>E49/D49*D50</f>
        <v>101.58450165689524</v>
      </c>
      <c r="F50" s="1"/>
      <c r="G50" s="110">
        <f ca="1">_xlfn.NORM.INV(RAND(),D50,E50)</f>
        <v>1038.4297841742359</v>
      </c>
      <c r="H50" s="106" t="s">
        <v>20</v>
      </c>
      <c r="I50" s="108" t="s">
        <v>436</v>
      </c>
      <c r="J50" s="9"/>
      <c r="K50" s="1"/>
      <c r="L50" s="9"/>
      <c r="M50" s="9"/>
    </row>
    <row r="51" spans="1:13" s="236" customFormat="1">
      <c r="A51" s="263" t="str">
        <f t="shared" si="5"/>
        <v>perTot</v>
      </c>
      <c r="B51" s="236" t="s">
        <v>647</v>
      </c>
      <c r="C51" s="149">
        <f t="shared" si="5"/>
        <v>0.72</v>
      </c>
      <c r="D51" s="237">
        <v>0.72</v>
      </c>
      <c r="E51" s="238">
        <v>72</v>
      </c>
      <c r="F51" s="238">
        <v>28</v>
      </c>
      <c r="G51" s="239">
        <f ca="1">BETAINV(RAND(),E51,F51)</f>
        <v>0.74368717949497454</v>
      </c>
      <c r="H51" s="240" t="s">
        <v>278</v>
      </c>
      <c r="I51" s="236" t="s">
        <v>648</v>
      </c>
      <c r="J51" s="241"/>
      <c r="K51" s="242"/>
      <c r="L51" s="241"/>
      <c r="M51" s="241"/>
    </row>
    <row r="52" spans="1:13" s="236" customFormat="1">
      <c r="A52" s="14">
        <v>2</v>
      </c>
      <c r="B52" t="s">
        <v>737</v>
      </c>
      <c r="C52" s="3">
        <f t="shared" si="5"/>
        <v>0</v>
      </c>
      <c r="D52" s="14">
        <v>0</v>
      </c>
      <c r="E52" s="14">
        <v>2</v>
      </c>
      <c r="F52" s="14">
        <v>1</v>
      </c>
      <c r="G52" s="3">
        <f ca="1">GAMMAINV(RAND(),E52,F52)</f>
        <v>0.41621595238120757</v>
      </c>
      <c r="H52" s="106" t="s">
        <v>738</v>
      </c>
      <c r="I52" t="s">
        <v>739</v>
      </c>
      <c r="J52" s="241"/>
      <c r="K52" s="242"/>
      <c r="L52" s="241"/>
      <c r="M52" s="241"/>
    </row>
    <row r="53" spans="1:13" s="236" customFormat="1">
      <c r="A53" s="14">
        <f>12*4</f>
        <v>48</v>
      </c>
      <c r="B53" t="s">
        <v>740</v>
      </c>
      <c r="C53" s="3">
        <f t="shared" si="5"/>
        <v>1000000</v>
      </c>
      <c r="D53" s="14">
        <v>1000000</v>
      </c>
      <c r="E53" s="14">
        <v>48</v>
      </c>
      <c r="F53" s="14">
        <v>1</v>
      </c>
      <c r="G53" s="3">
        <f ca="1">GAMMAINV(RAND(),E53,F53)</f>
        <v>31.885986297340359</v>
      </c>
      <c r="H53" s="106" t="s">
        <v>738</v>
      </c>
      <c r="I53" t="s">
        <v>741</v>
      </c>
      <c r="J53" s="241"/>
      <c r="K53" s="242"/>
      <c r="L53" s="241"/>
      <c r="M53" s="241"/>
    </row>
    <row r="54" spans="1:13" s="91" customFormat="1">
      <c r="A54" s="192"/>
      <c r="C54" s="109"/>
      <c r="D54" s="226"/>
      <c r="E54" s="226"/>
      <c r="F54" s="226"/>
      <c r="G54" s="182"/>
      <c r="H54" s="227"/>
      <c r="J54" s="228"/>
      <c r="K54" s="229"/>
      <c r="L54" s="228"/>
      <c r="M54" s="228"/>
    </row>
    <row r="55" spans="1:13" s="236" customFormat="1">
      <c r="A55" s="192"/>
      <c r="B55" s="6" t="s">
        <v>718</v>
      </c>
      <c r="C55" s="109"/>
      <c r="D55" s="238"/>
      <c r="E55" s="238"/>
      <c r="F55" s="238"/>
      <c r="G55" s="239"/>
      <c r="H55" s="240"/>
      <c r="J55" s="241"/>
      <c r="K55" s="242"/>
      <c r="L55" s="241"/>
      <c r="M55" s="241"/>
    </row>
    <row r="56" spans="1:13" s="236" customFormat="1">
      <c r="A56" s="264" t="str">
        <f>IF($I$3&lt;&gt;1,E56,B56)</f>
        <v>cAE</v>
      </c>
      <c r="B56" s="236" t="s">
        <v>719</v>
      </c>
      <c r="C56" s="181">
        <f>IF($I$3&lt;&gt;1,G56,D56)</f>
        <v>6.2121820881454024</v>
      </c>
      <c r="D56" s="243">
        <f>'Ref | AEs'!U39+'Ref | AEs'!U59</f>
        <v>6.2121820881454024</v>
      </c>
      <c r="E56" s="239">
        <f>D56/2</f>
        <v>3.1060910440727012</v>
      </c>
      <c r="F56" s="238"/>
      <c r="G56" s="235">
        <f ca="1">_xlfn.NORM.INV(RAND(),D56,E56)</f>
        <v>5.3510568958347795</v>
      </c>
      <c r="H56" s="240" t="s">
        <v>20</v>
      </c>
      <c r="I56" s="236" t="s">
        <v>721</v>
      </c>
      <c r="J56" s="241"/>
      <c r="K56" s="242"/>
      <c r="L56" s="241"/>
      <c r="M56" s="241"/>
    </row>
    <row r="57" spans="1:13" s="236" customFormat="1">
      <c r="A57" s="265" t="str">
        <f>IF($I$3&lt;&gt;1,E57,B57)</f>
        <v>qAE</v>
      </c>
      <c r="B57" s="236" t="s">
        <v>720</v>
      </c>
      <c r="C57" s="165">
        <f>IF($I$3&lt;&gt;1,G57,D57)</f>
        <v>-4.5897611720093531E-4</v>
      </c>
      <c r="D57" s="244">
        <f>-'Ref | AEs'!O39-'Ref | AEs'!O59</f>
        <v>-4.5897611720093531E-4</v>
      </c>
      <c r="E57" s="245">
        <f>-D57/2</f>
        <v>2.2948805860046765E-4</v>
      </c>
      <c r="F57" s="238"/>
      <c r="G57" s="245">
        <f ca="1">_xlfn.NORM.INV(RAND(),D57,E57)</f>
        <v>-7.0470434903603511E-4</v>
      </c>
      <c r="H57" s="240" t="s">
        <v>20</v>
      </c>
      <c r="I57" s="236" t="s">
        <v>722</v>
      </c>
      <c r="J57" s="241"/>
      <c r="K57" s="242"/>
      <c r="L57" s="241"/>
      <c r="M57" s="241"/>
    </row>
    <row r="58" spans="1:13">
      <c r="C58" s="3"/>
      <c r="D58" s="165"/>
      <c r="E58" s="245"/>
      <c r="F58" s="1"/>
      <c r="G58" s="1"/>
      <c r="I58" s="108"/>
      <c r="J58" s="91"/>
    </row>
    <row r="59" spans="1:13">
      <c r="A59" s="103" t="str">
        <f>IF($I$3&lt;&gt;1,E59,B59)</f>
        <v>Productivity losses</v>
      </c>
      <c r="B59" s="6" t="s">
        <v>221</v>
      </c>
      <c r="C59" s="3"/>
      <c r="D59" s="1"/>
      <c r="E59" s="1"/>
      <c r="F59" s="1"/>
      <c r="G59" s="1"/>
      <c r="H59" s="106"/>
      <c r="I59" s="108"/>
      <c r="J59" s="91"/>
    </row>
    <row r="60" spans="1:13">
      <c r="A60" s="103" t="str">
        <f t="shared" ref="A60:C65" si="6">IF($I$3&lt;&gt;1,E60,B60)</f>
        <v>consAbsent</v>
      </c>
      <c r="B60" t="s">
        <v>147</v>
      </c>
      <c r="C60" s="3">
        <f t="shared" si="6"/>
        <v>1.8102792043399631</v>
      </c>
      <c r="D60" s="1">
        <f>'Ref | NHWS RU'!C9</f>
        <v>1.8102792043399631</v>
      </c>
      <c r="E60" s="1"/>
      <c r="F60" s="1"/>
      <c r="G60" s="1">
        <f ca="1">'Ref | NHWS RU'!C17</f>
        <v>1.4820586454062732</v>
      </c>
      <c r="H60" s="106" t="s">
        <v>22</v>
      </c>
      <c r="I60" s="108" t="s">
        <v>166</v>
      </c>
    </row>
    <row r="61" spans="1:13">
      <c r="A61" s="103" t="str">
        <f t="shared" si="6"/>
        <v>ISItotAbsent</v>
      </c>
      <c r="B61" t="s">
        <v>148</v>
      </c>
      <c r="C61" s="3">
        <f t="shared" si="6"/>
        <v>7.3999999999999996E-2</v>
      </c>
      <c r="D61" s="1">
        <f>'Ref | NHWS RU'!C10</f>
        <v>7.3999999999999996E-2</v>
      </c>
      <c r="E61" s="1"/>
      <c r="F61" s="1"/>
      <c r="G61" s="1">
        <f ca="1">'Ref | NHWS RU'!C18</f>
        <v>8.7260536923993617E-2</v>
      </c>
      <c r="H61" s="106" t="s">
        <v>22</v>
      </c>
      <c r="I61" s="108" t="s">
        <v>167</v>
      </c>
    </row>
    <row r="62" spans="1:13">
      <c r="A62" s="103" t="str">
        <f t="shared" si="6"/>
        <v>consPresent</v>
      </c>
      <c r="B62" t="s">
        <v>149</v>
      </c>
      <c r="C62" s="3">
        <f t="shared" si="6"/>
        <v>2.9866734177215188</v>
      </c>
      <c r="D62" s="1">
        <f>'Ref | NHWS RU'!D9</f>
        <v>2.9866734177215188</v>
      </c>
      <c r="E62" s="1"/>
      <c r="F62" s="1"/>
      <c r="G62" s="1">
        <f ca="1">'Ref | NHWS RU'!D17</f>
        <v>3.2769219797041433</v>
      </c>
      <c r="H62" s="106" t="s">
        <v>22</v>
      </c>
      <c r="I62" s="108" t="s">
        <v>168</v>
      </c>
    </row>
    <row r="63" spans="1:13">
      <c r="A63" s="103" t="str">
        <f t="shared" si="6"/>
        <v>ISItotPresent</v>
      </c>
      <c r="B63" t="s">
        <v>150</v>
      </c>
      <c r="C63" s="3">
        <f t="shared" si="6"/>
        <v>4.3999999999999997E-2</v>
      </c>
      <c r="D63" s="1">
        <f>'Ref | NHWS RU'!D10</f>
        <v>4.3999999999999997E-2</v>
      </c>
      <c r="E63" s="1"/>
      <c r="F63" s="1"/>
      <c r="G63" s="1">
        <f ca="1">'Ref | NHWS RU'!D18</f>
        <v>2.7185532173842019E-2</v>
      </c>
      <c r="H63" s="106" t="s">
        <v>22</v>
      </c>
      <c r="I63" s="108" t="s">
        <v>169</v>
      </c>
    </row>
    <row r="64" spans="1:13">
      <c r="A64" s="103" t="str">
        <f t="shared" si="6"/>
        <v>annualWR</v>
      </c>
      <c r="B64" t="s">
        <v>154</v>
      </c>
      <c r="C64" s="110">
        <f t="shared" si="6"/>
        <v>25971</v>
      </c>
      <c r="D64" s="110">
        <v>25971</v>
      </c>
      <c r="G64" s="110">
        <f>D64</f>
        <v>25971</v>
      </c>
      <c r="H64" s="106" t="s">
        <v>313</v>
      </c>
      <c r="I64" t="s">
        <v>434</v>
      </c>
      <c r="J64" s="91"/>
    </row>
    <row r="65" spans="1:10">
      <c r="A65" s="103" t="str">
        <f t="shared" si="6"/>
        <v>hourlyWR</v>
      </c>
      <c r="B65" t="s">
        <v>408</v>
      </c>
      <c r="C65" s="109">
        <f t="shared" si="6"/>
        <v>13.579607843137255</v>
      </c>
      <c r="D65" s="109">
        <f>G64/255/7.5</f>
        <v>13.579607843137255</v>
      </c>
      <c r="G65" s="109">
        <f>D65</f>
        <v>13.579607843137255</v>
      </c>
      <c r="H65" s="106" t="s">
        <v>313</v>
      </c>
      <c r="I65" s="108" t="s">
        <v>433</v>
      </c>
      <c r="J65" s="91"/>
    </row>
    <row r="67" spans="1:10">
      <c r="B67" s="6" t="s">
        <v>263</v>
      </c>
    </row>
    <row r="68" spans="1:10">
      <c r="A68" s="103" t="str">
        <f>IF($I$3&lt;&gt;1,E68,B68)</f>
        <v>doRate</v>
      </c>
      <c r="B68" t="s">
        <v>268</v>
      </c>
      <c r="C68" s="149">
        <v>0.05</v>
      </c>
      <c r="D68" s="12">
        <v>0.05</v>
      </c>
      <c r="G68" s="11">
        <f ca="1">BETAINV(RAND(),D68*20,(1-D68)*20)</f>
        <v>4.5992809729982098E-2</v>
      </c>
      <c r="H68" s="106" t="s">
        <v>278</v>
      </c>
      <c r="I68" t="s">
        <v>269</v>
      </c>
    </row>
    <row r="69" spans="1:10">
      <c r="B69" t="s">
        <v>646</v>
      </c>
      <c r="C69" s="149">
        <v>0</v>
      </c>
      <c r="D69" s="12">
        <v>0.1</v>
      </c>
      <c r="G69" s="11">
        <f ca="1">BETAINV(RAND(),D69*20,(1-D69)*20)</f>
        <v>2.8516848466080533E-2</v>
      </c>
      <c r="H69" s="106" t="s">
        <v>278</v>
      </c>
      <c r="I69" t="s">
        <v>728</v>
      </c>
    </row>
    <row r="70" spans="1:10">
      <c r="A70" s="103" t="e">
        <f>EXP(IF($I$3&lt;&gt;1,E70,B70))</f>
        <v>#VALUE!</v>
      </c>
      <c r="B70" t="s">
        <v>282</v>
      </c>
      <c r="C70" s="3">
        <f>EXP(IF($I$3&lt;&gt;1,G70,D70))</f>
        <v>1.01</v>
      </c>
      <c r="D70" s="112">
        <f>LN(1.01)</f>
        <v>9.950330853168092E-3</v>
      </c>
      <c r="E70" s="1">
        <f>LN(1.01)/2</f>
        <v>4.975165426584046E-3</v>
      </c>
      <c r="G70" s="112">
        <f ca="1">_xlfn.NORM.INV(RAND(),D70,E70)</f>
        <v>1.2603437958201154E-2</v>
      </c>
      <c r="H70" s="106" t="s">
        <v>314</v>
      </c>
      <c r="I70" t="s">
        <v>279</v>
      </c>
    </row>
    <row r="71" spans="1:10">
      <c r="A71" s="103" t="e">
        <f>EXP(IF($I$3&lt;&gt;1,E71,B71))</f>
        <v>#VALUE!</v>
      </c>
      <c r="B71" t="s">
        <v>281</v>
      </c>
      <c r="C71" s="3">
        <f>EXP(IF($I$3&lt;&gt;1,G71,D71))</f>
        <v>1.04</v>
      </c>
      <c r="D71" s="112">
        <f>LN(1.04)</f>
        <v>3.9220713153281329E-2</v>
      </c>
      <c r="E71" s="1">
        <f>LN(1.04)/2</f>
        <v>1.9610356576640665E-2</v>
      </c>
      <c r="G71" s="112">
        <f ca="1">_xlfn.NORM.INV(RAND(),D71,E71)</f>
        <v>5.6445463448337188E-2</v>
      </c>
      <c r="H71" s="106" t="s">
        <v>314</v>
      </c>
      <c r="I71" t="s">
        <v>280</v>
      </c>
    </row>
    <row r="72" spans="1:10">
      <c r="A72" s="103" t="str">
        <f t="shared" ref="A72:C80" si="7">IF($I$3&lt;&gt;1,E72,B72)</f>
        <v>NT7plus</v>
      </c>
      <c r="B72" t="s">
        <v>284</v>
      </c>
      <c r="C72" s="149">
        <f t="shared" si="7"/>
        <v>0.1967741935483871</v>
      </c>
      <c r="D72" s="11">
        <f>E72/SUM(E$72:E$74)</f>
        <v>0.1967741935483871</v>
      </c>
      <c r="E72">
        <v>61</v>
      </c>
      <c r="F72" s="14">
        <f t="shared" ref="F72:F77" ca="1" si="8">GAMMAINV(RAND(),E72,1)</f>
        <v>66.395212670468652</v>
      </c>
      <c r="G72" s="11">
        <f ca="1">F72/SUM(F$72:F$74)</f>
        <v>0.22308008458862233</v>
      </c>
      <c r="H72" s="106" t="s">
        <v>283</v>
      </c>
      <c r="I72" t="s">
        <v>290</v>
      </c>
    </row>
    <row r="73" spans="1:10">
      <c r="A73" s="103" t="str">
        <f>IF($I$3&lt;&gt;1,E73,B73)</f>
        <v>NT67</v>
      </c>
      <c r="B73" t="s">
        <v>285</v>
      </c>
      <c r="C73" s="149">
        <f>IF($I$3&lt;&gt;1,G73,D73)</f>
        <v>0.34516129032258064</v>
      </c>
      <c r="D73" s="11">
        <f>E73/SUM(E$72:E$74)</f>
        <v>0.34516129032258064</v>
      </c>
      <c r="E73">
        <v>107</v>
      </c>
      <c r="F73" s="14">
        <f t="shared" ca="1" si="8"/>
        <v>110.97900797386856</v>
      </c>
      <c r="G73" s="11">
        <f ca="1">F73/SUM(F$72:F$74)</f>
        <v>0.37287637904326698</v>
      </c>
      <c r="H73" s="106" t="s">
        <v>283</v>
      </c>
      <c r="I73" t="s">
        <v>291</v>
      </c>
    </row>
    <row r="74" spans="1:10">
      <c r="A74" s="103" t="str">
        <f t="shared" si="7"/>
        <v>NTblw6</v>
      </c>
      <c r="B74" t="s">
        <v>286</v>
      </c>
      <c r="C74" s="149">
        <f t="shared" si="7"/>
        <v>0.45806451612903226</v>
      </c>
      <c r="D74" s="11">
        <f>E74/SUM(E$72:E$74)</f>
        <v>0.45806451612903226</v>
      </c>
      <c r="E74">
        <v>142</v>
      </c>
      <c r="F74" s="14">
        <f t="shared" ca="1" si="8"/>
        <v>120.25527323409118</v>
      </c>
      <c r="G74" s="11">
        <f ca="1">F74/SUM(F$72:F$74)</f>
        <v>0.40404353636811075</v>
      </c>
      <c r="H74" s="106" t="s">
        <v>283</v>
      </c>
      <c r="I74" t="s">
        <v>292</v>
      </c>
    </row>
    <row r="75" spans="1:10">
      <c r="A75" s="103" t="str">
        <f t="shared" si="7"/>
        <v>D7plus</v>
      </c>
      <c r="B75" t="s">
        <v>287</v>
      </c>
      <c r="C75" s="149">
        <f t="shared" si="7"/>
        <v>0.3193548387096774</v>
      </c>
      <c r="D75" s="11">
        <f>E75/SUM(E$75:E$77)</f>
        <v>0.3193548387096774</v>
      </c>
      <c r="E75">
        <v>99</v>
      </c>
      <c r="F75" s="14">
        <f t="shared" ca="1" si="8"/>
        <v>110.40387150897071</v>
      </c>
      <c r="G75" s="11">
        <f ca="1">F75/SUM(F$75:F$77)</f>
        <v>0.34598744204622484</v>
      </c>
      <c r="H75" s="106" t="s">
        <v>283</v>
      </c>
      <c r="I75" t="s">
        <v>293</v>
      </c>
    </row>
    <row r="76" spans="1:10">
      <c r="A76" s="103" t="str">
        <f t="shared" si="7"/>
        <v>D67</v>
      </c>
      <c r="B76" t="s">
        <v>288</v>
      </c>
      <c r="C76" s="149">
        <f t="shared" si="7"/>
        <v>0.33225806451612905</v>
      </c>
      <c r="D76" s="11">
        <f>E76/SUM(E$75:E$77)</f>
        <v>0.33225806451612905</v>
      </c>
      <c r="E76">
        <v>103</v>
      </c>
      <c r="F76" s="14">
        <f t="shared" ca="1" si="8"/>
        <v>110.19637123596054</v>
      </c>
      <c r="G76" s="11">
        <f ca="1">F76/SUM(F$75:F$77)</f>
        <v>0.34533717056840946</v>
      </c>
      <c r="H76" s="106" t="s">
        <v>283</v>
      </c>
      <c r="I76" t="s">
        <v>294</v>
      </c>
    </row>
    <row r="77" spans="1:10">
      <c r="A77" s="103" t="str">
        <f t="shared" si="7"/>
        <v>Dblw6</v>
      </c>
      <c r="B77" t="s">
        <v>289</v>
      </c>
      <c r="C77" s="149">
        <f t="shared" si="7"/>
        <v>0.34838709677419355</v>
      </c>
      <c r="D77" s="11">
        <f>E77/SUM(E$75:E$77)</f>
        <v>0.34838709677419355</v>
      </c>
      <c r="E77">
        <v>108</v>
      </c>
      <c r="F77" s="14">
        <f t="shared" ca="1" si="8"/>
        <v>98.497672647675572</v>
      </c>
      <c r="G77" s="11">
        <f ca="1">F77/SUM(F$75:F$77)</f>
        <v>0.30867538738536576</v>
      </c>
      <c r="H77" s="106" t="s">
        <v>283</v>
      </c>
      <c r="I77" t="s">
        <v>295</v>
      </c>
    </row>
    <row r="78" spans="1:10">
      <c r="A78" s="103" t="str">
        <f t="shared" si="7"/>
        <v>mnAge</v>
      </c>
      <c r="B78" t="s">
        <v>264</v>
      </c>
      <c r="C78" s="188">
        <f t="shared" si="7"/>
        <v>50</v>
      </c>
      <c r="D78">
        <f>G78</f>
        <v>50</v>
      </c>
      <c r="G78">
        <v>50</v>
      </c>
      <c r="H78" s="106" t="s">
        <v>313</v>
      </c>
      <c r="I78" t="s">
        <v>265</v>
      </c>
    </row>
    <row r="79" spans="1:10">
      <c r="A79" s="103" t="str">
        <f t="shared" si="7"/>
        <v>cDR</v>
      </c>
      <c r="B79" t="s">
        <v>266</v>
      </c>
      <c r="C79" s="187">
        <f t="shared" si="7"/>
        <v>3.5000000000000003E-2</v>
      </c>
      <c r="D79">
        <f>G79</f>
        <v>3.5000000000000003E-2</v>
      </c>
      <c r="G79" s="148">
        <v>3.5000000000000003E-2</v>
      </c>
      <c r="H79" s="106" t="s">
        <v>313</v>
      </c>
      <c r="I79" t="s">
        <v>270</v>
      </c>
    </row>
    <row r="80" spans="1:10">
      <c r="A80" s="103" t="str">
        <f t="shared" si="7"/>
        <v>oDR</v>
      </c>
      <c r="B80" t="s">
        <v>267</v>
      </c>
      <c r="C80" s="187">
        <f t="shared" si="7"/>
        <v>3.5000000000000003E-2</v>
      </c>
      <c r="D80">
        <f>G80</f>
        <v>3.5000000000000003E-2</v>
      </c>
      <c r="G80" s="148">
        <v>3.5000000000000003E-2</v>
      </c>
      <c r="H80" s="106" t="s">
        <v>313</v>
      </c>
      <c r="I80" t="s">
        <v>271</v>
      </c>
    </row>
    <row r="85" spans="2:3">
      <c r="B85" s="103" t="s">
        <v>429</v>
      </c>
      <c r="C85" s="212"/>
    </row>
  </sheetData>
  <scenarios current="0" show="0" sqref="C85">
    <scenario name="ISI probabilistic set up"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32"/>
      <inputCells r="C46" val="-1.80055040053743"/>
      <inputCells r="C47" val="0.017226593642653"/>
      <inputCells r="C48" val="30"/>
      <inputCells r="C49" val="60"/>
      <inputCells r="C50" val="1000"/>
    </scenario>
    <scenario name="drop-out low" locked="1" count="16" user="Microsoft Office User" comment="Created by Microsoft Office User on 23/06/2022">
      <inputCells r="C30" val="0.015"/>
      <inputCells r="C31" val="0.028"/>
      <inputCells r="C32" val="0.17"/>
      <inputCells r="C33" val="0.033"/>
      <inputCells r="C34" val="0.06"/>
      <inputCells r="C37" val="-1.84868418575069"/>
      <inputCells r="C38" val="0.0468055689766526"/>
      <inputCells r="C42" val="1.8773962272333"/>
      <inputCells r="C43" val="0.016"/>
      <inputCells r="C44" val="-1.17790398959237"/>
      <inputCells r="C45" val="0.032"/>
      <inputCells r="C46" val="-1.80055040053743"/>
      <inputCells r="C47" val="0.017226593642653"/>
      <inputCells r="C48" val="39.23"/>
      <inputCells r="C49" val="184.62"/>
      <inputCells r="C50" val="996.29"/>
    </scenario>
    <scenario name="drop-out high" locked="1" count="16" user="Microsoft Office User" comment="Created by Microsoft Office User on 23/06/2022">
      <inputCells r="C30" val="0.056"/>
      <inputCells r="C31" val="0.079"/>
      <inputCells r="C32" val="0.312"/>
      <inputCells r="C33" val="0.14"/>
      <inputCells r="C34" val="0.193"/>
      <inputCells r="C37" val="-1.84868418575069"/>
      <inputCells r="C38" val="0.0468055689766526"/>
      <inputCells r="C42" val="1.8773962272333"/>
      <inputCells r="C43" val="0.016"/>
      <inputCells r="C44" val="-1.17790398959237"/>
      <inputCells r="C45" val="0.032"/>
      <inputCells r="C46" val="-1.80055040053743"/>
      <inputCells r="C47" val="0.017226593642653"/>
      <inputCells r="C48" val="39.23"/>
      <inputCells r="C49" val="184.62"/>
      <inputCells r="C50" val="996.29"/>
    </scenario>
    <scenario name="consU low"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95"/>
      <inputCells r="C38" val="0.0468055689766526"/>
      <inputCells r="C42" val="1.8773962272333"/>
      <inputCells r="C43" val="0.016"/>
      <inputCells r="C44" val="-1.17790398959237"/>
      <inputCells r="C45" val="0.032"/>
      <inputCells r="C46" val="-1.80055040053743"/>
      <inputCells r="C47" val="0.017226593642653"/>
      <inputCells r="C48" val="39.23"/>
      <inputCells r="C49" val="184.62"/>
      <inputCells r="C50" val="996.29"/>
    </scenario>
    <scenario name="consU high"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03"/>
      <inputCells r="C38" val="0.0468055689766526"/>
      <inputCells r="C42" val="1.8773962272333"/>
      <inputCells r="C43" val="0.016"/>
      <inputCells r="C44" val="-1.17790398959237"/>
      <inputCells r="C45" val="0.032"/>
      <inputCells r="C46" val="-1.80055040053743"/>
      <inputCells r="C47" val="0.017226593642653"/>
      <inputCells r="C48" val="39.23"/>
      <inputCells r="C49" val="184.62"/>
      <inputCells r="C50" val="996.29"/>
    </scenario>
    <scenario name="ISItotU low"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17"/>
      <inputCells r="C42" val="1.8773962272333"/>
      <inputCells r="C43" val="0.016"/>
      <inputCells r="C44" val="-1.17790398959237"/>
      <inputCells r="C45" val="0.032"/>
      <inputCells r="C46" val="-1.80055040053743"/>
      <inputCells r="C47" val="0.017226593642653"/>
      <inputCells r="C48" val="39.23"/>
      <inputCells r="C49" val="184.62"/>
      <inputCells r="C50" val="996.29"/>
    </scenario>
    <scenario name="ISItotU high"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77"/>
      <inputCells r="C42" val="1.8773962272333"/>
      <inputCells r="C43" val="0.016"/>
      <inputCells r="C44" val="-1.17790398959237"/>
      <inputCells r="C45" val="0.032"/>
      <inputCells r="C46" val="-1.80055040053743"/>
      <inputCells r="C47" val="0.017226593642653"/>
      <inputCells r="C48" val="39.23"/>
      <inputCells r="C49" val="184.62"/>
      <inputCells r="C50" val="996.29"/>
    </scenario>
    <scenario name="consGP low"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484"/>
      <inputCells r="C43" val="0.016"/>
      <inputCells r="C44" val="-1.17790398959237"/>
      <inputCells r="C45" val="0.032"/>
      <inputCells r="C46" val="-1.80055040053743"/>
      <inputCells r="C47" val="0.017226593642653"/>
      <inputCells r="C48" val="39.23"/>
      <inputCells r="C49" val="184.62"/>
      <inputCells r="C50" val="996.29"/>
    </scenario>
    <scenario name="consGP high"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2.271"/>
      <inputCells r="C43" val="0.016"/>
      <inputCells r="C44" val="-1.17790398959237"/>
      <inputCells r="C45" val="0.032"/>
      <inputCells r="C46" val="-1.80055040053743"/>
      <inputCells r="C47" val="0.017226593642653"/>
      <inputCells r="C48" val="39.23"/>
      <inputCells r="C49" val="184.62"/>
      <inputCells r="C50" val="996.29"/>
    </scenario>
    <scenario name="ISItotGP low"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07"/>
      <inputCells r="C44" val="-1.17790398959237"/>
      <inputCells r="C45" val="0.032"/>
      <inputCells r="C46" val="-1.80055040053743"/>
      <inputCells r="C47" val="0.017226593642653"/>
      <inputCells r="C48" val="39.23"/>
      <inputCells r="C49" val="184.62"/>
      <inputCells r="C50" val="996.29"/>
    </scenario>
    <scenario name="ISItotGP high"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25"/>
      <inputCells r="C44" val="-1.17790398959237"/>
      <inputCells r="C45" val="0.032"/>
      <inputCells r="C46" val="-1.80055040053743"/>
      <inputCells r="C47" val="0.017226593642653"/>
      <inputCells r="C48" val="39.23"/>
      <inputCells r="C49" val="184.62"/>
      <inputCells r="C50" val="996.29"/>
    </scenario>
    <scenario name="consER low"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2.244"/>
      <inputCells r="C45" val="0.032"/>
      <inputCells r="C46" val="-1.80055040053743"/>
      <inputCells r="C47" val="0.017226593642653"/>
      <inputCells r="C48" val="39.23"/>
      <inputCells r="C49" val="184.62"/>
      <inputCells r="C50" val="996.29"/>
    </scenario>
    <scenario name="consER high"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0.112"/>
      <inputCells r="C45" val="0.032"/>
      <inputCells r="C46" val="-1.80055040053743"/>
      <inputCells r="C47" val="0.017226593642653"/>
      <inputCells r="C48" val="39.23"/>
      <inputCells r="C49" val="184.62"/>
      <inputCells r="C50" val="996.29"/>
    </scenario>
    <scenario name="ISItotER low"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06"/>
      <inputCells r="C46" val="-1.80055040053743"/>
      <inputCells r="C47" val="0.017226593642653"/>
      <inputCells r="C48" val="39.23"/>
      <inputCells r="C49" val="184.62"/>
      <inputCells r="C50" val="996.29"/>
    </scenario>
    <scenario name="ISItotER high"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58"/>
      <inputCells r="C46" val="-1.80055040053743"/>
      <inputCells r="C47" val="0.017226593642653"/>
      <inputCells r="C48" val="39.23"/>
      <inputCells r="C49" val="184.62"/>
      <inputCells r="C50" val="996.29"/>
    </scenario>
    <scenario name="consIP low" locked="1" count="16" user="Microsoft Office User" comment="Created by Microsoft Office User on 23/06/2022_x000a_Modifi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32"/>
      <inputCells r="C46" val="-3.091"/>
      <inputCells r="C47" val="0.017226593642653"/>
      <inputCells r="C48" val="39.23"/>
      <inputCells r="C49" val="184.62"/>
      <inputCells r="C50" val="996.29"/>
    </scenario>
    <scenario name="consIP high" locked="1" count="16" user="Microsoft Office User" comment="Created by Microsoft Office User on 23/06/2022_x000a_Modifi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32"/>
      <inputCells r="C46" val="-0.51"/>
      <inputCells r="C47" val="0.017226593642653"/>
      <inputCells r="C48" val="39.23"/>
      <inputCells r="C49" val="184.62"/>
      <inputCells r="C50" val="996.29"/>
    </scenario>
    <scenario name="ISItotIP low"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32"/>
      <inputCells r="C46" val="-1.80055040053743"/>
      <inputCells r="C47" val="-0.014"/>
      <inputCells r="C48" val="39.23"/>
      <inputCells r="C49" val="184.62"/>
      <inputCells r="C50" val="996.29"/>
    </scenario>
    <scenario name="ISItotIP high" locked="1" count="16" user="Microsoft Office User" comment="Created by Microsoft Office User on 23/06/2022_x000a_Modified by Microsoft Office User on 23/06/2022">
      <inputCells r="C30" val="0.035483871"/>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32"/>
      <inputCells r="C46" val="-1.80055040053743"/>
      <inputCells r="C47" val="0.048"/>
      <inputCells r="C48" val="39.23"/>
      <inputCells r="C49" val="184.62"/>
      <inputCells r="C50" val="996.29"/>
    </scenario>
    <scenario name="ucGP low"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32"/>
      <inputCells r="C46" val="-1.80055040053743"/>
      <inputCells r="C47" val="0.017226593642653"/>
      <inputCells r="C48" val="31"/>
      <inputCells r="C49" val="184.62"/>
      <inputCells r="C50" val="996.29"/>
    </scenario>
    <scenario name="ucGP high"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32"/>
      <inputCells r="C46" val="-1.80055040053743"/>
      <inputCells r="C47" val="0.017226593642653"/>
      <inputCells r="C48" val="47"/>
      <inputCells r="C49" val="184.62"/>
      <inputCells r="C50" val="996.29"/>
    </scenario>
    <scenario name="ucER low"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32"/>
      <inputCells r="C46" val="-1.80055040053743"/>
      <inputCells r="C47" val="0.017226593642653"/>
      <inputCells r="C48" val="39.23"/>
      <inputCells r="C49" val="148"/>
      <inputCells r="C50" val="996.29"/>
    </scenario>
    <scenario name="ucER high" locked="1" count="16" user="Microsoft Office User" comment="Created by Microsoft Office User on 23/06/2022_x000a_Modified by Microsoft Office User on 23/06/2022">
      <inputCells r="C30" val="0.035483871"/>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32"/>
      <inputCells r="C46" val="-1.80055040053743"/>
      <inputCells r="C47" val="0.017226593642653"/>
      <inputCells r="C48" val="39.23"/>
      <inputCells r="C49" val="222"/>
      <inputCells r="C50" val="996.29"/>
    </scenario>
    <scenario name="ucIP low"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32"/>
      <inputCells r="C46" val="-1.80055040053743"/>
      <inputCells r="C47" val="0.017226593642653"/>
      <inputCells r="C48" val="39.23"/>
      <inputCells r="C49" val="184.62"/>
      <inputCells r="C50" val="796"/>
    </scenario>
    <scenario name="ucIP high" locked="1" count="16" user="Microsoft Office User" comment="Created by Microsoft Office User on 23/06/2022">
      <inputCells r="C30" val="0.0354838709677419"/>
      <inputCells r="C31" val="0.0535117056856187"/>
      <inputCells r="C32" val="0.240875912408759"/>
      <inputCells r="C33" val="0.0865384615384615"/>
      <inputCells r="C34" val="0.126315789473684"/>
      <inputCells r="C37" val="-1.84868418575069"/>
      <inputCells r="C38" val="0.0468055689766526"/>
      <inputCells r="C42" val="1.8773962272333"/>
      <inputCells r="C43" val="0.016"/>
      <inputCells r="C44" val="-1.17790398959237"/>
      <inputCells r="C45" val="0.032"/>
      <inputCells r="C46" val="-1.80055040053743"/>
      <inputCells r="C47" val="0.017226593642653"/>
      <inputCells r="C48" val="39.23"/>
      <inputCells r="C49" val="184.62"/>
      <inputCells r="C50" val="1195"/>
    </scenario>
  </scenarios>
  <phoneticPr fontId="3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Option Button 4">
              <controlPr defaultSize="0" autoFill="0" autoLine="0" autoPict="0">
                <anchor moveWithCells="1">
                  <from>
                    <xdr:col>1</xdr:col>
                    <xdr:colOff>292100</xdr:colOff>
                    <xdr:row>2</xdr:row>
                    <xdr:rowOff>114300</xdr:rowOff>
                  </from>
                  <to>
                    <xdr:col>4</xdr:col>
                    <xdr:colOff>596900</xdr:colOff>
                    <xdr:row>4</xdr:row>
                    <xdr:rowOff>114300</xdr:rowOff>
                  </to>
                </anchor>
              </controlPr>
            </control>
          </mc:Choice>
        </mc:AlternateContent>
        <mc:AlternateContent xmlns:mc="http://schemas.openxmlformats.org/markup-compatibility/2006">
          <mc:Choice Requires="x14">
            <control shapeId="6149" r:id="rId5" name="Option Button 5">
              <controlPr defaultSize="0" autoFill="0" autoLine="0" autoPict="0">
                <anchor moveWithCells="1">
                  <from>
                    <xdr:col>4</xdr:col>
                    <xdr:colOff>749300</xdr:colOff>
                    <xdr:row>2</xdr:row>
                    <xdr:rowOff>139700</xdr:rowOff>
                  </from>
                  <to>
                    <xdr:col>8</xdr:col>
                    <xdr:colOff>457200</xdr:colOff>
                    <xdr:row>4</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D7E16-35F1-AA49-83C1-29E7B8ED1ED7}">
  <sheetPr codeName="Sheet2">
    <tabColor rgb="FFCAB68E"/>
  </sheetPr>
  <dimension ref="B2:O48"/>
  <sheetViews>
    <sheetView showGridLines="0" zoomScale="70" zoomScaleNormal="70" workbookViewId="0"/>
  </sheetViews>
  <sheetFormatPr baseColWidth="10" defaultColWidth="11" defaultRowHeight="16"/>
  <cols>
    <col min="2" max="2" width="7" customWidth="1"/>
    <col min="3" max="3" width="23.1640625" customWidth="1"/>
    <col min="4" max="4" width="12.6640625" customWidth="1"/>
    <col min="12" max="14" width="11.1640625" bestFit="1" customWidth="1"/>
  </cols>
  <sheetData>
    <row r="2" spans="2:9" ht="21">
      <c r="B2" s="5" t="s">
        <v>371</v>
      </c>
    </row>
    <row r="3" spans="2:9">
      <c r="C3" s="6" t="s">
        <v>29</v>
      </c>
    </row>
    <row r="5" spans="2:9">
      <c r="C5" s="4" t="s">
        <v>7</v>
      </c>
    </row>
    <row r="7" spans="2:9">
      <c r="C7" s="4" t="s">
        <v>15</v>
      </c>
    </row>
    <row r="9" spans="2:9">
      <c r="C9" s="2" t="s">
        <v>9</v>
      </c>
      <c r="D9" s="2" t="s">
        <v>10</v>
      </c>
      <c r="E9" s="2" t="s">
        <v>11</v>
      </c>
      <c r="F9" s="2" t="s">
        <v>14</v>
      </c>
      <c r="G9" s="2" t="s">
        <v>12</v>
      </c>
      <c r="H9" s="2" t="s">
        <v>13</v>
      </c>
    </row>
    <row r="10" spans="2:9">
      <c r="C10" s="2" t="s">
        <v>5</v>
      </c>
      <c r="D10" s="2">
        <v>557</v>
      </c>
      <c r="E10" s="2">
        <v>19.211849999999998</v>
      </c>
      <c r="F10" s="2">
        <v>3.955463</v>
      </c>
      <c r="G10" s="2">
        <v>7</v>
      </c>
      <c r="H10" s="2">
        <v>28</v>
      </c>
      <c r="I10" s="6"/>
    </row>
    <row r="12" spans="2:9">
      <c r="C12" s="4" t="s">
        <v>712</v>
      </c>
    </row>
    <row r="13" spans="2:9">
      <c r="C13" s="4"/>
    </row>
    <row r="14" spans="2:9">
      <c r="C14" s="2" t="s">
        <v>182</v>
      </c>
      <c r="D14" s="2" t="s">
        <v>10</v>
      </c>
      <c r="E14" s="2" t="s">
        <v>183</v>
      </c>
      <c r="F14" s="2" t="s">
        <v>178</v>
      </c>
      <c r="G14" s="2" t="s">
        <v>184</v>
      </c>
      <c r="H14" s="2" t="s">
        <v>179</v>
      </c>
      <c r="I14" s="2" t="s">
        <v>180</v>
      </c>
    </row>
    <row r="15" spans="2:9">
      <c r="C15" s="2"/>
      <c r="D15" s="2"/>
      <c r="E15" s="2"/>
      <c r="F15" s="2"/>
      <c r="G15" s="2"/>
      <c r="H15" s="2"/>
      <c r="I15" s="2"/>
    </row>
    <row r="16" spans="2:9">
      <c r="C16" s="2" t="s">
        <v>185</v>
      </c>
      <c r="D16" s="2">
        <v>557</v>
      </c>
      <c r="E16" s="2">
        <v>2</v>
      </c>
      <c r="F16" s="2">
        <v>4.8936979999999997</v>
      </c>
      <c r="G16" s="2">
        <v>0.2225</v>
      </c>
      <c r="H16" s="2">
        <v>159.36000000000001</v>
      </c>
      <c r="I16" s="2">
        <v>0</v>
      </c>
    </row>
    <row r="17" spans="3:15">
      <c r="C17" s="2" t="s">
        <v>2</v>
      </c>
      <c r="D17" s="2">
        <v>557</v>
      </c>
      <c r="E17" s="2">
        <v>2</v>
      </c>
      <c r="F17" s="2">
        <v>5.7857880000000002</v>
      </c>
      <c r="G17" s="2">
        <v>0.1368</v>
      </c>
      <c r="H17" s="2">
        <v>88.3</v>
      </c>
      <c r="I17" s="2">
        <v>0</v>
      </c>
    </row>
    <row r="18" spans="3:15">
      <c r="C18" s="2"/>
      <c r="D18" s="2"/>
      <c r="E18" s="2"/>
      <c r="F18" s="2"/>
      <c r="G18" s="2"/>
      <c r="H18" s="2"/>
      <c r="I18" s="2"/>
    </row>
    <row r="19" spans="3:15">
      <c r="C19" s="2"/>
      <c r="D19" s="2" t="s">
        <v>3</v>
      </c>
      <c r="E19" s="2" t="s">
        <v>181</v>
      </c>
      <c r="F19" s="2" t="s">
        <v>24</v>
      </c>
      <c r="G19" s="2" t="s">
        <v>35</v>
      </c>
      <c r="H19" s="2" t="s">
        <v>8</v>
      </c>
      <c r="I19" s="2" t="s">
        <v>4</v>
      </c>
    </row>
    <row r="20" spans="3:15">
      <c r="C20" s="104" t="s">
        <v>185</v>
      </c>
      <c r="D20" s="2"/>
      <c r="E20" s="2"/>
      <c r="F20" s="2"/>
      <c r="G20" s="2"/>
      <c r="H20" s="2"/>
      <c r="I20" s="2"/>
    </row>
    <row r="21" spans="3:15">
      <c r="C21" s="2" t="s">
        <v>5</v>
      </c>
      <c r="D21" s="2">
        <v>0.62698149999999997</v>
      </c>
      <c r="E21" s="2">
        <v>5.2469000000000002E-2</v>
      </c>
      <c r="F21" s="2">
        <v>11.95</v>
      </c>
      <c r="G21" s="2">
        <v>0</v>
      </c>
      <c r="H21" s="2">
        <v>0.5241441</v>
      </c>
      <c r="I21" s="2">
        <v>0.72981890000000005</v>
      </c>
    </row>
    <row r="22" spans="3:15">
      <c r="C22" s="2" t="s">
        <v>6</v>
      </c>
      <c r="D22" s="2">
        <v>-1.696636</v>
      </c>
      <c r="E22" s="2">
        <v>0.41470659999999998</v>
      </c>
      <c r="F22" s="2">
        <v>-4.09</v>
      </c>
      <c r="G22" s="2">
        <v>0</v>
      </c>
      <c r="H22" s="2">
        <v>-2.5094460000000001</v>
      </c>
      <c r="I22" s="2">
        <v>-0.88382590000000005</v>
      </c>
    </row>
    <row r="23" spans="3:15">
      <c r="C23" s="2" t="s">
        <v>0</v>
      </c>
      <c r="D23" s="2">
        <v>3.9408129999999999</v>
      </c>
      <c r="E23" s="2">
        <v>1.049544</v>
      </c>
      <c r="F23" s="2">
        <v>3.75</v>
      </c>
      <c r="G23" s="2">
        <v>0</v>
      </c>
      <c r="H23" s="2">
        <v>1.8837440000000001</v>
      </c>
      <c r="I23" s="2">
        <v>5.9978819999999997</v>
      </c>
    </row>
    <row r="24" spans="3:15">
      <c r="C24" s="104" t="s">
        <v>2</v>
      </c>
      <c r="D24" s="2"/>
      <c r="E24" s="2"/>
      <c r="F24" s="2"/>
      <c r="G24" s="2"/>
      <c r="H24" s="2"/>
      <c r="I24" s="2"/>
    </row>
    <row r="25" spans="3:15">
      <c r="C25" s="2" t="s">
        <v>5</v>
      </c>
      <c r="D25" s="2">
        <v>0.52666550000000001</v>
      </c>
      <c r="E25" s="2">
        <v>6.20338E-2</v>
      </c>
      <c r="F25" s="2">
        <v>8.49</v>
      </c>
      <c r="G25" s="2">
        <v>0</v>
      </c>
      <c r="H25" s="2">
        <v>0.40508149999999998</v>
      </c>
      <c r="I25" s="2">
        <v>0.64824959999999998</v>
      </c>
    </row>
    <row r="26" spans="3:15">
      <c r="C26" s="2" t="s">
        <v>6</v>
      </c>
      <c r="D26" s="2">
        <v>-1.981649</v>
      </c>
      <c r="E26" s="2">
        <v>0.49030489999999999</v>
      </c>
      <c r="F26" s="2">
        <v>-4.04</v>
      </c>
      <c r="G26" s="2">
        <v>0</v>
      </c>
      <c r="H26" s="2">
        <v>-2.9426290000000002</v>
      </c>
      <c r="I26" s="2">
        <v>-1.020669</v>
      </c>
    </row>
    <row r="27" spans="3:15">
      <c r="C27" s="2" t="s">
        <v>0</v>
      </c>
      <c r="D27" s="2">
        <v>3.7666650000000002</v>
      </c>
      <c r="E27" s="2">
        <v>1.2408699999999999</v>
      </c>
      <c r="F27" s="2">
        <v>3.04</v>
      </c>
      <c r="G27" s="2">
        <v>2E-3</v>
      </c>
      <c r="H27" s="2">
        <v>1.334605</v>
      </c>
      <c r="I27" s="2">
        <v>6.1987240000000003</v>
      </c>
    </row>
    <row r="28" spans="3:15">
      <c r="M28" s="4" t="s">
        <v>30</v>
      </c>
    </row>
    <row r="29" spans="3:15">
      <c r="M29" s="6" t="s">
        <v>195</v>
      </c>
    </row>
    <row r="30" spans="3:15">
      <c r="C30" s="4" t="s">
        <v>177</v>
      </c>
      <c r="M30" s="6" t="s">
        <v>31</v>
      </c>
    </row>
    <row r="32" spans="3:15">
      <c r="C32" s="2" t="s">
        <v>186</v>
      </c>
      <c r="D32" s="2"/>
      <c r="E32" s="2"/>
      <c r="F32" s="2"/>
      <c r="G32" s="2"/>
      <c r="H32" s="2"/>
      <c r="I32" s="2"/>
      <c r="M32" s="7" t="s">
        <v>24</v>
      </c>
      <c r="N32" s="7" t="s">
        <v>25</v>
      </c>
      <c r="O32" s="7" t="s">
        <v>26</v>
      </c>
    </row>
    <row r="33" spans="3:15">
      <c r="C33" s="2"/>
      <c r="D33" s="2" t="s">
        <v>187</v>
      </c>
      <c r="E33" s="2" t="s">
        <v>187</v>
      </c>
      <c r="F33" s="2" t="s">
        <v>188</v>
      </c>
      <c r="G33" s="2" t="s">
        <v>188</v>
      </c>
      <c r="H33" s="2" t="s">
        <v>188</v>
      </c>
      <c r="I33" s="2"/>
      <c r="M33" s="8">
        <f t="shared" ref="M33:M38" ca="1" si="0">_xlfn.NORM.INV(RAND(),0,1)</f>
        <v>-0.65228500935323375</v>
      </c>
      <c r="N33" s="8" cm="1">
        <f t="array" aca="1" ref="N33:N38" ca="1">MMULT(D35:I40,M33:M38)</f>
        <v>-3.4224768247155195E-2</v>
      </c>
      <c r="O33" s="8">
        <f ca="1">N33+D21</f>
        <v>0.59275673175284482</v>
      </c>
    </row>
    <row r="34" spans="3:15">
      <c r="C34" s="2"/>
      <c r="D34" s="2" t="s">
        <v>5</v>
      </c>
      <c r="E34" s="2" t="s">
        <v>6</v>
      </c>
      <c r="F34" s="2" t="s">
        <v>0</v>
      </c>
      <c r="G34" s="2" t="s">
        <v>5</v>
      </c>
      <c r="H34" s="2" t="s">
        <v>6</v>
      </c>
      <c r="I34" s="2" t="s">
        <v>0</v>
      </c>
      <c r="M34" s="8">
        <f t="shared" ca="1" si="0"/>
        <v>-1.677322886796665</v>
      </c>
      <c r="N34" s="8">
        <f ca="1"/>
        <v>-0.69513025846027821</v>
      </c>
      <c r="O34" s="8">
        <f ca="1">N34+D22</f>
        <v>-2.3917662584602781</v>
      </c>
    </row>
    <row r="35" spans="3:15">
      <c r="C35" s="2" t="s">
        <v>189</v>
      </c>
      <c r="D35" s="2">
        <v>5.2469040000000002E-2</v>
      </c>
      <c r="E35" s="2">
        <v>0</v>
      </c>
      <c r="F35" s="2">
        <v>0</v>
      </c>
      <c r="G35" s="2">
        <v>0</v>
      </c>
      <c r="H35" s="2">
        <v>0</v>
      </c>
      <c r="I35" s="2">
        <v>0</v>
      </c>
      <c r="M35" s="8">
        <f t="shared" ca="1" si="0"/>
        <v>-1.3930361861182514</v>
      </c>
      <c r="N35" s="8">
        <f ca="1"/>
        <v>0.71686047332815039</v>
      </c>
      <c r="O35" s="8">
        <f ca="1">N35+D23</f>
        <v>4.65767347332815</v>
      </c>
    </row>
    <row r="36" spans="3:15">
      <c r="C36" s="2" t="s">
        <v>190</v>
      </c>
      <c r="D36" s="2">
        <v>-7.1367999999999996E-4</v>
      </c>
      <c r="E36" s="2">
        <v>0.41470594999999999</v>
      </c>
      <c r="F36" s="2">
        <v>0</v>
      </c>
      <c r="G36" s="2">
        <v>0</v>
      </c>
      <c r="H36" s="2">
        <v>0</v>
      </c>
      <c r="I36" s="2">
        <v>0</v>
      </c>
      <c r="M36" s="8">
        <f t="shared" ca="1" si="0"/>
        <v>0.10079917253007536</v>
      </c>
      <c r="N36" s="8">
        <f ca="1"/>
        <v>-2.3151927865744951E-2</v>
      </c>
      <c r="O36" s="8">
        <f ca="1">N36+D25</f>
        <v>0.50351357213425507</v>
      </c>
    </row>
    <row r="37" spans="3:15">
      <c r="C37" s="2" t="s">
        <v>191</v>
      </c>
      <c r="D37" s="2">
        <v>-1.0076697999999999</v>
      </c>
      <c r="E37" s="2">
        <v>-0.20772524000000001</v>
      </c>
      <c r="F37" s="2">
        <v>0.20735264</v>
      </c>
      <c r="G37" s="2">
        <v>0</v>
      </c>
      <c r="H37" s="2">
        <v>0</v>
      </c>
      <c r="I37" s="2">
        <v>0</v>
      </c>
      <c r="M37" s="8">
        <f t="shared" ca="1" si="0"/>
        <v>-0.64176597592335449</v>
      </c>
      <c r="N37" s="8">
        <f ca="1"/>
        <v>-0.79215615240648596</v>
      </c>
      <c r="O37" s="8">
        <f ca="1">N37+D26</f>
        <v>-2.773805152406486</v>
      </c>
    </row>
    <row r="38" spans="3:15">
      <c r="C38" s="2" t="s">
        <v>192</v>
      </c>
      <c r="D38" s="2">
        <v>4.2479540000000003E-2</v>
      </c>
      <c r="E38" s="2">
        <v>-1.3630000000000001E-17</v>
      </c>
      <c r="F38" s="2">
        <v>0</v>
      </c>
      <c r="G38" s="2">
        <v>4.5207110000000002E-2</v>
      </c>
      <c r="H38" s="2">
        <v>0</v>
      </c>
      <c r="I38" s="2">
        <v>0</v>
      </c>
      <c r="M38" s="8">
        <f t="shared" ca="1" si="0"/>
        <v>1.2157646289926451</v>
      </c>
      <c r="N38" s="8">
        <f ca="1"/>
        <v>0.8249258507418562</v>
      </c>
      <c r="O38" s="8">
        <f ca="1">N38+D27</f>
        <v>4.5915908507418566</v>
      </c>
    </row>
    <row r="39" spans="3:15">
      <c r="C39" s="2" t="s">
        <v>193</v>
      </c>
      <c r="D39" s="2">
        <v>-5.7781E-4</v>
      </c>
      <c r="E39" s="2">
        <v>0.33575070000000001</v>
      </c>
      <c r="F39" s="2">
        <v>0</v>
      </c>
      <c r="G39" s="2">
        <v>-6.1490999999999998E-4</v>
      </c>
      <c r="H39" s="2">
        <v>0.35730896000000001</v>
      </c>
      <c r="I39" s="2">
        <v>0</v>
      </c>
    </row>
    <row r="40" spans="3:15">
      <c r="C40" s="2" t="s">
        <v>194</v>
      </c>
      <c r="D40" s="2">
        <v>-0.81582102000000001</v>
      </c>
      <c r="E40" s="2">
        <v>-0.16817673999999999</v>
      </c>
      <c r="F40" s="2">
        <v>0.16787508000000001</v>
      </c>
      <c r="G40" s="2">
        <v>-0.86820417999999999</v>
      </c>
      <c r="H40" s="2">
        <v>-0.17897523000000001</v>
      </c>
      <c r="I40" s="2">
        <v>0.17865418999999999</v>
      </c>
    </row>
    <row r="43" spans="3:15">
      <c r="C43" s="4" t="s">
        <v>307</v>
      </c>
    </row>
    <row r="44" spans="3:15">
      <c r="C44" s="4"/>
    </row>
    <row r="45" spans="3:15">
      <c r="C45" s="2" t="s">
        <v>301</v>
      </c>
      <c r="D45" s="2" t="s">
        <v>306</v>
      </c>
      <c r="E45" s="10" t="s">
        <v>305</v>
      </c>
    </row>
    <row r="46" spans="3:15">
      <c r="C46" s="2" t="s">
        <v>302</v>
      </c>
      <c r="D46" s="152">
        <v>-0.60323458617499881</v>
      </c>
      <c r="E46" s="153">
        <v>0.72025909306681013</v>
      </c>
    </row>
    <row r="47" spans="3:15">
      <c r="C47" s="2" t="s">
        <v>303</v>
      </c>
      <c r="D47" s="152">
        <v>-1.2032345861750002</v>
      </c>
      <c r="E47" s="153">
        <v>0.75660645192117137</v>
      </c>
    </row>
    <row r="48" spans="3:15">
      <c r="C48" s="2" t="s">
        <v>304</v>
      </c>
      <c r="D48" s="152">
        <v>-1.7032345861750002</v>
      </c>
      <c r="E48" s="153">
        <v>0.7703382264972215</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E5AB2-8D7F-1543-BA8F-B3CB1538A1D5}">
  <sheetPr codeName="Sheet7">
    <tabColor rgb="FFCAB68E"/>
  </sheetPr>
  <dimension ref="B2:O108"/>
  <sheetViews>
    <sheetView showGridLines="0" topLeftCell="A76" zoomScale="85" zoomScaleNormal="85" workbookViewId="0">
      <selection activeCell="E66" sqref="E66"/>
    </sheetView>
  </sheetViews>
  <sheetFormatPr baseColWidth="10" defaultColWidth="11" defaultRowHeight="16"/>
  <cols>
    <col min="2" max="2" width="2.6640625" customWidth="1"/>
    <col min="3" max="3" width="22.6640625" customWidth="1"/>
    <col min="4" max="10" width="11.6640625" customWidth="1"/>
    <col min="11" max="12" width="2.6640625" customWidth="1"/>
  </cols>
  <sheetData>
    <row r="2" spans="2:12" ht="21">
      <c r="B2" s="5" t="s">
        <v>196</v>
      </c>
    </row>
    <row r="3" spans="2:12" ht="21">
      <c r="B3" s="5"/>
    </row>
    <row r="4" spans="2:12" ht="21">
      <c r="B4" s="5"/>
    </row>
    <row r="5" spans="2:12" ht="21">
      <c r="B5" s="5"/>
      <c r="J5" s="103">
        <v>1</v>
      </c>
    </row>
    <row r="6" spans="2:12" ht="21">
      <c r="B6" s="5"/>
      <c r="J6" t="s">
        <v>645</v>
      </c>
    </row>
    <row r="7" spans="2:12" ht="21">
      <c r="B7" s="5"/>
    </row>
    <row r="8" spans="2:12" ht="21">
      <c r="B8" s="5"/>
    </row>
    <row r="9" spans="2:12" ht="21">
      <c r="B9" s="5"/>
      <c r="J9">
        <v>0</v>
      </c>
      <c r="L9" t="s">
        <v>742</v>
      </c>
    </row>
    <row r="10" spans="2:12" ht="21">
      <c r="B10" s="5"/>
    </row>
    <row r="11" spans="2:12" ht="20" customHeight="1" thickBot="1">
      <c r="C11" s="183">
        <v>1</v>
      </c>
      <c r="D11">
        <v>0</v>
      </c>
      <c r="E11">
        <v>4</v>
      </c>
      <c r="F11">
        <v>12</v>
      </c>
      <c r="G11">
        <v>26</v>
      </c>
      <c r="H11">
        <v>39</v>
      </c>
      <c r="I11">
        <v>52</v>
      </c>
    </row>
    <row r="12" spans="2:12" ht="21">
      <c r="B12" s="115"/>
      <c r="C12" s="234" t="str">
        <f>'Model | ISI analysis (live)'!C12</f>
        <v>50mg Dose from Studies 301 and 303</v>
      </c>
      <c r="D12" s="116"/>
      <c r="E12" s="116"/>
      <c r="F12" s="116"/>
      <c r="G12" s="116"/>
      <c r="H12" s="116"/>
      <c r="I12" s="116"/>
      <c r="J12" s="116"/>
      <c r="K12" s="117"/>
    </row>
    <row r="13" spans="2:12">
      <c r="B13" s="118"/>
      <c r="D13" s="186">
        <f>1-EXP(consU+D16*ISItotU)</f>
        <v>0.61362596539047631</v>
      </c>
      <c r="E13" s="186">
        <f t="shared" ref="E13:I14" si="0">1-EXP(consU+E16*ISItotU)</f>
        <v>0.61362596539047631</v>
      </c>
      <c r="F13" s="186">
        <f t="shared" si="0"/>
        <v>0.61362596539047631</v>
      </c>
      <c r="G13" s="186">
        <f t="shared" si="0"/>
        <v>0.61362596539047631</v>
      </c>
      <c r="H13" s="186">
        <f t="shared" si="0"/>
        <v>0.61362596539047631</v>
      </c>
      <c r="I13" s="186">
        <f t="shared" si="0"/>
        <v>0.61362596539047631</v>
      </c>
      <c r="K13" s="120"/>
    </row>
    <row r="14" spans="2:12">
      <c r="B14" s="118"/>
      <c r="D14" s="186">
        <f>1-EXP(consU+D17*ISItotU)</f>
        <v>0.61362596539047631</v>
      </c>
      <c r="E14" s="186">
        <f t="shared" si="0"/>
        <v>0.66788811103167522</v>
      </c>
      <c r="F14" s="186">
        <f t="shared" si="0"/>
        <v>0.69906924495634604</v>
      </c>
      <c r="G14" s="186">
        <f t="shared" ca="1" si="0"/>
        <v>0.71252718899549916</v>
      </c>
      <c r="H14" s="186">
        <f t="shared" ca="1" si="0"/>
        <v>0.71930948163406527</v>
      </c>
      <c r="I14" s="186">
        <f t="shared" ca="1" si="0"/>
        <v>0.72601908002590476</v>
      </c>
      <c r="K14" s="120"/>
    </row>
    <row r="15" spans="2:12">
      <c r="B15" s="118"/>
      <c r="C15" t="s">
        <v>197</v>
      </c>
      <c r="D15">
        <v>0</v>
      </c>
      <c r="E15">
        <v>1</v>
      </c>
      <c r="F15">
        <v>3</v>
      </c>
      <c r="G15">
        <v>6</v>
      </c>
      <c r="H15">
        <v>9</v>
      </c>
      <c r="I15">
        <v>12</v>
      </c>
      <c r="K15" s="120"/>
    </row>
    <row r="16" spans="2:12">
      <c r="B16" s="118"/>
      <c r="D16" s="186">
        <f>D18</f>
        <v>19.211849999999998</v>
      </c>
      <c r="E16" s="186">
        <f>D16</f>
        <v>19.211849999999998</v>
      </c>
      <c r="F16" s="186">
        <f>E16</f>
        <v>19.211849999999998</v>
      </c>
      <c r="G16" s="186">
        <f>F16</f>
        <v>19.211849999999998</v>
      </c>
      <c r="H16" s="186">
        <f>G16</f>
        <v>19.211849999999998</v>
      </c>
      <c r="I16" s="186">
        <f>H16</f>
        <v>19.211849999999998</v>
      </c>
      <c r="K16" s="120"/>
    </row>
    <row r="17" spans="2:15">
      <c r="B17" s="118"/>
      <c r="C17" s="4" t="s">
        <v>27</v>
      </c>
      <c r="D17" s="186">
        <f>D18</f>
        <v>19.211849999999998</v>
      </c>
      <c r="E17" s="186">
        <f>E18</f>
        <v>15.986287530774998</v>
      </c>
      <c r="F17" s="186">
        <f>F18</f>
        <v>13.884883586174999</v>
      </c>
      <c r="G17" s="186">
        <f ca="1">F18+IF('Model | Parameters'!I3=1,'Ref | Study 303'!P16,_xlfn.NORM.INV(RAND(),'Ref | Study 303'!P16,'Ref | Study 303'!Q16))</f>
        <v>12.909718410958899</v>
      </c>
      <c r="H17" s="186">
        <f ca="1">F18+IF('Model | Parameters'!I3=1,'Ref | Study 303'!P17,_xlfn.NORM.INV(RAND(),'Ref | Study 303'!P17,'Ref | Study 303'!Q17))</f>
        <v>12.400829522069998</v>
      </c>
      <c r="I17" s="186">
        <f ca="1">F18+IF('Model | Parameters'!I3=1,'Ref | Study 303'!P18,_xlfn.NORM.INV(RAND(),'Ref | Study 303'!P18,'Ref | Study 303'!Q18))</f>
        <v>11.885148770896299</v>
      </c>
      <c r="K17" s="120"/>
      <c r="M17" s="229"/>
      <c r="N17" s="229"/>
      <c r="O17" s="229"/>
    </row>
    <row r="18" spans="2:15">
      <c r="B18" s="118"/>
      <c r="C18" t="s">
        <v>1</v>
      </c>
      <c r="D18" s="1">
        <f>baseISI</f>
        <v>19.211849999999998</v>
      </c>
      <c r="E18" s="1">
        <f>consM1+baseISI*baseISIadjM1</f>
        <v>15.986287530774998</v>
      </c>
      <c r="F18" s="1">
        <f>cons+baseISI*baseISIadj</f>
        <v>13.884883586174999</v>
      </c>
      <c r="G18" s="1">
        <f>IF($J9=0,F18,G17)</f>
        <v>13.884883586174999</v>
      </c>
      <c r="H18" s="1">
        <f>IF($J9=0,G18,H17)</f>
        <v>13.884883586174999</v>
      </c>
      <c r="I18" s="1">
        <f>IF($J9=0,H18,I17)</f>
        <v>13.884883586174999</v>
      </c>
      <c r="K18" s="120"/>
    </row>
    <row r="19" spans="2:15">
      <c r="B19" s="118"/>
      <c r="C19" t="s">
        <v>231</v>
      </c>
      <c r="D19" s="1">
        <f>IF($J$5&lt;&gt;1,VLOOKUP(D18,ALDVMM,3,FALSE),1-EXP(consU+ISItotU*'Model | 1 Year'!D18))</f>
        <v>0.61362596539047631</v>
      </c>
      <c r="E19" s="1">
        <f>IF($J$5&lt;&gt;1,VLOOKUP(E18,ALDVMM,3,FALSE),1-EXP(consU+ISItotU*'Model | 1 Year'!E18))</f>
        <v>0.66788811103167522</v>
      </c>
      <c r="F19" s="1">
        <f>IF($J$5&lt;&gt;1,VLOOKUP(F18,ALDVMM,3,FALSE),1-EXP(consU+ISItotU*'Model | 1 Year'!F18))</f>
        <v>0.69906924495634604</v>
      </c>
      <c r="G19" s="1">
        <f>IF($J$5&lt;&gt;1,VLOOKUP(G18,ALDVMM,3,FALSE),1-EXP(consU+ISItotU*'Model | 1 Year'!G18))</f>
        <v>0.69906924495634604</v>
      </c>
      <c r="H19" s="1">
        <f>IF($J$5&lt;&gt;1,VLOOKUP(H18,ALDVMM,3,FALSE),1-EXP(consU+ISItotU*'Model | 1 Year'!H18))</f>
        <v>0.69906924495634604</v>
      </c>
      <c r="I19" s="1">
        <f>IF($J$5&lt;&gt;1,VLOOKUP(I18,ALDVMM,3,FALSE),1-EXP(consU+ISItotU*'Model | 1 Year'!I18))</f>
        <v>0.69906924495634604</v>
      </c>
      <c r="K19" s="120"/>
    </row>
    <row r="20" spans="2:15">
      <c r="B20" s="118"/>
      <c r="C20" t="s">
        <v>233</v>
      </c>
      <c r="D20" s="1"/>
      <c r="E20" s="1">
        <f>AVERAGE(D18:E18)</f>
        <v>17.5990687653875</v>
      </c>
      <c r="F20" s="1">
        <f>AVERAGE(E18:F18)</f>
        <v>14.935585558474997</v>
      </c>
      <c r="G20" s="1">
        <f>AVERAGE(F18:G18)</f>
        <v>13.884883586174999</v>
      </c>
      <c r="H20" s="1">
        <f>AVERAGE(G18:H18)</f>
        <v>13.884883586174999</v>
      </c>
      <c r="I20" s="1">
        <f>AVERAGE(H18:I18)</f>
        <v>13.884883586174999</v>
      </c>
      <c r="K20" s="120"/>
    </row>
    <row r="21" spans="2:15">
      <c r="B21" s="118"/>
      <c r="C21" t="s">
        <v>432</v>
      </c>
      <c r="D21" s="1"/>
      <c r="E21" s="1">
        <f>IF($J$5&lt;&gt;1,VLOOKUP(E20,ALDVMM,3,FALSE),1-EXP(consU+ISItotU*'Model | 1 Year'!E20))</f>
        <v>0.64178301201299537</v>
      </c>
      <c r="F21" s="1">
        <f>IF($J$5&lt;&gt;1,VLOOKUP(F20,ALDVMM,3,FALSE),1-EXP(consU+ISItotU*'Model | 1 Year'!F20))</f>
        <v>0.6838628754698175</v>
      </c>
      <c r="G21" s="1">
        <f>IF($J$5&lt;&gt;1,VLOOKUP(G20,ALDVMM,3,FALSE),1-EXP(consU+ISItotU*'Model | 1 Year'!G20))</f>
        <v>0.69906924495634604</v>
      </c>
      <c r="H21" s="1">
        <f>IF($J$5&lt;&gt;1,VLOOKUP(H20,ALDVMM,3,FALSE),1-EXP(consU+ISItotU*'Model | 1 Year'!H20))</f>
        <v>0.69906924495634604</v>
      </c>
      <c r="I21" s="1">
        <f>IF($J$5&lt;&gt;1,VLOOKUP(I20,ALDVMM,3,FALSE),1-EXP(consU+ISItotU*'Model | 1 Year'!I20))</f>
        <v>0.69906924495634604</v>
      </c>
      <c r="J21" s="1"/>
      <c r="K21" s="120"/>
    </row>
    <row r="22" spans="2:15">
      <c r="B22" s="118"/>
      <c r="C22" s="122" t="s">
        <v>138</v>
      </c>
      <c r="D22" s="190">
        <f>EXP(consGP+ISItotGP*D18)/12</f>
        <v>0.74072871853877731</v>
      </c>
      <c r="E22" s="190">
        <f>EXP(consGP+ISItotGP*E20)/12</f>
        <v>0.72185909218954514</v>
      </c>
      <c r="F22" s="190">
        <f>EXP(consGP+ISItotGP*F20)/6</f>
        <v>1.3834856209386468</v>
      </c>
      <c r="G22" s="190">
        <f>EXP(consGP+ISItotGP*G20)/4</f>
        <v>2.0406328972535293</v>
      </c>
      <c r="H22" s="190">
        <f>EXP(consGP+ISItotGP*H20)/4</f>
        <v>2.0406328972535293</v>
      </c>
      <c r="I22" s="190">
        <f>EXP(consGP+ISItotGP*I20)/4</f>
        <v>2.0406328972535293</v>
      </c>
      <c r="J22" s="1"/>
      <c r="K22" s="120"/>
    </row>
    <row r="23" spans="2:15">
      <c r="B23" s="118"/>
      <c r="C23" s="122" t="s">
        <v>430</v>
      </c>
      <c r="D23" s="190">
        <f>EXP(consER+ISItotER*D18)/12</f>
        <v>4.7452245128313031E-2</v>
      </c>
      <c r="E23" s="190">
        <f>EXP(consER+ISItotER*E20)/12</f>
        <v>4.5065403247290636E-2</v>
      </c>
      <c r="F23" s="190">
        <f>EXP(consER+ISItotER*F20)/6</f>
        <v>8.2767093262635566E-2</v>
      </c>
      <c r="G23" s="190">
        <f>EXP(consER+ISItotER*G20)/4</f>
        <v>0.12004578396127756</v>
      </c>
      <c r="H23" s="190">
        <f>EXP(consER+ISItotER*H20)/4</f>
        <v>0.12004578396127756</v>
      </c>
      <c r="I23" s="190">
        <f>EXP(consER+ISItotER*I20)/4</f>
        <v>0.12004578396127756</v>
      </c>
      <c r="J23" s="1"/>
      <c r="K23" s="120"/>
    </row>
    <row r="24" spans="2:15">
      <c r="B24" s="118"/>
      <c r="C24" s="122" t="s">
        <v>431</v>
      </c>
      <c r="D24" s="190">
        <f>EXP(consIP+ISItotIP*D18)/12</f>
        <v>1.9168205861539452E-2</v>
      </c>
      <c r="E24" s="190">
        <f>EXP(consIP+ISItotIP*E20)/12</f>
        <v>1.864299057137625E-2</v>
      </c>
      <c r="F24" s="190">
        <f>EXP(consIP+ISItotIP*F20)/6</f>
        <v>3.5613852325731547E-2</v>
      </c>
      <c r="G24" s="190">
        <f>EXP(consIP+ISItotIP*G20)/4</f>
        <v>5.2462559596367898E-2</v>
      </c>
      <c r="H24" s="190">
        <f>EXP(consIP+ISItotIP*H20)/4</f>
        <v>5.2462559596367898E-2</v>
      </c>
      <c r="I24" s="190">
        <f>EXP(consIP+ISItotIP*I20)/4</f>
        <v>5.2462559596367898E-2</v>
      </c>
      <c r="J24" s="1"/>
      <c r="K24" s="120"/>
    </row>
    <row r="25" spans="2:15">
      <c r="B25" s="118"/>
      <c r="C25" t="s">
        <v>212</v>
      </c>
      <c r="D25" s="121"/>
      <c r="E25" s="121">
        <v>0</v>
      </c>
      <c r="F25" s="121">
        <v>0</v>
      </c>
      <c r="G25" s="121">
        <v>0</v>
      </c>
      <c r="H25" s="121">
        <v>0</v>
      </c>
      <c r="I25" s="121">
        <v>0</v>
      </c>
      <c r="J25" s="110"/>
      <c r="K25" s="120"/>
    </row>
    <row r="26" spans="2:15">
      <c r="B26" s="118"/>
      <c r="C26" s="122" t="s">
        <v>229</v>
      </c>
      <c r="D26" s="123"/>
      <c r="E26" s="123">
        <f>E22*ucGP</f>
        <v>28.318532186595853</v>
      </c>
      <c r="F26" s="123">
        <f>F22*ucGP</f>
        <v>54.27414090942311</v>
      </c>
      <c r="G26" s="123">
        <f>G22*ucGP</f>
        <v>80.05402855925594</v>
      </c>
      <c r="H26" s="123">
        <f>H22*ucGP</f>
        <v>80.05402855925594</v>
      </c>
      <c r="I26" s="123">
        <f>I22*ucGP</f>
        <v>80.05402855925594</v>
      </c>
      <c r="J26" s="110"/>
      <c r="K26" s="120"/>
    </row>
    <row r="27" spans="2:15">
      <c r="B27" s="118"/>
      <c r="C27" s="122" t="s">
        <v>228</v>
      </c>
      <c r="D27" s="123"/>
      <c r="E27" s="123">
        <f>E23*ucER</f>
        <v>8.3199747475147969</v>
      </c>
      <c r="F27" s="123">
        <f>F23*ucER</f>
        <v>15.280460758147779</v>
      </c>
      <c r="G27" s="123">
        <f>G23*ucER</f>
        <v>22.162852634931063</v>
      </c>
      <c r="H27" s="123">
        <f>H23*ucER</f>
        <v>22.162852634931063</v>
      </c>
      <c r="I27" s="123">
        <f>I23*ucER</f>
        <v>22.162852634931063</v>
      </c>
      <c r="J27" s="110"/>
      <c r="K27" s="120"/>
    </row>
    <row r="28" spans="2:15">
      <c r="B28" s="118"/>
      <c r="C28" s="122" t="s">
        <v>230</v>
      </c>
      <c r="D28" s="123"/>
      <c r="E28" s="123">
        <f>E24*ucIP</f>
        <v>18.573825076356442</v>
      </c>
      <c r="F28" s="123">
        <f>F24*ucIP</f>
        <v>35.481724933603083</v>
      </c>
      <c r="G28" s="123">
        <f>G24*ucIP</f>
        <v>52.267923500265368</v>
      </c>
      <c r="H28" s="123">
        <f>H24*ucIP</f>
        <v>52.267923500265368</v>
      </c>
      <c r="I28" s="123">
        <f>I24*ucIP</f>
        <v>52.267923500265368</v>
      </c>
      <c r="J28" s="110"/>
      <c r="K28" s="120"/>
    </row>
    <row r="29" spans="2:15">
      <c r="B29" s="118"/>
      <c r="C29" t="s">
        <v>213</v>
      </c>
      <c r="D29" s="124"/>
      <c r="E29" s="124">
        <f>SUM(E26:E28)/perTot</f>
        <v>76.683794458982078</v>
      </c>
      <c r="F29" s="124">
        <f>SUM(F26:F28)/perTot</f>
        <v>145.88378694607499</v>
      </c>
      <c r="G29" s="124">
        <f>SUM(G26:G28)/perTot</f>
        <v>214.56222874229499</v>
      </c>
      <c r="H29" s="124">
        <f>SUM(H26:H28)/perTot</f>
        <v>214.56222874229499</v>
      </c>
      <c r="I29" s="124">
        <f>SUM(I26:I28)/perTot</f>
        <v>214.56222874229499</v>
      </c>
      <c r="J29" s="110"/>
      <c r="K29" s="120"/>
    </row>
    <row r="30" spans="2:15">
      <c r="B30" s="118"/>
      <c r="C30" s="122" t="s">
        <v>117</v>
      </c>
      <c r="D30" s="123"/>
      <c r="E30" s="123">
        <f ca="1">IF($C$11&lt;&gt;1,EXP(consAbsent+ISItotAbsent*E20)*annualWR/100/12,'Ref | SDS'!D96)</f>
        <v>65.640989010989031</v>
      </c>
      <c r="F30" s="123">
        <f ca="1">IF($C$11&lt;&gt;1,EXP(consAbsent+ISItotAbsent*F20)*annualWR/100/6,'Ref | SDS'!E96)</f>
        <v>119.86615384615385</v>
      </c>
      <c r="G30" s="123">
        <f ca="1">IF($C$11&lt;&gt;1,EXP(consAbsent+ISItotAbsent*G20)*annualWR/100/4,'Ref | SDS'!F96)</f>
        <v>111.30428571428571</v>
      </c>
      <c r="H30" s="123">
        <f ca="1">IF($C$11&lt;&gt;1,EXP(consAbsent+ISItotAbsent*H20)*annualWR/100/4,'Ref | SDS'!G96)</f>
        <v>111.30428571428571</v>
      </c>
      <c r="I30" s="123">
        <f ca="1">IF($C$11&lt;&gt;1,EXP(consAbsent+ISItotAbsent*I20)*annualWR/100/4,'Ref | SDS'!H96)</f>
        <v>111.30428571428571</v>
      </c>
      <c r="J30" s="110"/>
      <c r="K30" s="120"/>
    </row>
    <row r="31" spans="2:15">
      <c r="B31" s="118"/>
      <c r="C31" s="122" t="s">
        <v>118</v>
      </c>
      <c r="D31" s="123"/>
      <c r="E31" s="123">
        <f ca="1">IF($C$11&lt;&gt;1,EXP(consPresent+ISItotPresent*E20)*(1-EXP(consAbsent+ISItotAbsent*E20)/100)*annualWR/100/12,'Ref | SDS'!D97)</f>
        <v>120.80225142857145</v>
      </c>
      <c r="F31" s="123">
        <f ca="1">IF($C$11&lt;&gt;1,EXP(consPresent+ISItotPresent*F20)*(1-EXP(consAbsent+ISItotAbsent*F20)/100)*annualWR/100/6,'Ref | SDS'!E97)</f>
        <v>173.60043824175827</v>
      </c>
      <c r="G31" s="123">
        <f ca="1">IF($C$11&lt;&gt;1,EXP(consPresent+ISItotPresent*G20)*(1-EXP(consAbsent+ISItotAbsent*G20)/100)*annualWR/100/4,'Ref | SDS'!F97)</f>
        <v>270.29817692307694</v>
      </c>
      <c r="H31" s="123">
        <f ca="1">IF($C$11&lt;&gt;1,EXP(consPresent+ISItotPresent*H20)*(1-EXP(consAbsent+ISItotAbsent*H20)/100)*annualWR/100/4,'Ref | SDS'!G97)</f>
        <v>212.24871098901099</v>
      </c>
      <c r="I31" s="123">
        <f ca="1">IF($C$11&lt;&gt;1,EXP(consPresent+ISItotPresent*I20)*(1-EXP(consAbsent+ISItotAbsent*I20)/100)*annualWR/100/4,'Ref | SDS'!H97)</f>
        <v>151.28820989010993</v>
      </c>
      <c r="J31" s="110"/>
      <c r="K31" s="120"/>
    </row>
    <row r="32" spans="2:15">
      <c r="B32" s="118"/>
      <c r="C32" t="s">
        <v>214</v>
      </c>
      <c r="D32" s="124"/>
      <c r="E32" s="124">
        <f ca="1">SUM(E30:E31)</f>
        <v>186.4432404395605</v>
      </c>
      <c r="F32" s="124">
        <f ca="1">SUM(F30:F31)</f>
        <v>293.46659208791209</v>
      </c>
      <c r="G32" s="124">
        <f ca="1">SUM(G30:G31)</f>
        <v>381.60246263736263</v>
      </c>
      <c r="H32" s="124">
        <f ca="1">SUM(H30:H31)</f>
        <v>323.55299670329669</v>
      </c>
      <c r="I32" s="124">
        <f ca="1">SUM(I30:I31)</f>
        <v>262.59249560439565</v>
      </c>
      <c r="J32" s="110"/>
      <c r="K32" s="120"/>
    </row>
    <row r="33" spans="2:11">
      <c r="B33" s="118"/>
      <c r="J33" s="13"/>
      <c r="K33" s="120"/>
    </row>
    <row r="34" spans="2:11">
      <c r="B34" s="118"/>
      <c r="C34" s="4" t="s">
        <v>198</v>
      </c>
      <c r="D34">
        <v>19.211849999999998</v>
      </c>
      <c r="E34">
        <v>14.289651530774998</v>
      </c>
      <c r="F34">
        <v>11.903234586175</v>
      </c>
      <c r="G34">
        <v>11.3</v>
      </c>
      <c r="H34">
        <v>10.7</v>
      </c>
      <c r="I34">
        <v>10.199999999999999</v>
      </c>
      <c r="K34" s="120"/>
    </row>
    <row r="35" spans="2:11">
      <c r="B35" s="118"/>
      <c r="C35" t="s">
        <v>1</v>
      </c>
      <c r="D35" s="1">
        <f>baseISI</f>
        <v>19.211849999999998</v>
      </c>
      <c r="E35" s="1">
        <f>consM1+baseISI*baseISIadjM1+D50mgM1</f>
        <v>14.289651530774998</v>
      </c>
      <c r="F35" s="1">
        <f>cons+baseISI*baseISIadj+D50mg</f>
        <v>11.903234586175</v>
      </c>
      <c r="G35" s="1">
        <f>$F35+_303ISI6m</f>
        <v>11.3</v>
      </c>
      <c r="H35" s="1">
        <f>$F35+_303ISI9m</f>
        <v>10.7</v>
      </c>
      <c r="I35" s="1">
        <f>$F35+_303ISI12m</f>
        <v>10.199999999999999</v>
      </c>
      <c r="K35" s="120"/>
    </row>
    <row r="36" spans="2:11">
      <c r="B36" s="118"/>
      <c r="C36" t="s">
        <v>231</v>
      </c>
      <c r="D36" s="1">
        <f>IF($J$5&lt;&gt;1,VLOOKUP(D35,ALDVMM,3,FALSE),1-EXP(consU+ISItotU*'Model | 1 Year'!D35))</f>
        <v>0.61362596539047631</v>
      </c>
      <c r="E36" s="1">
        <f>IF($J$5&lt;&gt;1,VLOOKUP(E35,ALDVMM,3,FALSE),1-EXP(consU+ISItotU*'Model | 1 Year'!E35))</f>
        <v>0.69329980131751356</v>
      </c>
      <c r="F36" s="1">
        <f>IF($J$5&lt;&gt;1,VLOOKUP(F35,ALDVMM,3,FALSE),1-EXP(consU+ISItotU*'Model | 1 Year'!F35))</f>
        <v>0.72578649933203632</v>
      </c>
      <c r="G36" s="1">
        <f>IF($J$5&lt;&gt;1,VLOOKUP(G35,ALDVMM,3,FALSE),1-EXP(consU+ISItotU*'Model | 1 Year'!G35))</f>
        <v>0.73343849720188414</v>
      </c>
      <c r="H36" s="1">
        <f>IF($J$5&lt;&gt;1,VLOOKUP(H35,ALDVMM,3,FALSE),1-EXP(consU+ISItotU*'Model | 1 Year'!H35))</f>
        <v>0.74083763730724606</v>
      </c>
      <c r="I36" s="1">
        <f>IF($J$5&lt;&gt;1,VLOOKUP(I35,ALDVMM,3,FALSE),1-EXP(consU+ISItotU*'Model | 1 Year'!I35))</f>
        <v>0.74684645347165302</v>
      </c>
      <c r="K36" s="120"/>
    </row>
    <row r="37" spans="2:11">
      <c r="B37" s="118"/>
      <c r="C37" t="s">
        <v>233</v>
      </c>
      <c r="D37" s="1"/>
      <c r="E37" s="1">
        <f>AVERAGE(D35:E35)</f>
        <v>16.750750765387497</v>
      </c>
      <c r="F37" s="1">
        <f>AVERAGE(E35:F35)</f>
        <v>13.096443058475</v>
      </c>
      <c r="G37" s="1">
        <f>AVERAGE(F35:G35)</f>
        <v>11.6016172930875</v>
      </c>
      <c r="H37" s="1">
        <f>AVERAGE(G35:H35)</f>
        <v>11</v>
      </c>
      <c r="I37" s="1">
        <f>AVERAGE(H35:I35)</f>
        <v>10.45</v>
      </c>
      <c r="K37" s="120"/>
    </row>
    <row r="38" spans="2:11">
      <c r="B38" s="118"/>
      <c r="C38" t="s">
        <v>432</v>
      </c>
      <c r="D38" s="1"/>
      <c r="E38" s="1">
        <f>IF($J$5&lt;&gt;1,VLOOKUP(E37,ALDVMM,3,FALSE),1-EXP(consU+ISItotU*'Model | 1 Year'!E37))</f>
        <v>0.65576026786482822</v>
      </c>
      <c r="F38" s="1">
        <f>IF($J$5&lt;&gt;1,VLOOKUP(F37,ALDVMM,3,FALSE),1-EXP(consU+ISItotU*'Model | 1 Year'!F37))</f>
        <v>0.70999769805002477</v>
      </c>
      <c r="G38" s="1">
        <f>IF($J$5&lt;&gt;1,VLOOKUP(G37,ALDVMM,3,FALSE),1-EXP(consU+ISItotU*'Model | 1 Year'!G37))</f>
        <v>0.72963956867621227</v>
      </c>
      <c r="H38" s="1">
        <f>IF($J$5&lt;&gt;1,VLOOKUP(H37,ALDVMM,3,FALSE),1-EXP(consU+ISItotU*'Model | 1 Year'!H37))</f>
        <v>0.73716410277876643</v>
      </c>
      <c r="I38" s="1">
        <f>IF($J$5&lt;&gt;1,VLOOKUP(I37,ALDVMM,3,FALSE),1-EXP(consU+ISItotU*'Model | 1 Year'!I37))</f>
        <v>0.7438596649445145</v>
      </c>
      <c r="J38" s="1"/>
      <c r="K38" s="120"/>
    </row>
    <row r="39" spans="2:11">
      <c r="B39" s="118"/>
      <c r="C39" s="122" t="s">
        <v>138</v>
      </c>
      <c r="D39" s="190">
        <f>EXP(consGP+ISItotGP*D35)/12</f>
        <v>0.74072871853877731</v>
      </c>
      <c r="E39" s="190">
        <f>EXP(consGP+ISItotGP*E37)/12</f>
        <v>0.71212742897213566</v>
      </c>
      <c r="F39" s="190">
        <f>EXP(consGP+ISItotGP*F37)/6</f>
        <v>1.3433679375760212</v>
      </c>
      <c r="G39" s="190">
        <f>EXP(consGP+ISItotGP*G37)/4</f>
        <v>1.9674292529102373</v>
      </c>
      <c r="H39" s="190">
        <f>EXP(consGP+ISItotGP*H37)/4</f>
        <v>1.9485818783075235</v>
      </c>
      <c r="I39" s="190">
        <f>EXP(consGP+ISItotGP*I37)/4</f>
        <v>1.9315095860374554</v>
      </c>
      <c r="J39" s="1"/>
      <c r="K39" s="120"/>
    </row>
    <row r="40" spans="2:11">
      <c r="B40" s="118"/>
      <c r="C40" s="122" t="s">
        <v>430</v>
      </c>
      <c r="D40" s="190">
        <f>EXP(consER+ISItotER*D35)/12</f>
        <v>4.7452245128313031E-2</v>
      </c>
      <c r="E40" s="190">
        <f>EXP(consER+ISItotER*E37)/12</f>
        <v>4.3858505325108842E-2</v>
      </c>
      <c r="F40" s="190">
        <f>EXP(consER+ISItotER*F37)/6</f>
        <v>7.8036603950870295E-2</v>
      </c>
      <c r="G40" s="190">
        <f>EXP(consER+ISItotER*G37)/4</f>
        <v>0.11158746040242391</v>
      </c>
      <c r="H40" s="190">
        <f>EXP(consER+ISItotER*H37)/4</f>
        <v>0.10945975290025166</v>
      </c>
      <c r="I40" s="190">
        <f>EXP(consER+ISItotER*I37)/4</f>
        <v>0.10755011535347492</v>
      </c>
      <c r="J40" s="1"/>
      <c r="K40" s="120"/>
    </row>
    <row r="41" spans="2:11">
      <c r="B41" s="118"/>
      <c r="C41" s="122" t="s">
        <v>431</v>
      </c>
      <c r="D41" s="190">
        <f>EXP(consIP+ISItotIP*D35)/12</f>
        <v>1.9168205861539452E-2</v>
      </c>
      <c r="E41" s="190">
        <f>EXP(consIP+ISItotIP*E37)/12</f>
        <v>1.8372529834768742E-2</v>
      </c>
      <c r="F41" s="190">
        <f>EXP(consIP+ISItotIP*F37)/6</f>
        <v>3.4503215132761417E-2</v>
      </c>
      <c r="G41" s="190">
        <f>EXP(consIP+ISItotIP*G37)/4</f>
        <v>5.0439109889829116E-2</v>
      </c>
      <c r="H41" s="190">
        <f>EXP(consIP+ISItotIP*H37)/4</f>
        <v>4.9919067669480933E-2</v>
      </c>
      <c r="I41" s="190">
        <f>EXP(consIP+ISItotIP*I37)/4</f>
        <v>4.9448336669513746E-2</v>
      </c>
      <c r="J41" s="1"/>
      <c r="K41" s="120"/>
    </row>
    <row r="42" spans="2:11">
      <c r="B42" s="118"/>
      <c r="C42" t="s">
        <v>212</v>
      </c>
      <c r="D42" s="124"/>
      <c r="E42" s="124">
        <f>365/12*TxC</f>
        <v>42.583333333333336</v>
      </c>
      <c r="F42" s="124">
        <f>365/6*TxC</f>
        <v>85.166666666666671</v>
      </c>
      <c r="G42" s="124">
        <f>365/4*TxC</f>
        <v>127.74999999999999</v>
      </c>
      <c r="H42" s="124">
        <f>365/4*TxC</f>
        <v>127.74999999999999</v>
      </c>
      <c r="I42" s="124">
        <f>365/4*TxC</f>
        <v>127.74999999999999</v>
      </c>
      <c r="J42" s="110"/>
      <c r="K42" s="120"/>
    </row>
    <row r="43" spans="2:11">
      <c r="B43" s="118"/>
      <c r="C43" s="122" t="s">
        <v>229</v>
      </c>
      <c r="D43" s="123"/>
      <c r="E43" s="123">
        <f>E39*ucGP</f>
        <v>27.936759038576881</v>
      </c>
      <c r="F43" s="123">
        <f>F39*ucGP</f>
        <v>52.700324191107306</v>
      </c>
      <c r="G43" s="123">
        <f>G39*ucGP</f>
        <v>77.182249591668608</v>
      </c>
      <c r="H43" s="123">
        <f>H39*ucGP</f>
        <v>76.442867086004142</v>
      </c>
      <c r="I43" s="123">
        <f>I39*ucGP</f>
        <v>75.773121060249366</v>
      </c>
      <c r="J43" s="110"/>
      <c r="K43" s="120"/>
    </row>
    <row r="44" spans="2:11">
      <c r="B44" s="118"/>
      <c r="C44" s="122" t="s">
        <v>228</v>
      </c>
      <c r="D44" s="123"/>
      <c r="E44" s="123">
        <f>E40*ucER</f>
        <v>8.0971572531215941</v>
      </c>
      <c r="F44" s="123">
        <f>F40*ucER</f>
        <v>14.407117821409674</v>
      </c>
      <c r="G44" s="123">
        <f>G40*ucER</f>
        <v>20.601276939495502</v>
      </c>
      <c r="H44" s="123">
        <f>H40*ucER</f>
        <v>20.208459580444462</v>
      </c>
      <c r="I44" s="123">
        <f>I40*ucER</f>
        <v>19.85590229655854</v>
      </c>
      <c r="J44" s="110"/>
      <c r="K44" s="120"/>
    </row>
    <row r="45" spans="2:11">
      <c r="B45" s="118"/>
      <c r="C45" s="122" t="s">
        <v>230</v>
      </c>
      <c r="D45" s="123"/>
      <c r="E45" s="123">
        <f>E41*ucIP</f>
        <v>18.304367749081749</v>
      </c>
      <c r="F45" s="123">
        <f>F41*ucIP</f>
        <v>34.375208204618872</v>
      </c>
      <c r="G45" s="123">
        <f>G41*ucIP</f>
        <v>50.25198079213785</v>
      </c>
      <c r="H45" s="123">
        <f>H41*ucIP</f>
        <v>49.733867928427159</v>
      </c>
      <c r="I45" s="123">
        <f>I41*ucIP</f>
        <v>49.264883340469851</v>
      </c>
      <c r="J45" s="110"/>
      <c r="K45" s="120"/>
    </row>
    <row r="46" spans="2:11">
      <c r="B46" s="118"/>
      <c r="C46" t="s">
        <v>213</v>
      </c>
      <c r="D46" s="124"/>
      <c r="E46" s="124">
        <f>SUM(E43:E45)/perTot</f>
        <v>75.469838945528096</v>
      </c>
      <c r="F46" s="124">
        <f>SUM(F43:F45)/perTot</f>
        <v>140.94812530157759</v>
      </c>
      <c r="G46" s="124">
        <f>SUM(G43:G45)/perTot</f>
        <v>205.60487128236386</v>
      </c>
      <c r="H46" s="124">
        <f>SUM(H43:H45)/perTot</f>
        <v>203.31277027066079</v>
      </c>
      <c r="I46" s="124">
        <f>SUM(I43:I45)/perTot</f>
        <v>201.24153707955247</v>
      </c>
      <c r="J46" s="110"/>
      <c r="K46" s="120"/>
    </row>
    <row r="47" spans="2:11">
      <c r="B47" s="118"/>
      <c r="C47" s="122" t="s">
        <v>117</v>
      </c>
      <c r="D47" s="123"/>
      <c r="E47" s="123">
        <f ca="1">IF($C$11&lt;&gt;1,EXP(consAbsent+ISItotAbsent*E37)*annualWR/100/12,'Ref | SDS'!D101)</f>
        <v>57.079120879120886</v>
      </c>
      <c r="F47" s="123">
        <f ca="1">IF($C$11&lt;&gt;1,EXP(consAbsent+ISItotAbsent*F37)*annualWR/100/6,'Ref | SDS'!E101)</f>
        <v>79.910769230769233</v>
      </c>
      <c r="G47" s="123">
        <f ca="1">IF($C$11&lt;&gt;1,EXP(consAbsent+ISItotAbsent*G37)*annualWR/100/4,'Ref | SDS'!F101)</f>
        <v>0</v>
      </c>
      <c r="H47" s="123">
        <f ca="1">IF($C$11&lt;&gt;1,EXP(consAbsent+ISItotAbsent*H37)*annualWR/100/4,'Ref | SDS'!G101)</f>
        <v>34.247472527472567</v>
      </c>
      <c r="I47" s="123">
        <f ca="1">IF($C$11&lt;&gt;1,EXP(consAbsent+ISItotAbsent*I37)*annualWR/100/4,'Ref | SDS'!H101)</f>
        <v>0</v>
      </c>
      <c r="J47" s="110"/>
      <c r="K47" s="120"/>
    </row>
    <row r="48" spans="2:11">
      <c r="B48" s="118"/>
      <c r="C48" s="122" t="s">
        <v>118</v>
      </c>
      <c r="D48" s="123"/>
      <c r="E48" s="123">
        <f ca="1">IF($C$11&lt;&gt;1,EXP(consPresent+ISItotPresent*E37)*(1-EXP(consAbsent+ISItotAbsent*E37)/100)*annualWR/100/12,'Ref | SDS'!D102)</f>
        <v>96.106969780219799</v>
      </c>
      <c r="F48" s="123">
        <f ca="1">IF($C$11&lt;&gt;1,EXP(consPresent+ISItotPresent*F37)*(1-EXP(consAbsent+ISItotAbsent*F37)/100)*annualWR/100/6,'Ref | SDS'!E102)</f>
        <v>115.58521978021979</v>
      </c>
      <c r="G48" s="123">
        <f ca="1">IF($C$11&lt;&gt;1,EXP(consPresent+ISItotPresent*G37)*(1-EXP(consAbsent+ISItotAbsent*G37)/100)*annualWR/100/4,'Ref | SDS'!F102)</f>
        <v>111.86080714285714</v>
      </c>
      <c r="H48" s="123">
        <f ca="1">IF($C$11&lt;&gt;1,EXP(consPresent+ISItotPresent*H37)*(1-EXP(consAbsent+ISItotAbsent*H37)/100)*annualWR/100/4,'Ref | SDS'!G102)</f>
        <v>105.18255000000001</v>
      </c>
      <c r="I48" s="123">
        <f ca="1">IF($C$11&lt;&gt;1,EXP(consPresent+ISItotPresent*I37)*(1-EXP(consAbsent+ISItotAbsent*I37)/100)*annualWR/100/4,'Ref | SDS'!H102)</f>
        <v>38.22874120879122</v>
      </c>
      <c r="J48" s="110"/>
      <c r="K48" s="120"/>
    </row>
    <row r="49" spans="2:11">
      <c r="B49" s="118"/>
      <c r="C49" t="s">
        <v>214</v>
      </c>
      <c r="D49" s="124"/>
      <c r="E49" s="124">
        <f ca="1">SUM(E47:E48)</f>
        <v>153.18609065934069</v>
      </c>
      <c r="F49" s="124">
        <f ca="1">SUM(F47:F48)</f>
        <v>195.49598901098904</v>
      </c>
      <c r="G49" s="124">
        <f ca="1">SUM(G47:G48)</f>
        <v>111.86080714285714</v>
      </c>
      <c r="H49" s="124">
        <f ca="1">SUM(H47:H48)</f>
        <v>139.43002252747257</v>
      </c>
      <c r="I49" s="124">
        <f ca="1">SUM(I47:I48)</f>
        <v>38.22874120879122</v>
      </c>
      <c r="J49" s="110"/>
      <c r="K49" s="120"/>
    </row>
    <row r="50" spans="2:11">
      <c r="B50" s="118"/>
      <c r="D50" s="3"/>
      <c r="E50" s="3"/>
      <c r="F50" s="3"/>
      <c r="G50" s="3"/>
      <c r="H50" s="3"/>
      <c r="I50" s="3"/>
      <c r="J50" s="13"/>
      <c r="K50" s="120"/>
    </row>
    <row r="51" spans="2:11">
      <c r="B51" s="118"/>
      <c r="C51" s="4" t="s">
        <v>222</v>
      </c>
      <c r="K51" s="120"/>
    </row>
    <row r="52" spans="2:11">
      <c r="B52" s="118"/>
      <c r="C52" t="s">
        <v>1</v>
      </c>
      <c r="D52" s="1">
        <f t="shared" ref="D52:I53" si="1">D35-D18</f>
        <v>0</v>
      </c>
      <c r="E52" s="1">
        <f t="shared" si="1"/>
        <v>-1.6966359999999998</v>
      </c>
      <c r="F52" s="1">
        <f t="shared" si="1"/>
        <v>-1.9816489999999991</v>
      </c>
      <c r="G52" s="1">
        <f t="shared" si="1"/>
        <v>-2.5848835861749979</v>
      </c>
      <c r="H52" s="1">
        <f t="shared" si="1"/>
        <v>-3.1848835861749993</v>
      </c>
      <c r="I52" s="1">
        <f t="shared" si="1"/>
        <v>-3.6848835861749993</v>
      </c>
      <c r="J52" s="13"/>
      <c r="K52" s="120"/>
    </row>
    <row r="53" spans="2:11">
      <c r="B53" s="118"/>
      <c r="C53" t="s">
        <v>231</v>
      </c>
      <c r="D53" s="1">
        <f t="shared" si="1"/>
        <v>0</v>
      </c>
      <c r="E53" s="1">
        <f t="shared" si="1"/>
        <v>2.541169028583834E-2</v>
      </c>
      <c r="F53" s="1">
        <f t="shared" si="1"/>
        <v>2.671725437569028E-2</v>
      </c>
      <c r="G53" s="1">
        <f t="shared" si="1"/>
        <v>3.4369252245538107E-2</v>
      </c>
      <c r="H53" s="1">
        <f t="shared" si="1"/>
        <v>4.1768392350900019E-2</v>
      </c>
      <c r="I53" s="1">
        <f t="shared" si="1"/>
        <v>4.7777208515306979E-2</v>
      </c>
      <c r="J53" s="83"/>
      <c r="K53" s="120"/>
    </row>
    <row r="54" spans="2:11">
      <c r="B54" s="118"/>
      <c r="C54" t="s">
        <v>233</v>
      </c>
      <c r="D54" s="1"/>
      <c r="E54" s="1">
        <f>E37-E20</f>
        <v>-0.84831800000000257</v>
      </c>
      <c r="F54" s="1">
        <f t="shared" ref="F54:I55" si="2">F37-F20</f>
        <v>-1.8391424999999977</v>
      </c>
      <c r="G54" s="1">
        <f t="shared" si="2"/>
        <v>-2.2832662930874985</v>
      </c>
      <c r="H54" s="1">
        <f t="shared" si="2"/>
        <v>-2.8848835861749986</v>
      </c>
      <c r="I54" s="1">
        <f t="shared" si="2"/>
        <v>-3.4348835861749993</v>
      </c>
      <c r="J54" s="1"/>
      <c r="K54" s="120"/>
    </row>
    <row r="55" spans="2:11">
      <c r="B55" s="118"/>
      <c r="C55" t="s">
        <v>432</v>
      </c>
      <c r="D55" s="1"/>
      <c r="E55" s="1">
        <f>E38-E21</f>
        <v>1.3977255851832848E-2</v>
      </c>
      <c r="F55" s="1">
        <f t="shared" si="2"/>
        <v>2.6134822580207273E-2</v>
      </c>
      <c r="G55" s="1">
        <f t="shared" si="2"/>
        <v>3.0570323719866233E-2</v>
      </c>
      <c r="H55" s="1">
        <f t="shared" si="2"/>
        <v>3.8094857822420392E-2</v>
      </c>
      <c r="I55" s="1">
        <f t="shared" si="2"/>
        <v>4.4790419988168462E-2</v>
      </c>
      <c r="J55" s="1"/>
      <c r="K55" s="120"/>
    </row>
    <row r="56" spans="2:11">
      <c r="B56" s="118"/>
      <c r="C56" t="s">
        <v>212</v>
      </c>
      <c r="D56" s="124"/>
      <c r="E56" s="124">
        <f t="shared" ref="E56:I63" si="3">E42-E25</f>
        <v>42.583333333333336</v>
      </c>
      <c r="F56" s="124">
        <f t="shared" si="3"/>
        <v>85.166666666666671</v>
      </c>
      <c r="G56" s="124">
        <f t="shared" si="3"/>
        <v>127.74999999999999</v>
      </c>
      <c r="H56" s="124">
        <f t="shared" si="3"/>
        <v>127.74999999999999</v>
      </c>
      <c r="I56" s="124">
        <f t="shared" si="3"/>
        <v>127.74999999999999</v>
      </c>
      <c r="J56" s="110">
        <f>SUM(E56:I56)</f>
        <v>511</v>
      </c>
      <c r="K56" s="120"/>
    </row>
    <row r="57" spans="2:11">
      <c r="B57" s="118"/>
      <c r="C57" s="122" t="s">
        <v>229</v>
      </c>
      <c r="D57" s="123"/>
      <c r="E57" s="123">
        <f t="shared" ref="E57:F60" si="4">E43-E26</f>
        <v>-0.38177314801897211</v>
      </c>
      <c r="F57" s="123">
        <f t="shared" si="4"/>
        <v>-1.5738167183158041</v>
      </c>
      <c r="G57" s="123">
        <f t="shared" si="3"/>
        <v>-2.871778967587332</v>
      </c>
      <c r="H57" s="123">
        <f t="shared" si="3"/>
        <v>-3.6111614732517978</v>
      </c>
      <c r="I57" s="123">
        <f t="shared" si="3"/>
        <v>-4.2809074990065739</v>
      </c>
      <c r="J57" s="110"/>
      <c r="K57" s="120"/>
    </row>
    <row r="58" spans="2:11">
      <c r="B58" s="118"/>
      <c r="C58" s="122" t="s">
        <v>228</v>
      </c>
      <c r="D58" s="123"/>
      <c r="E58" s="123">
        <f t="shared" si="4"/>
        <v>-0.22281749439320286</v>
      </c>
      <c r="F58" s="123">
        <f t="shared" si="4"/>
        <v>-0.87334293673810492</v>
      </c>
      <c r="G58" s="123">
        <f t="shared" si="3"/>
        <v>-1.5615756954355611</v>
      </c>
      <c r="H58" s="123">
        <f t="shared" si="3"/>
        <v>-1.9543930544866015</v>
      </c>
      <c r="I58" s="123">
        <f t="shared" si="3"/>
        <v>-2.3069503383725234</v>
      </c>
      <c r="J58" s="110"/>
      <c r="K58" s="120"/>
    </row>
    <row r="59" spans="2:11">
      <c r="B59" s="118"/>
      <c r="C59" s="122" t="s">
        <v>230</v>
      </c>
      <c r="D59" s="123"/>
      <c r="E59" s="123">
        <f t="shared" si="4"/>
        <v>-0.26945732727469363</v>
      </c>
      <c r="F59" s="123">
        <f t="shared" si="4"/>
        <v>-1.1065167289842108</v>
      </c>
      <c r="G59" s="123">
        <f t="shared" si="3"/>
        <v>-2.0159427081275183</v>
      </c>
      <c r="H59" s="123">
        <f t="shared" si="3"/>
        <v>-2.5340555718382092</v>
      </c>
      <c r="I59" s="123">
        <f t="shared" si="3"/>
        <v>-3.0030401597955176</v>
      </c>
      <c r="J59" s="110"/>
      <c r="K59" s="120"/>
    </row>
    <row r="60" spans="2:11">
      <c r="B60" s="118"/>
      <c r="C60" t="s">
        <v>213</v>
      </c>
      <c r="D60" s="124"/>
      <c r="E60" s="124">
        <f t="shared" si="4"/>
        <v>-1.2139555134539819</v>
      </c>
      <c r="F60" s="124">
        <f t="shared" si="4"/>
        <v>-4.9356616444974009</v>
      </c>
      <c r="G60" s="124">
        <f t="shared" si="3"/>
        <v>-8.9573574599311314</v>
      </c>
      <c r="H60" s="124">
        <f t="shared" si="3"/>
        <v>-11.249458471634199</v>
      </c>
      <c r="I60" s="124">
        <f t="shared" si="3"/>
        <v>-13.320691662742519</v>
      </c>
      <c r="J60" s="110"/>
      <c r="K60" s="120"/>
    </row>
    <row r="61" spans="2:11">
      <c r="B61" s="118"/>
      <c r="C61" s="122" t="s">
        <v>117</v>
      </c>
      <c r="D61" s="123"/>
      <c r="E61" s="123">
        <f t="shared" ca="1" si="3"/>
        <v>-8.5618681318681453</v>
      </c>
      <c r="F61" s="123">
        <f t="shared" ca="1" si="3"/>
        <v>-39.955384615384617</v>
      </c>
      <c r="G61" s="123">
        <f t="shared" ca="1" si="3"/>
        <v>-111.30428571428571</v>
      </c>
      <c r="H61" s="123">
        <f t="shared" ca="1" si="3"/>
        <v>-77.056813186813145</v>
      </c>
      <c r="I61" s="123">
        <f t="shared" ca="1" si="3"/>
        <v>-111.30428571428571</v>
      </c>
      <c r="J61" s="110"/>
      <c r="K61" s="120"/>
    </row>
    <row r="62" spans="2:11">
      <c r="B62" s="118"/>
      <c r="C62" s="122" t="s">
        <v>118</v>
      </c>
      <c r="D62" s="123"/>
      <c r="E62" s="123">
        <f t="shared" ca="1" si="3"/>
        <v>-24.695281648351653</v>
      </c>
      <c r="F62" s="123">
        <f t="shared" ca="1" si="3"/>
        <v>-58.015218461538481</v>
      </c>
      <c r="G62" s="123">
        <f t="shared" ca="1" si="3"/>
        <v>-158.4373697802198</v>
      </c>
      <c r="H62" s="123">
        <f t="shared" ca="1" si="3"/>
        <v>-107.06616098901098</v>
      </c>
      <c r="I62" s="123">
        <f t="shared" ca="1" si="3"/>
        <v>-113.05946868131871</v>
      </c>
      <c r="J62" s="110"/>
      <c r="K62" s="120"/>
    </row>
    <row r="63" spans="2:11">
      <c r="B63" s="118"/>
      <c r="C63" t="s">
        <v>214</v>
      </c>
      <c r="D63" s="124"/>
      <c r="E63" s="124">
        <f ca="1">E49-E32</f>
        <v>-33.257149780219805</v>
      </c>
      <c r="F63" s="124">
        <f t="shared" ca="1" si="3"/>
        <v>-97.970603076923055</v>
      </c>
      <c r="G63" s="124">
        <f t="shared" ca="1" si="3"/>
        <v>-269.74165549450549</v>
      </c>
      <c r="H63" s="124">
        <f t="shared" ca="1" si="3"/>
        <v>-184.12297417582411</v>
      </c>
      <c r="I63" s="124">
        <f t="shared" ca="1" si="3"/>
        <v>-224.36375439560442</v>
      </c>
      <c r="J63" s="110"/>
      <c r="K63" s="120"/>
    </row>
    <row r="64" spans="2:11">
      <c r="B64" s="118"/>
      <c r="D64" s="3"/>
      <c r="E64" s="3"/>
      <c r="F64" s="3"/>
      <c r="G64" s="3"/>
      <c r="H64" s="3"/>
      <c r="I64" s="3"/>
      <c r="J64" s="13"/>
      <c r="K64" s="120"/>
    </row>
    <row r="65" spans="2:12">
      <c r="B65" s="118"/>
      <c r="C65" s="4" t="s">
        <v>234</v>
      </c>
      <c r="D65" s="3"/>
      <c r="E65" s="3"/>
      <c r="F65" s="3"/>
      <c r="G65" s="3"/>
      <c r="H65" s="3"/>
      <c r="I65" s="3"/>
      <c r="J65" s="13"/>
      <c r="K65" s="120"/>
    </row>
    <row r="66" spans="2:12">
      <c r="B66" s="118"/>
      <c r="C66" t="s">
        <v>205</v>
      </c>
      <c r="D66" s="12">
        <v>1</v>
      </c>
      <c r="E66" s="12">
        <f>D66*(1-dom1_)</f>
        <v>0.96451612903225803</v>
      </c>
      <c r="F66" s="12">
        <f>E66*(1-dom3_)</f>
        <v>0.91290322580645167</v>
      </c>
      <c r="G66" s="12">
        <f>F66*(1-dom6_)</f>
        <v>0.69300682834942318</v>
      </c>
      <c r="H66" s="12">
        <f>G66*(1-dom9_)</f>
        <v>0.63303508358841543</v>
      </c>
      <c r="I66" s="12">
        <f>H66*(1-dom12_)</f>
        <v>0.55307275724040506</v>
      </c>
      <c r="J66" s="111" t="s">
        <v>240</v>
      </c>
      <c r="K66" s="125"/>
      <c r="L66" s="111"/>
    </row>
    <row r="67" spans="2:12">
      <c r="B67" s="118"/>
      <c r="C67" t="s">
        <v>232</v>
      </c>
      <c r="D67" s="3"/>
      <c r="E67" s="1">
        <f>AVERAGE(D66:E66)*E55</f>
        <v>1.3729272280268072E-2</v>
      </c>
      <c r="F67" s="1">
        <f>AVERAGE(E66:F66)*F55</f>
        <v>2.453301087367844E-2</v>
      </c>
      <c r="G67" s="1">
        <f>AVERAGE(F66:G66)*G55</f>
        <v>2.4546595110266502E-2</v>
      </c>
      <c r="H67" s="1">
        <f>AVERAGE(G66:H66)*H55</f>
        <v>2.5257689050921232E-2</v>
      </c>
      <c r="I67" s="1">
        <f>AVERAGE(H66:I66)*I55</f>
        <v>2.6563134170991272E-2</v>
      </c>
      <c r="J67" s="1">
        <f>E67/12+F67/6+SUM(G67:I67)/4</f>
        <v>2.4324795752013496E-2</v>
      </c>
      <c r="K67" s="126"/>
      <c r="L67" s="1"/>
    </row>
    <row r="68" spans="2:12">
      <c r="B68" s="118"/>
      <c r="C68" t="s">
        <v>215</v>
      </c>
      <c r="E68" s="13">
        <f>E56*D66</f>
        <v>42.583333333333336</v>
      </c>
      <c r="F68" s="13">
        <f>F56*E66</f>
        <v>82.144623655913975</v>
      </c>
      <c r="G68" s="13">
        <f>G56*F66</f>
        <v>116.62338709677418</v>
      </c>
      <c r="H68" s="13">
        <f>H56*G66</f>
        <v>88.531622321638807</v>
      </c>
      <c r="I68" s="13">
        <f>I56*H66</f>
        <v>80.870231928420068</v>
      </c>
      <c r="J68" s="13">
        <f>SUM(E68:I68)</f>
        <v>410.75319833608035</v>
      </c>
      <c r="K68" s="127"/>
      <c r="L68" s="13"/>
    </row>
    <row r="69" spans="2:12">
      <c r="B69" s="118"/>
      <c r="C69" s="122" t="s">
        <v>229</v>
      </c>
      <c r="D69" s="128"/>
      <c r="E69" s="129">
        <f t="shared" ref="E69:I70" si="5">AVERAGE(D$66:E$66)*E57</f>
        <v>-0.37499975345734515</v>
      </c>
      <c r="F69" s="129">
        <f t="shared" si="5"/>
        <v>-1.4773569839674161</v>
      </c>
      <c r="G69" s="129">
        <f t="shared" si="5"/>
        <v>-2.3059093586809372</v>
      </c>
      <c r="H69" s="129">
        <f t="shared" si="5"/>
        <v>-2.3942757321535382</v>
      </c>
      <c r="I69" s="129">
        <f t="shared" si="5"/>
        <v>-2.5388089752172971</v>
      </c>
      <c r="J69" s="113">
        <f t="shared" ref="J69:J75" si="6">SUM(E69:I69)</f>
        <v>-9.0913508034765336</v>
      </c>
      <c r="K69" s="130"/>
      <c r="L69" s="113"/>
    </row>
    <row r="70" spans="2:12">
      <c r="B70" s="118"/>
      <c r="C70" s="122" t="s">
        <v>228</v>
      </c>
      <c r="D70" s="128"/>
      <c r="E70" s="129">
        <f t="shared" si="5"/>
        <v>-0.21886428078300085</v>
      </c>
      <c r="F70" s="129">
        <f t="shared" si="5"/>
        <v>-0.81981546642189851</v>
      </c>
      <c r="G70" s="129">
        <f t="shared" si="5"/>
        <v>-1.25387505481271</v>
      </c>
      <c r="H70" s="129">
        <f t="shared" si="5"/>
        <v>-1.2958035513247228</v>
      </c>
      <c r="I70" s="129">
        <f t="shared" si="5"/>
        <v>-1.3681459423731754</v>
      </c>
      <c r="J70" s="113">
        <f t="shared" si="6"/>
        <v>-4.9565042957155079</v>
      </c>
      <c r="K70" s="130"/>
      <c r="L70" s="113"/>
    </row>
    <row r="71" spans="2:12">
      <c r="B71" s="118"/>
      <c r="C71" s="122" t="s">
        <v>230</v>
      </c>
      <c r="D71" s="128"/>
      <c r="E71" s="129">
        <f t="shared" ref="E71:I75" si="7">AVERAGE(D$66:E$66)*E59</f>
        <v>-0.26467663275852971</v>
      </c>
      <c r="F71" s="129">
        <f t="shared" si="7"/>
        <v>-1.0386979617238883</v>
      </c>
      <c r="G71" s="129">
        <f t="shared" si="7"/>
        <v>-1.618711331792102</v>
      </c>
      <c r="H71" s="129">
        <f t="shared" si="7"/>
        <v>-1.6801319477185359</v>
      </c>
      <c r="I71" s="129">
        <f t="shared" si="7"/>
        <v>-1.7809647399286488</v>
      </c>
      <c r="J71" s="113">
        <f t="shared" si="6"/>
        <v>-6.3831826139217052</v>
      </c>
      <c r="K71" s="130"/>
      <c r="L71" s="113"/>
    </row>
    <row r="72" spans="2:12">
      <c r="B72" s="118"/>
      <c r="C72" t="s">
        <v>216</v>
      </c>
      <c r="E72" s="13">
        <f>AVERAGE(D$66:E$66)*E60</f>
        <v>-1.1924175930539918</v>
      </c>
      <c r="F72" s="13">
        <f t="shared" si="7"/>
        <v>-4.6331533501572375</v>
      </c>
      <c r="G72" s="13">
        <f t="shared" si="7"/>
        <v>-7.1923552017857668</v>
      </c>
      <c r="H72" s="13">
        <f t="shared" si="7"/>
        <v>-7.4586267099955643</v>
      </c>
      <c r="I72" s="13">
        <f t="shared" si="7"/>
        <v>-7.8998884132210003</v>
      </c>
      <c r="J72" s="13">
        <f t="shared" si="6"/>
        <v>-28.376441268213558</v>
      </c>
      <c r="K72" s="127"/>
      <c r="L72" s="13"/>
    </row>
    <row r="73" spans="2:12">
      <c r="B73" s="118"/>
      <c r="C73" s="122" t="s">
        <v>117</v>
      </c>
      <c r="E73" s="129">
        <f t="shared" ca="1" si="7"/>
        <v>-8.4099640198511292</v>
      </c>
      <c r="F73" s="129">
        <f t="shared" ca="1" si="7"/>
        <v>-37.506506203473947</v>
      </c>
      <c r="G73" s="129">
        <f t="shared" ca="1" si="7"/>
        <v>-89.372335749604773</v>
      </c>
      <c r="H73" s="129">
        <f t="shared" ca="1" si="7"/>
        <v>-51.09028194303928</v>
      </c>
      <c r="I73" s="129">
        <f t="shared" ca="1" si="7"/>
        <v>-66.009443001782785</v>
      </c>
      <c r="J73" s="113">
        <f t="shared" ca="1" si="6"/>
        <v>-252.38853091775192</v>
      </c>
      <c r="K73" s="130"/>
      <c r="L73" s="113"/>
    </row>
    <row r="74" spans="2:12">
      <c r="B74" s="118"/>
      <c r="C74" s="122" t="s">
        <v>118</v>
      </c>
      <c r="E74" s="129">
        <f t="shared" ca="1" si="7"/>
        <v>-24.257139554590573</v>
      </c>
      <c r="F74" s="129">
        <f t="shared" ca="1" si="7"/>
        <v>-54.45944700744419</v>
      </c>
      <c r="G74" s="129">
        <f t="shared" ca="1" si="7"/>
        <v>-127.21808254203357</v>
      </c>
      <c r="H74" s="129">
        <f t="shared" ca="1" si="7"/>
        <v>-70.98710841085628</v>
      </c>
      <c r="I74" s="129">
        <f t="shared" ca="1" si="7"/>
        <v>-67.050361141426293</v>
      </c>
      <c r="J74" s="113">
        <f t="shared" ca="1" si="6"/>
        <v>-343.97213865635092</v>
      </c>
      <c r="K74" s="130"/>
      <c r="L74" s="113"/>
    </row>
    <row r="75" spans="2:12">
      <c r="B75" s="118"/>
      <c r="C75" t="s">
        <v>217</v>
      </c>
      <c r="E75" s="13">
        <f t="shared" ca="1" si="7"/>
        <v>-32.667103574441711</v>
      </c>
      <c r="F75" s="13">
        <f t="shared" ca="1" si="7"/>
        <v>-91.965953210918101</v>
      </c>
      <c r="G75" s="13">
        <f t="shared" ca="1" si="7"/>
        <v>-216.59041829163831</v>
      </c>
      <c r="H75" s="13">
        <f t="shared" ca="1" si="7"/>
        <v>-122.07739035389554</v>
      </c>
      <c r="I75" s="13">
        <f t="shared" ca="1" si="7"/>
        <v>-133.05980414320908</v>
      </c>
      <c r="J75" s="13">
        <f t="shared" ca="1" si="6"/>
        <v>-596.36066957410276</v>
      </c>
      <c r="K75" s="127"/>
      <c r="L75" s="13"/>
    </row>
    <row r="76" spans="2:12">
      <c r="B76" s="118"/>
      <c r="C76" t="s">
        <v>218</v>
      </c>
      <c r="J76" s="13">
        <f ca="1">J68+cAE+J72+J75</f>
        <v>-207.77173041809056</v>
      </c>
      <c r="K76" s="120"/>
    </row>
    <row r="77" spans="2:12">
      <c r="B77" s="118"/>
      <c r="K77" s="120"/>
    </row>
    <row r="78" spans="2:12">
      <c r="B78" s="118"/>
      <c r="C78" s="4" t="s">
        <v>235</v>
      </c>
      <c r="K78" s="120"/>
    </row>
    <row r="79" spans="2:12">
      <c r="B79" s="118"/>
      <c r="C79" t="s">
        <v>225</v>
      </c>
      <c r="E79" s="13">
        <f>E$68/(E$67/12)</f>
        <v>37219.744030746435</v>
      </c>
      <c r="F79" s="13">
        <f>F$68/(F$67/6)</f>
        <v>20089.981799351153</v>
      </c>
      <c r="G79" s="13">
        <f>G$68/(G$67/4)</f>
        <v>19004.409625512089</v>
      </c>
      <c r="H79" s="13">
        <f>H$68/(H$67/4)</f>
        <v>14020.541965363971</v>
      </c>
      <c r="I79" s="13">
        <f>I$68/(I$67/4)</f>
        <v>12177.814772585954</v>
      </c>
      <c r="J79" s="13">
        <f>J68/J67</f>
        <v>16886.193106146846</v>
      </c>
      <c r="K79" s="127"/>
      <c r="L79" s="13"/>
    </row>
    <row r="80" spans="2:12">
      <c r="B80" s="118"/>
      <c r="C80" t="s">
        <v>226</v>
      </c>
      <c r="E80" s="13">
        <f>(E$68+E$72)/(E$67/12)</f>
        <v>36177.517551108976</v>
      </c>
      <c r="F80" s="13">
        <f>(F$68+F72)/(F$67/6)</f>
        <v>18956.858749592553</v>
      </c>
      <c r="G80" s="13">
        <f>(G$68+G72)/(G$67/4)</f>
        <v>17832.376572540503</v>
      </c>
      <c r="H80" s="13">
        <f>(H$68+H72)/(H$67/4)</f>
        <v>12839.33703486404</v>
      </c>
      <c r="I80" s="13">
        <f>(I$68+I69)/(I$67/4)</f>
        <v>11795.50913668101</v>
      </c>
      <c r="J80" s="13">
        <f>(J68+J72)/J67</f>
        <v>15719.628685318576</v>
      </c>
      <c r="K80" s="127"/>
      <c r="L80" s="13"/>
    </row>
    <row r="81" spans="2:12">
      <c r="B81" s="118"/>
      <c r="C81" t="s">
        <v>227</v>
      </c>
      <c r="E81" s="13">
        <f ca="1">(E$68+E$72+E75)/(E$67/12)</f>
        <v>7625.003266961764</v>
      </c>
      <c r="F81" s="13">
        <f ca="1">(F$68+F$72+F75)/(F$67/6)</f>
        <v>-3535.11021853489</v>
      </c>
      <c r="G81" s="13">
        <f ca="1">(G$68+G$72+G75)/(G$67/4)</f>
        <v>-17462.199692507413</v>
      </c>
      <c r="H81" s="13">
        <f ca="1">(H$68+H$72+H75)/(H$67/4)</f>
        <v>-6493.7682397759563</v>
      </c>
      <c r="I81" s="13">
        <f ca="1">(I$68+I$72+I75)/(I$67/4)</f>
        <v>-9048.5498045831882</v>
      </c>
      <c r="J81" s="13">
        <f ca="1">(J68+J72+J75+cAE)/(J67+qAE)</f>
        <v>-8705.8284021814361</v>
      </c>
      <c r="K81" s="127"/>
      <c r="L81" s="13"/>
    </row>
    <row r="82" spans="2:12">
      <c r="B82" s="118"/>
      <c r="K82" s="120"/>
    </row>
    <row r="83" spans="2:12">
      <c r="B83" s="118"/>
      <c r="C83" s="4" t="s">
        <v>236</v>
      </c>
      <c r="F83" s="111" t="s">
        <v>238</v>
      </c>
      <c r="G83" s="111" t="s">
        <v>239</v>
      </c>
      <c r="K83" s="120"/>
    </row>
    <row r="84" spans="2:12">
      <c r="B84" s="118"/>
      <c r="C84" t="s">
        <v>225</v>
      </c>
      <c r="E84" s="13">
        <f>SUM(E$68:I$68,cAE,cAE+hrsTrain*ucGP*60/9/ptsAnnum)/(E$67/12+F$67/6+SUM(G$67:I$67)/4+qAE)</f>
        <v>17731.532752183008</v>
      </c>
      <c r="F84" s="131">
        <f>($E$67/12+$F$67/6+SUM($G$67:I$67)/4+qAE)-SUM($E$68:$I$68,cAE,hrsTrain*ucGP*60/9/ptsAnnum)/20000</f>
        <v>3.0175506136012713E-3</v>
      </c>
      <c r="G84" s="131" cm="1">
        <f t="array" ref="G84">($E$67/12+$F$67/6+SUM($G$67:I$67+qAE)/4)-SUM($E$68:$I$68,cAE,hrsTrain*ucGP*60/9/ptsAnnum)/30000</f>
        <v>1.0081717649971936E-2</v>
      </c>
      <c r="I84" s="83"/>
      <c r="J84" s="246"/>
      <c r="K84" s="120"/>
    </row>
    <row r="85" spans="2:12">
      <c r="B85" s="118"/>
      <c r="C85" t="s">
        <v>226</v>
      </c>
      <c r="E85" s="13">
        <f>(SUM(E$68:I$68,cAE,hrsTrain*ucGP*60/9/ptsAnnum)+SUM(E$72:I$72))/(E$67/12+F$67/6+SUM(G$67:I$67)/4+qAE)</f>
        <v>16282.237321075947</v>
      </c>
      <c r="F85" s="131">
        <f>($E$67/12+$F$67/6+SUM($G$67:I$67)/4+qAE)-(SUM($E$68:$I$68)+SUM($E72:$I72,cAE,hrsTrain*ucGP*60/9/ptsAnnum))/20000</f>
        <v>4.4363726770119509E-3</v>
      </c>
      <c r="G85" s="131">
        <f>($E$67/12+$F$67/6+SUM($G$67:I$67)/4+qAE)-(SUM($E$68:$I$68)+SUM($E72:$I72,cAE,hrsTrain*ucGP*60/9/ptsAnnum))/30000</f>
        <v>1.0912854996278819E-2</v>
      </c>
      <c r="I85" s="83"/>
      <c r="J85" s="246"/>
      <c r="K85" s="120"/>
    </row>
    <row r="86" spans="2:12">
      <c r="B86" s="118"/>
      <c r="C86" t="s">
        <v>227</v>
      </c>
      <c r="E86" s="13">
        <f ca="1">(SUM(E$68:I$68,cAE,hrsTrain*ucGP*60/9/ptsAnnum)+SUM(E$72:I$72)+SUM(E75:I75))/(E$67/12+F$67/6+SUM(G$67:I$67)/4+qAE)</f>
        <v>-8705.8284021814361</v>
      </c>
      <c r="F86" s="131">
        <f ca="1">($E$67/12+$F$67/6+SUM($G$67:$I$67)/4+qAE)-(SUM($E$68:$I$68)+SUM($E$72:$I$72)+SUM($E$75:$I$75,cAE,hrsTrain*ucGP*60/9/ptsAnnum))/20000</f>
        <v>3.4254406155717093E-2</v>
      </c>
      <c r="G86" s="131">
        <f ca="1">($E$67/12+$F$67/6+SUM($G$67:$I$67)/4+qAE)-(SUM($E$68:$I$68)+SUM($E$72:$I$72)+SUM($E$75:$I$75,cAE,hrsTrain*ucGP*60/9/ptsAnnum))/30000</f>
        <v>3.0791543982082246E-2</v>
      </c>
      <c r="K86" s="120"/>
    </row>
    <row r="87" spans="2:12">
      <c r="B87" s="118"/>
      <c r="K87" s="120"/>
    </row>
    <row r="88" spans="2:12">
      <c r="B88" s="118"/>
      <c r="C88" s="4" t="s">
        <v>237</v>
      </c>
      <c r="F88" s="111" t="s">
        <v>238</v>
      </c>
      <c r="G88" s="111" t="s">
        <v>239</v>
      </c>
      <c r="K88" s="120"/>
    </row>
    <row r="89" spans="2:12">
      <c r="B89" s="118"/>
      <c r="C89" t="s">
        <v>225</v>
      </c>
      <c r="E89" s="13">
        <f>$I$56/$I$53*4</f>
        <v>10695.476271626136</v>
      </c>
      <c r="F89" s="131">
        <f>$I$53-$I$56*4/20000</f>
        <v>2.2227208515306983E-2</v>
      </c>
      <c r="G89" s="131">
        <f>$I$53-$I$56*4/30000</f>
        <v>3.0743875181973648E-2</v>
      </c>
      <c r="H89" s="213"/>
      <c r="K89" s="120"/>
    </row>
    <row r="90" spans="2:12">
      <c r="B90" s="118"/>
      <c r="C90" t="s">
        <v>226</v>
      </c>
      <c r="E90" s="13">
        <f>(I$56+I$60)/I$53*4</f>
        <v>9580.2422864949367</v>
      </c>
      <c r="F90" s="131">
        <f>$I$53-($I$56+$I$60)*4/20000</f>
        <v>2.4891346847855485E-2</v>
      </c>
      <c r="G90" s="131">
        <f>$I$53-($I$56+$I$60)*4/30000</f>
        <v>3.2519967403672648E-2</v>
      </c>
      <c r="K90" s="120"/>
    </row>
    <row r="91" spans="2:12">
      <c r="B91" s="118"/>
      <c r="C91" t="s">
        <v>227</v>
      </c>
      <c r="E91" s="13">
        <f ca="1">(I$56+I$60+I63)/I$53*4</f>
        <v>-9203.9237514787728</v>
      </c>
      <c r="F91" s="131">
        <f ca="1">$I$53-($I$56+$I$60+$I$63)*4/20000</f>
        <v>6.9764097726976365E-2</v>
      </c>
      <c r="G91" s="131">
        <f ca="1">$I$53-($I$56+$I$60+$I$63)*4/30000</f>
        <v>6.2435134656419908E-2</v>
      </c>
      <c r="K91" s="120"/>
    </row>
    <row r="92" spans="2:12" ht="17" thickBot="1">
      <c r="B92" s="132"/>
      <c r="C92" s="86"/>
      <c r="D92" s="86"/>
      <c r="E92" s="86"/>
      <c r="F92" s="86"/>
      <c r="G92" s="86"/>
      <c r="H92" s="86"/>
      <c r="I92" s="86"/>
      <c r="J92" s="86"/>
      <c r="K92" s="133"/>
    </row>
    <row r="98" spans="3:6" ht="17" thickBot="1">
      <c r="C98" t="s">
        <v>744</v>
      </c>
    </row>
    <row r="99" spans="3:6">
      <c r="C99" s="115" t="s">
        <v>361</v>
      </c>
      <c r="D99" s="116" t="s">
        <v>33</v>
      </c>
      <c r="E99" s="117" t="s">
        <v>362</v>
      </c>
    </row>
    <row r="100" spans="3:6">
      <c r="C100" s="118" t="s">
        <v>360</v>
      </c>
      <c r="D100" s="13">
        <f>SUM(E29:I29)</f>
        <v>866.25426763194207</v>
      </c>
      <c r="E100" s="126">
        <f>E21/12+F21/6+SUM(G21:I21)/4</f>
        <v>0.69176099729664542</v>
      </c>
    </row>
    <row r="101" spans="3:6">
      <c r="C101" s="118" t="s">
        <v>28</v>
      </c>
      <c r="D101" s="13">
        <f>SUM(E42:I42)+SUM(E46:I46)+cAE+hrsTrain*ucGP*60/9/ptsAnnum</f>
        <v>1343.7893249678284</v>
      </c>
      <c r="E101" s="126">
        <f>E38/12+F38/6+SUM(G38:I38)/4+qAE</f>
        <v>0.72518649664641222</v>
      </c>
    </row>
    <row r="102" spans="3:6">
      <c r="C102" s="118" t="s">
        <v>158</v>
      </c>
      <c r="D102" s="13">
        <f>D101-D100</f>
        <v>477.53505733588634</v>
      </c>
      <c r="E102" s="126">
        <f>E101-E100</f>
        <v>3.3425499349766796E-2</v>
      </c>
    </row>
    <row r="103" spans="3:6">
      <c r="C103" s="118" t="s">
        <v>363</v>
      </c>
      <c r="D103" s="124">
        <f>D102/E102</f>
        <v>14286.549688874522</v>
      </c>
      <c r="E103" s="120"/>
    </row>
    <row r="104" spans="3:6">
      <c r="C104" s="118" t="s">
        <v>724</v>
      </c>
      <c r="D104" s="13">
        <f>J68+J72+cAE+hrsTrain*ucGP*60/9/ptsAnnum</f>
        <v>388.5889391560122</v>
      </c>
      <c r="E104" s="126">
        <f>J67+qAE</f>
        <v>2.386581963481256E-2</v>
      </c>
    </row>
    <row r="105" spans="3:6">
      <c r="C105" s="118" t="s">
        <v>725</v>
      </c>
      <c r="D105" s="13">
        <f>D104/E104</f>
        <v>16282.237321075947</v>
      </c>
      <c r="E105" s="120"/>
    </row>
    <row r="106" spans="3:6">
      <c r="C106" s="118" t="s">
        <v>761</v>
      </c>
      <c r="D106" s="13">
        <f>(I56+I60)*4</f>
        <v>457.71723334902987</v>
      </c>
      <c r="E106" s="126">
        <f>I53</f>
        <v>4.7777208515306979E-2</v>
      </c>
    </row>
    <row r="107" spans="3:6" ht="17" thickBot="1">
      <c r="C107" s="132" t="s">
        <v>726</v>
      </c>
      <c r="D107" s="248">
        <f>E90</f>
        <v>9580.2422864949367</v>
      </c>
      <c r="E107" s="133"/>
      <c r="F107" s="1"/>
    </row>
    <row r="108" spans="3:6">
      <c r="D108" s="83"/>
    </row>
  </sheetData>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Option Button 1">
              <controlPr defaultSize="0" autoFill="0" autoLine="0" autoPict="0">
                <anchor moveWithCells="1">
                  <from>
                    <xdr:col>2</xdr:col>
                    <xdr:colOff>139700</xdr:colOff>
                    <xdr:row>7</xdr:row>
                    <xdr:rowOff>63500</xdr:rowOff>
                  </from>
                  <to>
                    <xdr:col>4</xdr:col>
                    <xdr:colOff>406400</xdr:colOff>
                    <xdr:row>8</xdr:row>
                    <xdr:rowOff>254000</xdr:rowOff>
                  </to>
                </anchor>
              </controlPr>
            </control>
          </mc:Choice>
        </mc:AlternateContent>
        <mc:AlternateContent xmlns:mc="http://schemas.openxmlformats.org/markup-compatibility/2006">
          <mc:Choice Requires="x14">
            <control shapeId="12290" r:id="rId4" name="Option Button 2">
              <controlPr defaultSize="0" autoFill="0" autoLine="0" autoPict="0">
                <anchor moveWithCells="1">
                  <from>
                    <xdr:col>4</xdr:col>
                    <xdr:colOff>381000</xdr:colOff>
                    <xdr:row>7</xdr:row>
                    <xdr:rowOff>139700</xdr:rowOff>
                  </from>
                  <to>
                    <xdr:col>7</xdr:col>
                    <xdr:colOff>266700</xdr:colOff>
                    <xdr:row>8</xdr:row>
                    <xdr:rowOff>254000</xdr:rowOff>
                  </to>
                </anchor>
              </controlPr>
            </control>
          </mc:Choice>
        </mc:AlternateContent>
        <mc:AlternateContent xmlns:mc="http://schemas.openxmlformats.org/markup-compatibility/2006">
          <mc:Choice Requires="x14">
            <control shapeId="12298" r:id="rId5" name="Group Box 10">
              <controlPr defaultSize="0" autoFill="0" autoPict="0">
                <anchor moveWithCells="1">
                  <from>
                    <xdr:col>1</xdr:col>
                    <xdr:colOff>114300</xdr:colOff>
                    <xdr:row>6</xdr:row>
                    <xdr:rowOff>190500</xdr:rowOff>
                  </from>
                  <to>
                    <xdr:col>8</xdr:col>
                    <xdr:colOff>190500</xdr:colOff>
                    <xdr:row>9</xdr:row>
                    <xdr:rowOff>152400</xdr:rowOff>
                  </to>
                </anchor>
              </controlPr>
            </control>
          </mc:Choice>
        </mc:AlternateContent>
        <mc:AlternateContent xmlns:mc="http://schemas.openxmlformats.org/markup-compatibility/2006">
          <mc:Choice Requires="x14">
            <control shapeId="12304" r:id="rId6" name="Group Box 16">
              <controlPr defaultSize="0" autoFill="0" autoPict="0">
                <anchor moveWithCells="1">
                  <from>
                    <xdr:col>1</xdr:col>
                    <xdr:colOff>139700</xdr:colOff>
                    <xdr:row>3</xdr:row>
                    <xdr:rowOff>25400</xdr:rowOff>
                  </from>
                  <to>
                    <xdr:col>8</xdr:col>
                    <xdr:colOff>177800</xdr:colOff>
                    <xdr:row>5</xdr:row>
                    <xdr:rowOff>254000</xdr:rowOff>
                  </to>
                </anchor>
              </controlPr>
            </control>
          </mc:Choice>
        </mc:AlternateContent>
        <mc:AlternateContent xmlns:mc="http://schemas.openxmlformats.org/markup-compatibility/2006">
          <mc:Choice Requires="x14">
            <control shapeId="12305" r:id="rId7" name="Option Button 17">
              <controlPr defaultSize="0" autoFill="0" autoLine="0" autoPict="0">
                <anchor moveWithCells="1">
                  <from>
                    <xdr:col>2</xdr:col>
                    <xdr:colOff>139700</xdr:colOff>
                    <xdr:row>4</xdr:row>
                    <xdr:rowOff>38100</xdr:rowOff>
                  </from>
                  <to>
                    <xdr:col>2</xdr:col>
                    <xdr:colOff>1663700</xdr:colOff>
                    <xdr:row>5</xdr:row>
                    <xdr:rowOff>152400</xdr:rowOff>
                  </to>
                </anchor>
              </controlPr>
            </control>
          </mc:Choice>
        </mc:AlternateContent>
        <mc:AlternateContent xmlns:mc="http://schemas.openxmlformats.org/markup-compatibility/2006">
          <mc:Choice Requires="x14">
            <control shapeId="12306" r:id="rId8" name="Option Button 18">
              <controlPr defaultSize="0" autoFill="0" autoLine="0" autoPict="0">
                <anchor moveWithCells="1">
                  <from>
                    <xdr:col>4</xdr:col>
                    <xdr:colOff>381000</xdr:colOff>
                    <xdr:row>4</xdr:row>
                    <xdr:rowOff>38100</xdr:rowOff>
                  </from>
                  <to>
                    <xdr:col>6</xdr:col>
                    <xdr:colOff>101600</xdr:colOff>
                    <xdr:row>5</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3E697-B43C-9B4D-9C05-5B8ABB88337D}">
  <sheetPr codeName="Sheet18">
    <tabColor rgb="FFCAB68E"/>
  </sheetPr>
  <dimension ref="B2:V62"/>
  <sheetViews>
    <sheetView topLeftCell="F1" zoomScale="110" zoomScaleNormal="110" workbookViewId="0">
      <selection activeCell="V8" sqref="V8:V58"/>
    </sheetView>
  </sheetViews>
  <sheetFormatPr baseColWidth="10" defaultColWidth="11" defaultRowHeight="16"/>
  <cols>
    <col min="4" max="4" width="11.5" bestFit="1" customWidth="1"/>
    <col min="7" max="7" width="12.1640625" bestFit="1" customWidth="1"/>
    <col min="8" max="8" width="2.6640625" customWidth="1"/>
    <col min="11" max="11" width="2.6640625" customWidth="1"/>
    <col min="14" max="14" width="2.6640625" customWidth="1"/>
    <col min="17" max="17" width="11.5" bestFit="1" customWidth="1"/>
    <col min="19" max="19" width="11.5" bestFit="1" customWidth="1"/>
    <col min="20" max="20" width="11.6640625" bestFit="1" customWidth="1"/>
    <col min="21" max="22" width="11.5" bestFit="1" customWidth="1"/>
  </cols>
  <sheetData>
    <row r="2" spans="2:22" ht="21">
      <c r="B2" s="5" t="s">
        <v>259</v>
      </c>
    </row>
    <row r="3" spans="2:22">
      <c r="B3" t="s">
        <v>260</v>
      </c>
      <c r="F3" s="91"/>
      <c r="G3" s="230"/>
    </row>
    <row r="4" spans="2:22">
      <c r="B4" t="s">
        <v>261</v>
      </c>
      <c r="F4" s="91" t="s">
        <v>713</v>
      </c>
      <c r="G4" s="91">
        <v>1</v>
      </c>
      <c r="H4" s="91"/>
      <c r="I4" s="91"/>
    </row>
    <row r="6" spans="2:22">
      <c r="E6" t="s">
        <v>275</v>
      </c>
      <c r="G6" t="s">
        <v>276</v>
      </c>
      <c r="V6" t="s">
        <v>713</v>
      </c>
    </row>
    <row r="7" spans="2:22">
      <c r="B7" t="s">
        <v>262</v>
      </c>
      <c r="E7" t="s">
        <v>272</v>
      </c>
      <c r="F7" t="s">
        <v>273</v>
      </c>
      <c r="G7" t="s">
        <v>273</v>
      </c>
      <c r="I7" t="s">
        <v>205</v>
      </c>
      <c r="J7" t="s">
        <v>274</v>
      </c>
      <c r="L7" t="s">
        <v>272</v>
      </c>
      <c r="M7" t="s">
        <v>273</v>
      </c>
      <c r="O7" t="s">
        <v>296</v>
      </c>
      <c r="P7" t="s">
        <v>297</v>
      </c>
      <c r="Q7" t="s">
        <v>366</v>
      </c>
      <c r="S7" t="s">
        <v>748</v>
      </c>
      <c r="T7" s="12">
        <v>0.05</v>
      </c>
      <c r="U7" s="12">
        <v>0.1</v>
      </c>
      <c r="V7" s="12">
        <v>0.1</v>
      </c>
    </row>
    <row r="8" spans="2:22">
      <c r="B8">
        <v>1</v>
      </c>
      <c r="C8">
        <f t="array" ref="C8">mnAge</f>
        <v>50</v>
      </c>
      <c r="D8" s="83"/>
      <c r="E8" s="9">
        <f>'Model | 1 Year'!D104</f>
        <v>388.5889391560122</v>
      </c>
      <c r="F8" s="1">
        <f>'Model | 1 Year'!E104</f>
        <v>2.386581963481256E-2</v>
      </c>
      <c r="I8" s="12">
        <f>'Model | 1 Year'!I66</f>
        <v>0.55307275724040506</v>
      </c>
      <c r="L8" s="13">
        <f>E8</f>
        <v>388.5889391560122</v>
      </c>
      <c r="M8" s="1">
        <f>F8</f>
        <v>2.386581963481256E-2</v>
      </c>
      <c r="O8" s="13">
        <f>L8</f>
        <v>388.5889391560122</v>
      </c>
      <c r="P8" s="1">
        <f>M8</f>
        <v>2.386581963481256E-2</v>
      </c>
      <c r="Q8" s="13">
        <f>O8/P8</f>
        <v>16282.237321075947</v>
      </c>
      <c r="R8" s="13"/>
      <c r="S8" s="9">
        <v>16282.237321075947</v>
      </c>
      <c r="T8" s="9">
        <v>16282.237321075947</v>
      </c>
      <c r="U8" s="13">
        <v>16282.237321075947</v>
      </c>
      <c r="V8" s="9">
        <v>16282.237321075947</v>
      </c>
    </row>
    <row r="9" spans="2:22">
      <c r="B9">
        <v>2</v>
      </c>
      <c r="C9">
        <f>C8+1</f>
        <v>51</v>
      </c>
      <c r="D9" s="83"/>
      <c r="E9" s="9">
        <f>TxC*365+'Model | 1 Year'!I72*4</f>
        <v>479.40044634711592</v>
      </c>
      <c r="F9" s="1">
        <f>'Model | 1 Year'!$I$53</f>
        <v>4.7777208515306979E-2</v>
      </c>
      <c r="G9">
        <f>((NT7plus*1+NT67_*btw67_+NTblw6*blw6hrs)-(D7plus*1+D67_*btw67_+Dblw6*blw6hrs))*VLOOKUP(C9,Lifetable,2,1)*VLOOKUP(C9,Lifetable,3,1)*'Model | 1 Year'!$I$36</f>
        <v>2.883690472166296E-4</v>
      </c>
      <c r="I9" s="11">
        <f t="shared" ref="I9:I40" si="0">I8*(1-doRate)</f>
        <v>0.52541911937838481</v>
      </c>
      <c r="J9" s="12">
        <f>AVERAGE(I8:I9)</f>
        <v>0.53924593830939493</v>
      </c>
      <c r="L9" s="13">
        <f>(E9+challenge*ucGP)*J9/(1+cDR)^(B9-1)</f>
        <v>270.21194364857087</v>
      </c>
      <c r="M9" s="1">
        <f>J9*SUM(F9:G9)*(1-'Model | Parameters'!waning)^IF(challenge=1,1,B8)/(1+oDR)^(B9-1)</f>
        <v>2.5042673887039655E-2</v>
      </c>
      <c r="O9" s="13">
        <f>O8+L9</f>
        <v>658.80088280458313</v>
      </c>
      <c r="P9" s="1">
        <f>P8+M9</f>
        <v>4.8908493521852212E-2</v>
      </c>
      <c r="Q9" s="13">
        <f t="shared" ref="Q9:Q57" si="1">O9/P9</f>
        <v>13470.071052387502</v>
      </c>
      <c r="R9" s="13"/>
      <c r="S9" s="9">
        <v>13052.16317735178</v>
      </c>
      <c r="T9" s="9">
        <v>13395.098587393561</v>
      </c>
      <c r="U9" s="13">
        <v>13756.540974824324</v>
      </c>
      <c r="V9" s="9">
        <v>14224.8471179441</v>
      </c>
    </row>
    <row r="10" spans="2:22">
      <c r="B10">
        <v>3</v>
      </c>
      <c r="C10">
        <f>C9+1</f>
        <v>52</v>
      </c>
      <c r="E10" s="13">
        <f>E9</f>
        <v>479.40044634711592</v>
      </c>
      <c r="F10" s="1">
        <f>'Model | 1 Year'!$I$53</f>
        <v>4.7777208515306979E-2</v>
      </c>
      <c r="G10">
        <f>((NT7plus*1+NT67_*btw67_+NTblw6*blw6hrs)-(D7plus*1+D67_*btw67_+Dblw6*blw6hrs))*VLOOKUP(C10,Lifetable,2,1)*VLOOKUP(C10,Lifetable,3,1)*'Model | 1 Year'!$I$36</f>
        <v>2.883690472166296E-4</v>
      </c>
      <c r="I10" s="11">
        <f t="shared" si="0"/>
        <v>0.49914816340946555</v>
      </c>
      <c r="J10" s="12">
        <f t="shared" ref="J10:J58" si="2">AVERAGE(I9:I10)</f>
        <v>0.51228364139392513</v>
      </c>
      <c r="L10" s="13">
        <f t="shared" ref="L10:L40" si="3">(E10+challenge*ucGP)*J10/(1+cDR)^(B10-1)</f>
        <v>248.02062460496842</v>
      </c>
      <c r="M10" s="1">
        <f>J10*SUM(F10:G10)*(1-'Model | Parameters'!waning)^IF(challenge=1,1,B9)/(1+oDR)^(B10-1)</f>
        <v>2.2986029171678909E-2</v>
      </c>
      <c r="O10" s="13">
        <f t="shared" ref="O10:O58" si="4">O9+L10</f>
        <v>906.82150740955149</v>
      </c>
      <c r="P10" s="1">
        <f>P9+M10</f>
        <v>7.1894522693531124E-2</v>
      </c>
      <c r="Q10" s="13">
        <f t="shared" si="1"/>
        <v>12613.221055449678</v>
      </c>
      <c r="R10" s="13"/>
      <c r="S10" s="9">
        <v>12067.979186890292</v>
      </c>
      <c r="T10" s="9">
        <v>12684.294349406491</v>
      </c>
      <c r="U10" s="13">
        <v>13343.32171060751</v>
      </c>
      <c r="V10" s="9">
        <v>13567.188390050947</v>
      </c>
    </row>
    <row r="11" spans="2:22">
      <c r="B11">
        <v>4</v>
      </c>
      <c r="C11">
        <f t="shared" ref="C11:C48" si="5">C10+1</f>
        <v>53</v>
      </c>
      <c r="E11" s="13">
        <f t="shared" ref="E11:E58" si="6">E10</f>
        <v>479.40044634711592</v>
      </c>
      <c r="F11" s="1">
        <f>'Model | 1 Year'!$I$53</f>
        <v>4.7777208515306979E-2</v>
      </c>
      <c r="G11">
        <f>((NT7plus*1+NT67_*btw67_+NTblw6*blw6hrs)-(D7plus*1+D67_*btw67_+Dblw6*blw6hrs))*VLOOKUP(C11,Lifetable,2,1)*VLOOKUP(C11,Lifetable,3,1)*'Model | 1 Year'!$I$36</f>
        <v>2.883690472166296E-4</v>
      </c>
      <c r="I11" s="11">
        <f t="shared" si="0"/>
        <v>0.47419075523899223</v>
      </c>
      <c r="J11" s="12">
        <f t="shared" si="2"/>
        <v>0.48666945932422889</v>
      </c>
      <c r="L11" s="13">
        <f t="shared" si="3"/>
        <v>227.65178103837684</v>
      </c>
      <c r="M11" s="1">
        <f>J11*SUM(F11:G11)*(1-'Model | Parameters'!waning)^IF(challenge=1,1,B10)/(1+oDR)^(B11-1)</f>
        <v>2.1098287645502388E-2</v>
      </c>
      <c r="O11" s="13">
        <f t="shared" si="4"/>
        <v>1134.4732884479283</v>
      </c>
      <c r="P11" s="1">
        <f t="shared" ref="P11:P58" si="7">P10+M11</f>
        <v>9.2992810339033505E-2</v>
      </c>
      <c r="Q11" s="13">
        <f t="shared" si="1"/>
        <v>12199.580637598345</v>
      </c>
      <c r="R11" s="13"/>
      <c r="S11" s="9">
        <v>11592.868865933351</v>
      </c>
      <c r="T11" s="9">
        <v>12464.429711428222</v>
      </c>
      <c r="U11" s="13">
        <v>13408.031139614848</v>
      </c>
      <c r="V11" s="9">
        <v>13245.73904482849</v>
      </c>
    </row>
    <row r="12" spans="2:22">
      <c r="B12">
        <v>5</v>
      </c>
      <c r="C12">
        <f t="shared" si="5"/>
        <v>54</v>
      </c>
      <c r="E12" s="13">
        <f t="shared" si="6"/>
        <v>479.40044634711592</v>
      </c>
      <c r="F12" s="1">
        <f>'Model | 1 Year'!$I$53</f>
        <v>4.7777208515306979E-2</v>
      </c>
      <c r="G12">
        <f>((NT7plus*1+NT67_*btw67_+NTblw6*blw6hrs)-(D7plus*1+D67_*btw67_+Dblw6*blw6hrs))*VLOOKUP(C12,Lifetable,2,1)*VLOOKUP(C12,Lifetable,3,1)*'Model | 1 Year'!$I$36</f>
        <v>2.883690472166296E-4</v>
      </c>
      <c r="I12" s="11">
        <f t="shared" si="0"/>
        <v>0.45048121747704262</v>
      </c>
      <c r="J12" s="12">
        <f t="shared" si="2"/>
        <v>0.46233598635801743</v>
      </c>
      <c r="L12" s="13">
        <f t="shared" si="3"/>
        <v>208.95574104971789</v>
      </c>
      <c r="M12" s="1">
        <f>J12*SUM(F12:G12)*(1-'Model | Parameters'!waning)^IF(challenge=1,1,B11)/(1+oDR)^(B12-1)</f>
        <v>1.9365578032103641E-2</v>
      </c>
      <c r="O12" s="13">
        <f t="shared" si="4"/>
        <v>1343.4290294976463</v>
      </c>
      <c r="P12" s="1">
        <f t="shared" si="7"/>
        <v>0.11235838837113715</v>
      </c>
      <c r="Q12" s="13">
        <f t="shared" si="1"/>
        <v>11956.642036018638</v>
      </c>
      <c r="R12" s="13"/>
      <c r="S12" s="9">
        <v>11313.827863197374</v>
      </c>
      <c r="T12" s="9">
        <v>12430.632494421987</v>
      </c>
      <c r="U12" s="13">
        <v>13652.806219711427</v>
      </c>
      <c r="V12" s="9">
        <v>13056.641009790485</v>
      </c>
    </row>
    <row r="13" spans="2:22">
      <c r="B13">
        <v>6</v>
      </c>
      <c r="C13">
        <f t="shared" si="5"/>
        <v>55</v>
      </c>
      <c r="E13" s="13">
        <f t="shared" si="6"/>
        <v>479.40044634711592</v>
      </c>
      <c r="F13" s="1">
        <f>'Model | 1 Year'!$I$53</f>
        <v>4.7777208515306979E-2</v>
      </c>
      <c r="G13">
        <f>((NT7plus*1+NT67_*btw67_+NTblw6*blw6hrs)-(D7plus*1+D67_*btw67_+Dblw6*blw6hrs))*VLOOKUP(C13,Lifetable,2,1)*VLOOKUP(C13,Lifetable,3,1)*'Model | 1 Year'!$I$36</f>
        <v>2.883690472166296E-4</v>
      </c>
      <c r="I13" s="11">
        <f t="shared" si="0"/>
        <v>0.42795715660319045</v>
      </c>
      <c r="J13" s="12">
        <f t="shared" si="2"/>
        <v>0.43921918704011653</v>
      </c>
      <c r="L13" s="13">
        <f t="shared" si="3"/>
        <v>191.79512463500677</v>
      </c>
      <c r="M13" s="1">
        <f>J13*SUM(F13:G13)*(1-'Model | Parameters'!waning)^IF(challenge=1,1,B12)/(1+oDR)^(B13-1)</f>
        <v>1.7775168242027496E-2</v>
      </c>
      <c r="O13" s="13">
        <f t="shared" si="4"/>
        <v>1535.224154132653</v>
      </c>
      <c r="P13" s="1">
        <f t="shared" si="7"/>
        <v>0.13013355661316464</v>
      </c>
      <c r="Q13" s="13">
        <f t="shared" si="1"/>
        <v>11797.296516656841</v>
      </c>
      <c r="R13" s="13"/>
      <c r="S13" s="9">
        <v>11130.802468241303</v>
      </c>
      <c r="T13" s="9">
        <v>12485.067691941867</v>
      </c>
      <c r="U13" s="13">
        <v>13980.846987961837</v>
      </c>
      <c r="V13" s="9">
        <v>12933.111053683286</v>
      </c>
    </row>
    <row r="14" spans="2:22">
      <c r="B14">
        <v>7</v>
      </c>
      <c r="C14">
        <f t="shared" si="5"/>
        <v>56</v>
      </c>
      <c r="E14" s="13">
        <f t="shared" si="6"/>
        <v>479.40044634711592</v>
      </c>
      <c r="F14" s="1">
        <f>'Model | 1 Year'!$I$53</f>
        <v>4.7777208515306979E-2</v>
      </c>
      <c r="G14">
        <f>((NT7plus*1+NT67_*btw67_+NTblw6*blw6hrs)-(D7plus*1+D67_*btw67_+Dblw6*blw6hrs))*VLOOKUP(C14,Lifetable,2,1)*VLOOKUP(C14,Lifetable,3,1)*'Model | 1 Year'!$I$36</f>
        <v>2.883690472166296E-4</v>
      </c>
      <c r="I14" s="11">
        <f t="shared" si="0"/>
        <v>0.40655929877303093</v>
      </c>
      <c r="J14" s="12">
        <f t="shared" si="2"/>
        <v>0.41725822768811072</v>
      </c>
      <c r="L14" s="13">
        <f t="shared" si="3"/>
        <v>176.04383420604486</v>
      </c>
      <c r="M14" s="1">
        <f>J14*SUM(F14:G14)*(1-'Model | Parameters'!waning)^IF(challenge=1,1,B13)/(1+oDR)^(B14-1)</f>
        <v>1.631537181635374E-2</v>
      </c>
      <c r="O14" s="13">
        <f t="shared" si="4"/>
        <v>1711.2679883386979</v>
      </c>
      <c r="P14" s="1">
        <f t="shared" si="7"/>
        <v>0.14644892842951837</v>
      </c>
      <c r="Q14" s="13">
        <f t="shared" si="1"/>
        <v>11685.08371273117</v>
      </c>
      <c r="R14" s="13"/>
      <c r="S14" s="9">
        <v>11001.914044896355</v>
      </c>
      <c r="T14" s="9">
        <v>12586.546951238635</v>
      </c>
      <c r="U14" s="13">
        <v>14350.51157272101</v>
      </c>
      <c r="V14" s="9">
        <v>12846.804822915916</v>
      </c>
    </row>
    <row r="15" spans="2:22">
      <c r="B15">
        <v>8</v>
      </c>
      <c r="C15">
        <f t="shared" si="5"/>
        <v>57</v>
      </c>
      <c r="E15" s="13">
        <f t="shared" si="6"/>
        <v>479.40044634711592</v>
      </c>
      <c r="F15" s="1">
        <f>'Model | 1 Year'!$I$53</f>
        <v>4.7777208515306979E-2</v>
      </c>
      <c r="G15">
        <f>((NT7plus*1+NT67_*btw67_+NTblw6*blw6hrs)-(D7plus*1+D67_*btw67_+Dblw6*blw6hrs))*VLOOKUP(C15,Lifetable,2,1)*VLOOKUP(C15,Lifetable,3,1)*'Model | 1 Year'!$I$36</f>
        <v>2.883690472166296E-4</v>
      </c>
      <c r="I15" s="11">
        <f t="shared" si="0"/>
        <v>0.38623133383437935</v>
      </c>
      <c r="J15" s="12">
        <f t="shared" si="2"/>
        <v>0.39639531630370517</v>
      </c>
      <c r="L15" s="13">
        <f t="shared" si="3"/>
        <v>161.58612801521025</v>
      </c>
      <c r="M15" s="1">
        <f>J15*SUM(F15:G15)*(1-'Model | Parameters'!waning)^IF(challenge=1,1,B14)/(1+oDR)^(B15-1)</f>
        <v>1.4975462053658023E-2</v>
      </c>
      <c r="O15" s="13">
        <f t="shared" si="4"/>
        <v>1872.8541163539082</v>
      </c>
      <c r="P15" s="1">
        <f t="shared" si="7"/>
        <v>0.16142439048317639</v>
      </c>
      <c r="Q15" s="13">
        <f t="shared" si="1"/>
        <v>11602.051652467579</v>
      </c>
      <c r="R15" s="13"/>
      <c r="S15" s="9">
        <v>10906.542830916656</v>
      </c>
      <c r="T15" s="9">
        <v>12714.621448971804</v>
      </c>
      <c r="U15" s="13">
        <v>14740.459153120702</v>
      </c>
      <c r="V15" s="9">
        <v>12783.637271415091</v>
      </c>
    </row>
    <row r="16" spans="2:22">
      <c r="B16">
        <v>9</v>
      </c>
      <c r="C16">
        <f t="shared" si="5"/>
        <v>58</v>
      </c>
      <c r="E16" s="13">
        <f t="shared" si="6"/>
        <v>479.40044634711592</v>
      </c>
      <c r="F16" s="1">
        <f>'Model | 1 Year'!$I$53</f>
        <v>4.7777208515306979E-2</v>
      </c>
      <c r="G16">
        <f>((NT7plus*1+NT67_*btw67_+NTblw6*blw6hrs)-(D7plus*1+D67_*btw67_+Dblw6*blw6hrs))*VLOOKUP(C16,Lifetable,2,1)*VLOOKUP(C16,Lifetable,3,1)*'Model | 1 Year'!$I$36</f>
        <v>2.883690472166296E-4</v>
      </c>
      <c r="I16" s="11">
        <f t="shared" si="0"/>
        <v>0.36691976714266039</v>
      </c>
      <c r="J16" s="12">
        <f t="shared" si="2"/>
        <v>0.37657555048851987</v>
      </c>
      <c r="L16" s="13">
        <f t="shared" si="3"/>
        <v>148.31576967579687</v>
      </c>
      <c r="M16" s="1">
        <f>J16*SUM(F16:G16)*(1-'Model | Parameters'!waning)^IF(challenge=1,1,B15)/(1+oDR)^(B16-1)</f>
        <v>1.3745593189347946E-2</v>
      </c>
      <c r="O16" s="13">
        <f t="shared" si="4"/>
        <v>2021.1698860297051</v>
      </c>
      <c r="P16" s="1">
        <f t="shared" si="7"/>
        <v>0.17516998367252434</v>
      </c>
      <c r="Q16" s="13">
        <f t="shared" si="1"/>
        <v>11538.334614497817</v>
      </c>
      <c r="R16" s="13"/>
      <c r="S16" s="9">
        <v>10833.356988688058</v>
      </c>
      <c r="T16" s="9">
        <v>12857.93196266514</v>
      </c>
      <c r="U16" s="13">
        <v>15138.34461030372</v>
      </c>
      <c r="V16" s="9">
        <v>12735.815628248747</v>
      </c>
    </row>
    <row r="17" spans="2:22">
      <c r="B17">
        <v>10</v>
      </c>
      <c r="C17">
        <f t="shared" si="5"/>
        <v>59</v>
      </c>
      <c r="E17" s="13">
        <f t="shared" si="6"/>
        <v>479.40044634711592</v>
      </c>
      <c r="F17" s="1">
        <f>'Model | 1 Year'!$I$53</f>
        <v>4.7777208515306979E-2</v>
      </c>
      <c r="G17">
        <f>((NT7plus*1+NT67_*btw67_+NTblw6*blw6hrs)-(D7plus*1+D67_*btw67_+Dblw6*blw6hrs))*VLOOKUP(C17,Lifetable,2,1)*VLOOKUP(C17,Lifetable,3,1)*'Model | 1 Year'!$I$36</f>
        <v>2.883690472166296E-4</v>
      </c>
      <c r="I17" s="11">
        <f t="shared" si="0"/>
        <v>0.34857377878552737</v>
      </c>
      <c r="J17" s="12">
        <f t="shared" si="2"/>
        <v>0.35774677296409385</v>
      </c>
      <c r="L17" s="13">
        <f t="shared" si="3"/>
        <v>136.13524752850921</v>
      </c>
      <c r="M17" s="1">
        <f>J17*SUM(F17:G17)*(1-'Model | Parameters'!waning)^IF(challenge=1,1,B16)/(1+oDR)^(B17-1)</f>
        <v>1.2616728048193767E-2</v>
      </c>
      <c r="O17" s="13">
        <f t="shared" si="4"/>
        <v>2157.3051335582145</v>
      </c>
      <c r="P17" s="1">
        <f t="shared" si="7"/>
        <v>0.18778671172071812</v>
      </c>
      <c r="Q17" s="13">
        <f t="shared" si="1"/>
        <v>11488.060650247828</v>
      </c>
      <c r="R17" s="13"/>
      <c r="S17" s="9">
        <v>10775.611956385208</v>
      </c>
      <c r="T17" s="9">
        <v>13009.632859490992</v>
      </c>
      <c r="U17" s="13">
        <v>15536.381803384973</v>
      </c>
      <c r="V17" s="9">
        <v>12698.677363081735</v>
      </c>
    </row>
    <row r="18" spans="2:22">
      <c r="B18">
        <v>11</v>
      </c>
      <c r="C18">
        <f t="shared" si="5"/>
        <v>60</v>
      </c>
      <c r="E18" s="13">
        <f t="shared" si="6"/>
        <v>479.40044634711592</v>
      </c>
      <c r="F18" s="1">
        <f>'Model | 1 Year'!$I$53</f>
        <v>4.7777208515306979E-2</v>
      </c>
      <c r="G18">
        <f>((NT7plus*1+NT67_*btw67_+NTblw6*blw6hrs)-(D7plus*1+D67_*btw67_+Dblw6*blw6hrs))*VLOOKUP(C18,Lifetable,2,1)*VLOOKUP(C18,Lifetable,3,1)*'Model | 1 Year'!$I$36</f>
        <v>5.3468763244353347E-4</v>
      </c>
      <c r="I18" s="11">
        <f t="shared" si="0"/>
        <v>0.33114508984625096</v>
      </c>
      <c r="J18" s="12">
        <f t="shared" si="2"/>
        <v>0.33985943431588916</v>
      </c>
      <c r="L18" s="13">
        <f t="shared" si="3"/>
        <v>124.95505811795532</v>
      </c>
      <c r="M18" s="1">
        <f>J18*SUM(F18:G18)*(1-'Model | Parameters'!waning)^IF(challenge=1,1,B17)/(1+oDR)^(B18-1)</f>
        <v>1.1639917851815406E-2</v>
      </c>
      <c r="O18" s="13">
        <f t="shared" si="4"/>
        <v>2282.2601916761696</v>
      </c>
      <c r="P18" s="1">
        <f t="shared" si="7"/>
        <v>0.19942662957253351</v>
      </c>
      <c r="Q18" s="13">
        <f t="shared" si="1"/>
        <v>11444.109528241754</v>
      </c>
      <c r="R18" s="13"/>
      <c r="S18" s="9">
        <v>10725.849436988377</v>
      </c>
      <c r="T18" s="9">
        <v>13162.460571871687</v>
      </c>
      <c r="U18" s="13">
        <v>15926.89983451077</v>
      </c>
      <c r="V18" s="9">
        <v>12666.570597986165</v>
      </c>
    </row>
    <row r="19" spans="2:22">
      <c r="B19">
        <v>12</v>
      </c>
      <c r="C19">
        <f t="shared" si="5"/>
        <v>61</v>
      </c>
      <c r="E19" s="13">
        <f t="shared" si="6"/>
        <v>479.40044634711592</v>
      </c>
      <c r="F19" s="1">
        <f>'Model | 1 Year'!$I$53</f>
        <v>4.7777208515306979E-2</v>
      </c>
      <c r="G19">
        <f>((NT7plus*1+NT67_*btw67_+NTblw6*blw6hrs)-(D7plus*1+D67_*btw67_+Dblw6*blw6hrs))*VLOOKUP(C19,Lifetable,2,1)*VLOOKUP(C19,Lifetable,3,1)*'Model | 1 Year'!$I$36</f>
        <v>5.3468763244353347E-4</v>
      </c>
      <c r="I19" s="11">
        <f t="shared" si="0"/>
        <v>0.31458783535393842</v>
      </c>
      <c r="J19" s="12">
        <f t="shared" si="2"/>
        <v>0.32286646260009466</v>
      </c>
      <c r="L19" s="13">
        <f t="shared" si="3"/>
        <v>114.69304851406525</v>
      </c>
      <c r="M19" s="1">
        <f>J19*SUM(F19:G19)*(1-'Model | Parameters'!waning)^IF(challenge=1,1,B18)/(1+oDR)^(B19-1)</f>
        <v>1.0683982569299163E-2</v>
      </c>
      <c r="O19" s="13">
        <f t="shared" si="4"/>
        <v>2396.9532401902347</v>
      </c>
      <c r="P19" s="1">
        <f t="shared" si="7"/>
        <v>0.21011061214183269</v>
      </c>
      <c r="Q19" s="13">
        <f t="shared" si="1"/>
        <v>11408.054147080395</v>
      </c>
      <c r="R19" s="13"/>
      <c r="S19" s="9">
        <v>10685.026665634457</v>
      </c>
      <c r="T19" s="9">
        <v>13316.853752122137</v>
      </c>
      <c r="U19" s="13">
        <v>16309.149596544501</v>
      </c>
      <c r="V19" s="9">
        <v>12640.749721575936</v>
      </c>
    </row>
    <row r="20" spans="2:22">
      <c r="B20">
        <v>13</v>
      </c>
      <c r="C20">
        <f t="shared" si="5"/>
        <v>62</v>
      </c>
      <c r="E20" s="13">
        <f t="shared" si="6"/>
        <v>479.40044634711592</v>
      </c>
      <c r="F20" s="1">
        <f>'Model | 1 Year'!$I$53</f>
        <v>4.7777208515306979E-2</v>
      </c>
      <c r="G20">
        <f>((NT7plus*1+NT67_*btw67_+NTblw6*blw6hrs)-(D7plus*1+D67_*btw67_+Dblw6*blw6hrs))*VLOOKUP(C20,Lifetable,2,1)*VLOOKUP(C20,Lifetable,3,1)*'Model | 1 Year'!$I$36</f>
        <v>5.3468763244353347E-4</v>
      </c>
      <c r="I20" s="11">
        <f t="shared" si="0"/>
        <v>0.29885844358624147</v>
      </c>
      <c r="J20" s="12">
        <f t="shared" si="2"/>
        <v>0.30672313947008994</v>
      </c>
      <c r="L20" s="13">
        <f t="shared" si="3"/>
        <v>105.27381264576039</v>
      </c>
      <c r="M20" s="1">
        <f>J20*SUM(F20:G20)*(1-'Model | Parameters'!waning)^IF(challenge=1,1,B19)/(1+oDR)^(B20-1)</f>
        <v>9.8065540491151758E-3</v>
      </c>
      <c r="O20" s="13">
        <f t="shared" si="4"/>
        <v>2502.227052835995</v>
      </c>
      <c r="P20" s="1">
        <f t="shared" si="7"/>
        <v>0.21991716619094787</v>
      </c>
      <c r="Q20" s="13">
        <f t="shared" si="1"/>
        <v>11378.043361396272</v>
      </c>
      <c r="R20" s="13"/>
      <c r="S20" s="9">
        <v>10651.047730932543</v>
      </c>
      <c r="T20" s="9">
        <v>13470.655152323623</v>
      </c>
      <c r="U20" s="13">
        <v>16680.451178100302</v>
      </c>
      <c r="V20" s="9">
        <v>12619.720717600136</v>
      </c>
    </row>
    <row r="21" spans="2:22">
      <c r="B21">
        <v>14</v>
      </c>
      <c r="C21">
        <f t="shared" si="5"/>
        <v>63</v>
      </c>
      <c r="E21" s="13">
        <f t="shared" si="6"/>
        <v>479.40044634711592</v>
      </c>
      <c r="F21" s="1">
        <f>'Model | 1 Year'!$I$53</f>
        <v>4.7777208515306979E-2</v>
      </c>
      <c r="G21">
        <f>((NT7plus*1+NT67_*btw67_+NTblw6*blw6hrs)-(D7plus*1+D67_*btw67_+Dblw6*blw6hrs))*VLOOKUP(C21,Lifetable,2,1)*VLOOKUP(C21,Lifetable,3,1)*'Model | 1 Year'!$I$36</f>
        <v>5.3468763244353347E-4</v>
      </c>
      <c r="I21" s="11">
        <f t="shared" si="0"/>
        <v>0.28391552140692938</v>
      </c>
      <c r="J21" s="12">
        <f t="shared" si="2"/>
        <v>0.29138698249658546</v>
      </c>
      <c r="L21" s="13">
        <f t="shared" si="3"/>
        <v>96.628137211084436</v>
      </c>
      <c r="M21" s="1">
        <f>J21*SUM(F21:G21)*(1-'Model | Parameters'!waning)^IF(challenge=1,1,B20)/(1+oDR)^(B21-1)</f>
        <v>9.0011848759994385E-3</v>
      </c>
      <c r="O21" s="13">
        <f t="shared" si="4"/>
        <v>2598.8551900470793</v>
      </c>
      <c r="P21" s="1">
        <f t="shared" si="7"/>
        <v>0.2289183510669473</v>
      </c>
      <c r="Q21" s="13">
        <f t="shared" si="1"/>
        <v>11352.760396596788</v>
      </c>
      <c r="R21" s="13"/>
      <c r="S21" s="9">
        <v>10622.421748959436</v>
      </c>
      <c r="T21" s="9">
        <v>13622.332774792196</v>
      </c>
      <c r="U21" s="13">
        <v>17038.894956807468</v>
      </c>
      <c r="V21" s="9">
        <v>12602.417823288957</v>
      </c>
    </row>
    <row r="22" spans="2:22">
      <c r="B22">
        <v>15</v>
      </c>
      <c r="C22">
        <f t="shared" si="5"/>
        <v>64</v>
      </c>
      <c r="E22" s="13">
        <f t="shared" si="6"/>
        <v>479.40044634711592</v>
      </c>
      <c r="F22" s="1">
        <f>'Model | 1 Year'!$I$53</f>
        <v>4.7777208515306979E-2</v>
      </c>
      <c r="G22">
        <f>((NT7plus*1+NT67_*btw67_+NTblw6*blw6hrs)-(D7plus*1+D67_*btw67_+Dblw6*blw6hrs))*VLOOKUP(C22,Lifetable,2,1)*VLOOKUP(C22,Lifetable,3,1)*'Model | 1 Year'!$I$36</f>
        <v>5.3468763244353347E-4</v>
      </c>
      <c r="I22" s="11">
        <f t="shared" si="0"/>
        <v>0.26971974533658288</v>
      </c>
      <c r="J22" s="12">
        <f t="shared" si="2"/>
        <v>0.27681763337175613</v>
      </c>
      <c r="L22" s="13">
        <f t="shared" si="3"/>
        <v>88.692493092299699</v>
      </c>
      <c r="M22" s="1">
        <f>J22*SUM(F22:G22)*(1-'Model | Parameters'!waning)^IF(challenge=1,1,B21)/(1+oDR)^(B22-1)</f>
        <v>8.2619571325598697E-3</v>
      </c>
      <c r="O22" s="13">
        <f t="shared" si="4"/>
        <v>2687.5476831393789</v>
      </c>
      <c r="P22" s="1">
        <f t="shared" si="7"/>
        <v>0.23718030819950717</v>
      </c>
      <c r="Q22" s="13">
        <f t="shared" si="1"/>
        <v>11331.242899299696</v>
      </c>
      <c r="R22" s="13"/>
      <c r="S22" s="9">
        <v>10598.059120026555</v>
      </c>
      <c r="T22" s="9">
        <v>13770.782252828481</v>
      </c>
      <c r="U22" s="13">
        <v>17383.140976372004</v>
      </c>
      <c r="V22" s="9">
        <v>12588.060320931341</v>
      </c>
    </row>
    <row r="23" spans="2:22">
      <c r="B23">
        <v>16</v>
      </c>
      <c r="C23">
        <f t="shared" si="5"/>
        <v>65</v>
      </c>
      <c r="E23" s="13">
        <f t="shared" si="6"/>
        <v>479.40044634711592</v>
      </c>
      <c r="F23" s="1">
        <f>'Model | 1 Year'!$I$53</f>
        <v>4.7777208515306979E-2</v>
      </c>
      <c r="G23">
        <f>((NT7plus*1+NT67_*btw67_+NTblw6*blw6hrs)-(D7plus*1+D67_*btw67_+Dblw6*blw6hrs))*VLOOKUP(C23,Lifetable,2,1)*VLOOKUP(C23,Lifetable,3,1)*'Model | 1 Year'!$I$36</f>
        <v>5.3468763244353347E-4</v>
      </c>
      <c r="I23" s="11">
        <f t="shared" si="0"/>
        <v>0.25623375806975374</v>
      </c>
      <c r="J23" s="12">
        <f t="shared" si="2"/>
        <v>0.26297675170316831</v>
      </c>
      <c r="L23" s="13">
        <f t="shared" si="3"/>
        <v>81.408568538825833</v>
      </c>
      <c r="M23" s="1">
        <f>J23*SUM(F23:G23)*(1-'Model | Parameters'!waning)^IF(challenge=1,1,B22)/(1+oDR)^(B23-1)</f>
        <v>7.5834389139438413E-3</v>
      </c>
      <c r="O23" s="13">
        <f t="shared" si="4"/>
        <v>2768.9562516782048</v>
      </c>
      <c r="P23" s="1">
        <f t="shared" si="7"/>
        <v>0.244763747113451</v>
      </c>
      <c r="Q23" s="13">
        <f t="shared" si="1"/>
        <v>11312.771128621263</v>
      </c>
      <c r="R23" s="13"/>
      <c r="S23" s="9">
        <v>10577.144936162211</v>
      </c>
      <c r="T23" s="9">
        <v>13915.202982358611</v>
      </c>
      <c r="U23" s="13">
        <v>17712.28669581233</v>
      </c>
      <c r="V23" s="9">
        <v>12576.063286531866</v>
      </c>
    </row>
    <row r="24" spans="2:22">
      <c r="B24">
        <v>17</v>
      </c>
      <c r="C24">
        <f t="shared" si="5"/>
        <v>66</v>
      </c>
      <c r="E24" s="13">
        <f t="shared" si="6"/>
        <v>479.40044634711592</v>
      </c>
      <c r="F24" s="1">
        <f>'Model | 1 Year'!$I$53</f>
        <v>4.7777208515306979E-2</v>
      </c>
      <c r="G24">
        <f>((NT7plus*1+NT67_*btw67_+NTblw6*blw6hrs)-(D7plus*1+D67_*btw67_+Dblw6*blw6hrs))*VLOOKUP(C24,Lifetable,2,1)*VLOOKUP(C24,Lifetable,3,1)*'Model | 1 Year'!$I$36</f>
        <v>5.3468763244353347E-4</v>
      </c>
      <c r="I24" s="11">
        <f t="shared" si="0"/>
        <v>0.24342207016626605</v>
      </c>
      <c r="J24" s="12">
        <f t="shared" si="2"/>
        <v>0.24982791411800989</v>
      </c>
      <c r="L24" s="13">
        <f t="shared" si="3"/>
        <v>74.722840687811157</v>
      </c>
      <c r="M24" s="1">
        <f>J24*SUM(F24:G24)*(1-'Model | Parameters'!waning)^IF(challenge=1,1,B23)/(1+oDR)^(B24-1)</f>
        <v>6.9606444137648802E-3</v>
      </c>
      <c r="O24" s="13">
        <f t="shared" si="4"/>
        <v>2843.679092366016</v>
      </c>
      <c r="P24" s="1">
        <f t="shared" si="7"/>
        <v>0.25172439152721587</v>
      </c>
      <c r="Q24" s="13">
        <f t="shared" si="1"/>
        <v>11296.795972425913</v>
      </c>
      <c r="R24" s="13"/>
      <c r="S24" s="9">
        <v>10559.057479374902</v>
      </c>
      <c r="T24" s="9">
        <v>14055.017270686607</v>
      </c>
      <c r="U24" s="13">
        <v>18025.774338625411</v>
      </c>
      <c r="V24" s="9">
        <v>12565.979970768129</v>
      </c>
    </row>
    <row r="25" spans="2:22">
      <c r="B25">
        <v>18</v>
      </c>
      <c r="C25">
        <f t="shared" si="5"/>
        <v>67</v>
      </c>
      <c r="E25" s="13">
        <f t="shared" si="6"/>
        <v>479.40044634711592</v>
      </c>
      <c r="F25" s="1">
        <f>'Model | 1 Year'!$I$53</f>
        <v>4.7777208515306979E-2</v>
      </c>
      <c r="G25">
        <f>((NT7plus*1+NT67_*btw67_+NTblw6*blw6hrs)-(D7plus*1+D67_*btw67_+Dblw6*blw6hrs))*VLOOKUP(C25,Lifetable,2,1)*VLOOKUP(C25,Lifetable,3,1)*'Model | 1 Year'!$I$36</f>
        <v>5.3468763244353347E-4</v>
      </c>
      <c r="I25" s="11">
        <f t="shared" si="0"/>
        <v>0.23125096665795272</v>
      </c>
      <c r="J25" s="12">
        <f t="shared" si="2"/>
        <v>0.2373365184121094</v>
      </c>
      <c r="L25" s="13">
        <f t="shared" si="3"/>
        <v>68.586182273836329</v>
      </c>
      <c r="M25" s="1">
        <f>J25*SUM(F25:G25)*(1-'Model | Parameters'!waning)^IF(challenge=1,1,B24)/(1+oDR)^(B25-1)</f>
        <v>6.388997287996751E-3</v>
      </c>
      <c r="O25" s="13">
        <f t="shared" si="4"/>
        <v>2912.2652746398521</v>
      </c>
      <c r="P25" s="1">
        <f t="shared" si="7"/>
        <v>0.25811338881521262</v>
      </c>
      <c r="Q25" s="13">
        <f t="shared" si="1"/>
        <v>11282.89116658256</v>
      </c>
      <c r="R25" s="13"/>
      <c r="S25" s="9">
        <v>10543.314123144011</v>
      </c>
      <c r="T25" s="9">
        <v>14189.815572237489</v>
      </c>
      <c r="U25" s="13">
        <v>18323.322294358681</v>
      </c>
      <c r="V25" s="9">
        <v>12557.463453966195</v>
      </c>
    </row>
    <row r="26" spans="2:22">
      <c r="B26">
        <v>19</v>
      </c>
      <c r="C26">
        <f t="shared" si="5"/>
        <v>68</v>
      </c>
      <c r="E26" s="13">
        <f t="shared" si="6"/>
        <v>479.40044634711592</v>
      </c>
      <c r="F26" s="1">
        <f>'Model | 1 Year'!$I$53</f>
        <v>4.7777208515306979E-2</v>
      </c>
      <c r="G26">
        <f>((NT7plus*1+NT67_*btw67_+NTblw6*blw6hrs)-(D7plus*1+D67_*btw67_+Dblw6*blw6hrs))*VLOOKUP(C26,Lifetable,2,1)*VLOOKUP(C26,Lifetable,3,1)*'Model | 1 Year'!$I$36</f>
        <v>5.3468763244353347E-4</v>
      </c>
      <c r="I26" s="11">
        <f t="shared" si="0"/>
        <v>0.21968841832505506</v>
      </c>
      <c r="J26" s="12">
        <f t="shared" si="2"/>
        <v>0.22546969249150389</v>
      </c>
      <c r="L26" s="13">
        <f t="shared" si="3"/>
        <v>62.953500637820781</v>
      </c>
      <c r="M26" s="1">
        <f>J26*SUM(F26:G26)*(1-'Model | Parameters'!waning)^IF(challenge=1,1,B25)/(1+oDR)^(B26-1)</f>
        <v>5.8642970276298672E-3</v>
      </c>
      <c r="O26" s="13">
        <f t="shared" si="4"/>
        <v>2975.2187752776731</v>
      </c>
      <c r="P26" s="1">
        <f t="shared" si="7"/>
        <v>0.26397768584284248</v>
      </c>
      <c r="Q26" s="13">
        <f t="shared" si="1"/>
        <v>11270.720726936563</v>
      </c>
      <c r="R26" s="13"/>
      <c r="S26" s="9">
        <v>10529.534458113658</v>
      </c>
      <c r="T26" s="9">
        <v>14319.318094250324</v>
      </c>
      <c r="U26" s="13">
        <v>18604.871883351843</v>
      </c>
      <c r="V26" s="9">
        <v>12550.240442642584</v>
      </c>
    </row>
    <row r="27" spans="2:22">
      <c r="B27">
        <v>20</v>
      </c>
      <c r="C27">
        <f t="shared" si="5"/>
        <v>69</v>
      </c>
      <c r="E27" s="13">
        <f t="shared" si="6"/>
        <v>479.40044634711592</v>
      </c>
      <c r="F27" s="1">
        <f>'Model | 1 Year'!$I$53</f>
        <v>4.7777208515306979E-2</v>
      </c>
      <c r="G27">
        <f>((NT7plus*1+NT67_*btw67_+NTblw6*blw6hrs)-(D7plus*1+D67_*btw67_+Dblw6*blw6hrs))*VLOOKUP(C27,Lifetable,2,1)*VLOOKUP(C27,Lifetable,3,1)*'Model | 1 Year'!$I$36</f>
        <v>5.3468763244353347E-4</v>
      </c>
      <c r="I27" s="11">
        <f t="shared" si="0"/>
        <v>0.2087039974088023</v>
      </c>
      <c r="J27" s="12">
        <f t="shared" si="2"/>
        <v>0.21419620786692867</v>
      </c>
      <c r="L27" s="13">
        <f t="shared" si="3"/>
        <v>57.783406382540804</v>
      </c>
      <c r="M27" s="1">
        <f>J27*SUM(F27:G27)*(1-'Model | Parameters'!waning)^IF(challenge=1,1,B26)/(1+oDR)^(B27-1)</f>
        <v>5.3826880929935973E-3</v>
      </c>
      <c r="O27" s="13">
        <f t="shared" si="4"/>
        <v>3033.0021816602139</v>
      </c>
      <c r="P27" s="1">
        <f t="shared" si="7"/>
        <v>0.26936037393583606</v>
      </c>
      <c r="Q27" s="13">
        <f t="shared" si="1"/>
        <v>11260.016227860973</v>
      </c>
      <c r="R27" s="13"/>
      <c r="S27" s="9">
        <v>10517.414566320935</v>
      </c>
      <c r="T27" s="9">
        <v>14443.346996503444</v>
      </c>
      <c r="U27" s="13">
        <v>18870.544488092437</v>
      </c>
      <c r="V27" s="9">
        <v>12544.092940030867</v>
      </c>
    </row>
    <row r="28" spans="2:22">
      <c r="B28">
        <v>21</v>
      </c>
      <c r="C28">
        <f t="shared" si="5"/>
        <v>70</v>
      </c>
      <c r="E28" s="13">
        <f t="shared" si="6"/>
        <v>479.40044634711592</v>
      </c>
      <c r="F28" s="1">
        <f>'Model | 1 Year'!$I$53</f>
        <v>4.7777208515306979E-2</v>
      </c>
      <c r="G28">
        <f>((NT7plus*1+NT67_*btw67_+NTblw6*blw6hrs)-(D7plus*1+D67_*btw67_+Dblw6*blw6hrs))*VLOOKUP(C28,Lifetable,2,1)*VLOOKUP(C28,Lifetable,3,1)*'Model | 1 Year'!$I$36</f>
        <v>8.9935490845269458E-4</v>
      </c>
      <c r="I28" s="11">
        <f t="shared" si="0"/>
        <v>0.19826879753836218</v>
      </c>
      <c r="J28" s="12">
        <f t="shared" si="2"/>
        <v>0.20348639747358224</v>
      </c>
      <c r="L28" s="13">
        <f t="shared" si="3"/>
        <v>53.037909240013306</v>
      </c>
      <c r="M28" s="1">
        <f>J28*SUM(F28:G28)*(1-'Model | Parameters'!waning)^IF(challenge=1,1,B27)/(1+oDR)^(B28-1)</f>
        <v>4.977924399095536E-3</v>
      </c>
      <c r="O28" s="13">
        <f t="shared" si="4"/>
        <v>3086.0400909002274</v>
      </c>
      <c r="P28" s="1">
        <f t="shared" si="7"/>
        <v>0.27433829833493162</v>
      </c>
      <c r="Q28" s="13">
        <f t="shared" si="1"/>
        <v>11249.031249485157</v>
      </c>
      <c r="R28" s="13"/>
      <c r="S28" s="9">
        <v>10505.28044607409</v>
      </c>
      <c r="T28" s="9">
        <v>14560.822078833908</v>
      </c>
      <c r="U28" s="13">
        <v>19120.030962479996</v>
      </c>
      <c r="V28" s="9">
        <v>12538.03925420037</v>
      </c>
    </row>
    <row r="29" spans="2:22">
      <c r="B29">
        <v>22</v>
      </c>
      <c r="C29">
        <f t="shared" si="5"/>
        <v>71</v>
      </c>
      <c r="E29" s="13">
        <f t="shared" si="6"/>
        <v>479.40044634711592</v>
      </c>
      <c r="F29" s="1">
        <f>'Model | 1 Year'!$I$53</f>
        <v>4.7777208515306979E-2</v>
      </c>
      <c r="G29">
        <f>((NT7plus*1+NT67_*btw67_+NTblw6*blw6hrs)-(D7plus*1+D67_*btw67_+Dblw6*blw6hrs))*VLOOKUP(C29,Lifetable,2,1)*VLOOKUP(C29,Lifetable,3,1)*'Model | 1 Year'!$I$36</f>
        <v>8.9935490845269458E-4</v>
      </c>
      <c r="I29" s="11">
        <f t="shared" si="0"/>
        <v>0.18835535766144407</v>
      </c>
      <c r="J29" s="12">
        <f t="shared" si="2"/>
        <v>0.19331207759990313</v>
      </c>
      <c r="L29" s="13">
        <f t="shared" si="3"/>
        <v>48.682138915954255</v>
      </c>
      <c r="M29" s="1">
        <f>J29*SUM(F29:G29)*(1-'Model | Parameters'!waning)^IF(challenge=1,1,B28)/(1+oDR)^(B29-1)</f>
        <v>4.569109351826822E-3</v>
      </c>
      <c r="O29" s="13">
        <f t="shared" si="4"/>
        <v>3134.7222298161814</v>
      </c>
      <c r="P29" s="1">
        <f t="shared" si="7"/>
        <v>0.27890740768675842</v>
      </c>
      <c r="Q29" s="13">
        <f t="shared" si="1"/>
        <v>11239.293555575961</v>
      </c>
      <c r="R29" s="13"/>
      <c r="S29" s="9">
        <v>10494.524089094706</v>
      </c>
      <c r="T29" s="9">
        <v>14672.821689769025</v>
      </c>
      <c r="U29" s="13">
        <v>19354.377849090124</v>
      </c>
      <c r="V29" s="9">
        <v>12532.858986923566</v>
      </c>
    </row>
    <row r="30" spans="2:22">
      <c r="B30">
        <v>23</v>
      </c>
      <c r="C30">
        <f t="shared" si="5"/>
        <v>72</v>
      </c>
      <c r="E30" s="13">
        <f t="shared" si="6"/>
        <v>479.40044634711592</v>
      </c>
      <c r="F30" s="1">
        <f>'Model | 1 Year'!$I$53</f>
        <v>4.7777208515306979E-2</v>
      </c>
      <c r="G30">
        <f>((NT7plus*1+NT67_*btw67_+NTblw6*blw6hrs)-(D7plus*1+D67_*btw67_+Dblw6*blw6hrs))*VLOOKUP(C30,Lifetable,2,1)*VLOOKUP(C30,Lifetable,3,1)*'Model | 1 Year'!$I$36</f>
        <v>8.9935490845269458E-4</v>
      </c>
      <c r="I30" s="11">
        <f t="shared" si="0"/>
        <v>0.17893758977837185</v>
      </c>
      <c r="J30" s="12">
        <f t="shared" si="2"/>
        <v>0.18364647371990794</v>
      </c>
      <c r="L30" s="13">
        <f t="shared" si="3"/>
        <v>44.684088860054622</v>
      </c>
      <c r="M30" s="1">
        <f>J30*SUM(F30:G30)*(1-'Model | Parameters'!waning)^IF(challenge=1,1,B29)/(1+oDR)^(B30-1)</f>
        <v>4.1938684871840387E-3</v>
      </c>
      <c r="O30" s="13">
        <f t="shared" si="4"/>
        <v>3179.406318676236</v>
      </c>
      <c r="P30" s="1">
        <f t="shared" si="7"/>
        <v>0.28310127617394248</v>
      </c>
      <c r="Q30" s="13">
        <f t="shared" si="1"/>
        <v>11230.632237499176</v>
      </c>
      <c r="R30" s="13"/>
      <c r="S30" s="9">
        <v>10484.956707945261</v>
      </c>
      <c r="T30" s="9">
        <v>14779.349515643595</v>
      </c>
      <c r="U30" s="13">
        <v>19574.040662435327</v>
      </c>
      <c r="V30" s="9">
        <v>12528.416369208124</v>
      </c>
    </row>
    <row r="31" spans="2:22">
      <c r="B31">
        <v>24</v>
      </c>
      <c r="C31">
        <f t="shared" si="5"/>
        <v>73</v>
      </c>
      <c r="E31" s="13">
        <f t="shared" si="6"/>
        <v>479.40044634711592</v>
      </c>
      <c r="F31" s="1">
        <f>'Model | 1 Year'!$I$53</f>
        <v>4.7777208515306979E-2</v>
      </c>
      <c r="G31">
        <f>((NT7plus*1+NT67_*btw67_+NTblw6*blw6hrs)-(D7plus*1+D67_*btw67_+Dblw6*blw6hrs))*VLOOKUP(C31,Lifetable,2,1)*VLOOKUP(C31,Lifetable,3,1)*'Model | 1 Year'!$I$36</f>
        <v>8.9935490845269458E-4</v>
      </c>
      <c r="I31" s="11">
        <f t="shared" si="0"/>
        <v>0.16999071028945326</v>
      </c>
      <c r="J31" s="12">
        <f t="shared" si="2"/>
        <v>0.17446415003391255</v>
      </c>
      <c r="L31" s="13">
        <f t="shared" si="3"/>
        <v>41.014381079277186</v>
      </c>
      <c r="M31" s="1">
        <f>J31*SUM(F31:G31)*(1-'Model | Parameters'!waning)^IF(challenge=1,1,B30)/(1+oDR)^(B31-1)</f>
        <v>3.8494445051447702E-3</v>
      </c>
      <c r="O31" s="13">
        <f t="shared" si="4"/>
        <v>3220.4206997555129</v>
      </c>
      <c r="P31" s="1">
        <f t="shared" si="7"/>
        <v>0.28695072067908728</v>
      </c>
      <c r="Q31" s="13">
        <f t="shared" si="1"/>
        <v>11222.90507629387</v>
      </c>
      <c r="R31" s="13"/>
      <c r="S31" s="9">
        <v>10476.421206096815</v>
      </c>
      <c r="T31" s="9">
        <v>14880.454850427923</v>
      </c>
      <c r="U31" s="13">
        <v>19779.545192189566</v>
      </c>
      <c r="V31" s="9">
        <v>12524.59917581077</v>
      </c>
    </row>
    <row r="32" spans="2:22">
      <c r="B32">
        <v>25</v>
      </c>
      <c r="C32">
        <f t="shared" si="5"/>
        <v>74</v>
      </c>
      <c r="E32" s="13">
        <f t="shared" si="6"/>
        <v>479.40044634711592</v>
      </c>
      <c r="F32" s="1">
        <f>'Model | 1 Year'!$I$53</f>
        <v>4.7777208515306979E-2</v>
      </c>
      <c r="G32">
        <f>((NT7plus*1+NT67_*btw67_+NTblw6*blw6hrs)-(D7plus*1+D67_*btw67_+Dblw6*blw6hrs))*VLOOKUP(C32,Lifetable,2,1)*VLOOKUP(C32,Lifetable,3,1)*'Model | 1 Year'!$I$36</f>
        <v>8.9935490845269458E-4</v>
      </c>
      <c r="I32" s="11">
        <f t="shared" si="0"/>
        <v>0.16149117477498059</v>
      </c>
      <c r="J32" s="12">
        <f t="shared" si="2"/>
        <v>0.16574094253221694</v>
      </c>
      <c r="L32" s="13">
        <f t="shared" si="3"/>
        <v>37.646050266003229</v>
      </c>
      <c r="M32" s="1">
        <f>J32*SUM(F32:G32)*(1-'Model | Parameters'!waning)^IF(challenge=1,1,B31)/(1+oDR)^(B32-1)</f>
        <v>3.5333065506159738E-3</v>
      </c>
      <c r="O32" s="13">
        <f t="shared" si="4"/>
        <v>3258.0667500215163</v>
      </c>
      <c r="P32" s="1">
        <f t="shared" si="7"/>
        <v>0.29048402722970323</v>
      </c>
      <c r="Q32" s="13">
        <f t="shared" si="1"/>
        <v>11215.992772797681</v>
      </c>
      <c r="R32" s="13"/>
      <c r="S32" s="9">
        <v>10468.785804465979</v>
      </c>
      <c r="T32" s="9">
        <v>14976.223794351694</v>
      </c>
      <c r="U32" s="13">
        <v>19971.468625913098</v>
      </c>
      <c r="V32" s="9">
        <v>12521.314046152995</v>
      </c>
    </row>
    <row r="33" spans="2:22">
      <c r="B33">
        <v>26</v>
      </c>
      <c r="C33">
        <f t="shared" si="5"/>
        <v>75</v>
      </c>
      <c r="E33" s="13">
        <f t="shared" si="6"/>
        <v>479.40044634711592</v>
      </c>
      <c r="F33" s="1">
        <f>'Model | 1 Year'!$I$53</f>
        <v>4.7777208515306979E-2</v>
      </c>
      <c r="G33">
        <f>((NT7plus*1+NT67_*btw67_+NTblw6*blw6hrs)-(D7plus*1+D67_*btw67_+Dblw6*blw6hrs))*VLOOKUP(C33,Lifetable,2,1)*VLOOKUP(C33,Lifetable,3,1)*'Model | 1 Year'!$I$36</f>
        <v>8.9935490845269458E-4</v>
      </c>
      <c r="I33" s="11">
        <f t="shared" si="0"/>
        <v>0.15341661603623155</v>
      </c>
      <c r="J33" s="12">
        <f t="shared" si="2"/>
        <v>0.15745389540560606</v>
      </c>
      <c r="L33" s="13">
        <f t="shared" si="3"/>
        <v>34.554345654785571</v>
      </c>
      <c r="M33" s="1">
        <f>J33*SUM(F33:G33)*(1-'Model | Parameters'!waning)^IF(challenge=1,1,B32)/(1+oDR)^(B33-1)</f>
        <v>3.2431316165074152E-3</v>
      </c>
      <c r="O33" s="13">
        <f t="shared" si="4"/>
        <v>3292.621095676302</v>
      </c>
      <c r="P33" s="1">
        <f t="shared" si="7"/>
        <v>0.29372715884621065</v>
      </c>
      <c r="Q33" s="13">
        <f t="shared" si="1"/>
        <v>11209.794520227695</v>
      </c>
      <c r="R33" s="13"/>
      <c r="S33" s="9">
        <v>10461.939150842145</v>
      </c>
      <c r="T33" s="9">
        <v>15066.771978031229</v>
      </c>
      <c r="U33" s="13">
        <v>20150.423556079815</v>
      </c>
      <c r="V33" s="9">
        <v>12518.482876319351</v>
      </c>
    </row>
    <row r="34" spans="2:22">
      <c r="B34">
        <v>27</v>
      </c>
      <c r="C34">
        <f t="shared" si="5"/>
        <v>76</v>
      </c>
      <c r="E34" s="13">
        <f t="shared" si="6"/>
        <v>479.40044634711592</v>
      </c>
      <c r="F34" s="1">
        <f>'Model | 1 Year'!$I$53</f>
        <v>4.7777208515306979E-2</v>
      </c>
      <c r="G34">
        <f>((NT7plus*1+NT67_*btw67_+NTblw6*blw6hrs)-(D7plus*1+D67_*btw67_+Dblw6*blw6hrs))*VLOOKUP(C34,Lifetable,2,1)*VLOOKUP(C34,Lifetable,3,1)*'Model | 1 Year'!$I$36</f>
        <v>8.9935490845269458E-4</v>
      </c>
      <c r="I34" s="11">
        <f t="shared" si="0"/>
        <v>0.14574578523441997</v>
      </c>
      <c r="J34" s="12">
        <f t="shared" si="2"/>
        <v>0.14958120063532576</v>
      </c>
      <c r="L34" s="13">
        <f t="shared" si="3"/>
        <v>31.716549151735549</v>
      </c>
      <c r="M34" s="1">
        <f>J34*SUM(F34:G34)*(1-'Model | Parameters'!waning)^IF(challenge=1,1,B33)/(1+oDR)^(B34-1)</f>
        <v>2.9767874740889316E-3</v>
      </c>
      <c r="O34" s="13">
        <f t="shared" si="4"/>
        <v>3324.3376448280378</v>
      </c>
      <c r="P34" s="1">
        <f t="shared" si="7"/>
        <v>0.29670394632029956</v>
      </c>
      <c r="Q34" s="13">
        <f t="shared" si="1"/>
        <v>11204.224568146894</v>
      </c>
      <c r="R34" s="13"/>
      <c r="S34" s="9">
        <v>10455.786524409454</v>
      </c>
      <c r="T34" s="9">
        <v>15152.238475844653</v>
      </c>
      <c r="U34" s="13">
        <v>20317.044516366503</v>
      </c>
      <c r="V34" s="9">
        <v>12516.040004245078</v>
      </c>
    </row>
    <row r="35" spans="2:22">
      <c r="B35">
        <v>28</v>
      </c>
      <c r="C35">
        <f t="shared" si="5"/>
        <v>77</v>
      </c>
      <c r="E35" s="13">
        <f t="shared" si="6"/>
        <v>479.40044634711592</v>
      </c>
      <c r="F35" s="1">
        <f>'Model | 1 Year'!$I$53</f>
        <v>4.7777208515306979E-2</v>
      </c>
      <c r="G35">
        <f>((NT7plus*1+NT67_*btw67_+NTblw6*blw6hrs)-(D7plus*1+D67_*btw67_+Dblw6*blw6hrs))*VLOOKUP(C35,Lifetable,2,1)*VLOOKUP(C35,Lifetable,3,1)*'Model | 1 Year'!$I$36</f>
        <v>8.9935490845269458E-4</v>
      </c>
      <c r="I35" s="11">
        <f t="shared" si="0"/>
        <v>0.13845849597269896</v>
      </c>
      <c r="J35" s="12">
        <f t="shared" si="2"/>
        <v>0.14210214060355947</v>
      </c>
      <c r="L35" s="13">
        <f t="shared" si="3"/>
        <v>29.11180840014374</v>
      </c>
      <c r="M35" s="1">
        <f>J35*SUM(F35:G35)*(1-'Model | Parameters'!waning)^IF(challenge=1,1,B34)/(1+oDR)^(B35-1)</f>
        <v>2.7323170052024007E-3</v>
      </c>
      <c r="O35" s="13">
        <f t="shared" si="4"/>
        <v>3353.4494532281815</v>
      </c>
      <c r="P35" s="1">
        <f t="shared" si="7"/>
        <v>0.29943626332550194</v>
      </c>
      <c r="Q35" s="13">
        <f t="shared" si="1"/>
        <v>11199.209527881454</v>
      </c>
      <c r="R35" s="13"/>
      <c r="S35" s="9">
        <v>10450.246859282977</v>
      </c>
      <c r="T35" s="9">
        <v>15232.7806693691</v>
      </c>
      <c r="U35" s="13">
        <v>20471.976745712538</v>
      </c>
      <c r="V35" s="9">
        <v>12513.929990054388</v>
      </c>
    </row>
    <row r="36" spans="2:22">
      <c r="B36">
        <v>29</v>
      </c>
      <c r="C36">
        <f t="shared" si="5"/>
        <v>78</v>
      </c>
      <c r="E36" s="13">
        <f t="shared" si="6"/>
        <v>479.40044634711592</v>
      </c>
      <c r="F36" s="1">
        <f>'Model | 1 Year'!$I$53</f>
        <v>4.7777208515306979E-2</v>
      </c>
      <c r="G36">
        <f>((NT7plus*1+NT67_*btw67_+NTblw6*blw6hrs)-(D7plus*1+D67_*btw67_+Dblw6*blw6hrs))*VLOOKUP(C36,Lifetable,2,1)*VLOOKUP(C36,Lifetable,3,1)*'Model | 1 Year'!$I$36</f>
        <v>8.9935490845269458E-4</v>
      </c>
      <c r="I36" s="11">
        <f t="shared" si="0"/>
        <v>0.131535571174064</v>
      </c>
      <c r="J36" s="12">
        <f t="shared" si="2"/>
        <v>0.1349970335733815</v>
      </c>
      <c r="L36" s="13">
        <f t="shared" si="3"/>
        <v>26.720983555687489</v>
      </c>
      <c r="M36" s="1">
        <f>J36*SUM(F36:G36)*(1-'Model | Parameters'!waning)^IF(challenge=1,1,B35)/(1+oDR)^(B36-1)</f>
        <v>2.5079238212002714E-3</v>
      </c>
      <c r="O36" s="13">
        <f t="shared" si="4"/>
        <v>3380.1704367838688</v>
      </c>
      <c r="P36" s="1">
        <f t="shared" si="7"/>
        <v>0.30194418714670224</v>
      </c>
      <c r="Q36" s="13">
        <f t="shared" si="1"/>
        <v>11194.686238955755</v>
      </c>
      <c r="R36" s="13"/>
      <c r="S36" s="9">
        <v>10445.250387750866</v>
      </c>
      <c r="T36" s="9">
        <v>15308.569886946447</v>
      </c>
      <c r="U36" s="13">
        <v>20615.866914095557</v>
      </c>
      <c r="V36" s="9">
        <v>12512.105848429763</v>
      </c>
    </row>
    <row r="37" spans="2:22">
      <c r="B37">
        <v>30</v>
      </c>
      <c r="C37">
        <f t="shared" si="5"/>
        <v>79</v>
      </c>
      <c r="E37" s="13">
        <f t="shared" si="6"/>
        <v>479.40044634711592</v>
      </c>
      <c r="F37" s="1">
        <f>'Model | 1 Year'!$I$53</f>
        <v>4.7777208515306979E-2</v>
      </c>
      <c r="G37">
        <f>((NT7plus*1+NT67_*btw67_+NTblw6*blw6hrs)-(D7plus*1+D67_*btw67_+Dblw6*blw6hrs))*VLOOKUP(C37,Lifetable,2,1)*VLOOKUP(C37,Lifetable,3,1)*'Model | 1 Year'!$I$36</f>
        <v>8.9935490845269458E-4</v>
      </c>
      <c r="I37" s="11">
        <f t="shared" si="0"/>
        <v>0.1249587926153608</v>
      </c>
      <c r="J37" s="12">
        <f t="shared" si="2"/>
        <v>0.1282471818947124</v>
      </c>
      <c r="L37" s="13">
        <f t="shared" si="3"/>
        <v>24.526506645317021</v>
      </c>
      <c r="M37" s="1">
        <f>J37*SUM(F37:G37)*(1-'Model | Parameters'!waning)^IF(challenge=1,1,B36)/(1+oDR)^(B37-1)</f>
        <v>2.3019590629374475E-3</v>
      </c>
      <c r="O37" s="13">
        <f t="shared" si="4"/>
        <v>3404.6969434291859</v>
      </c>
      <c r="P37" s="1">
        <f t="shared" si="7"/>
        <v>0.30424614620963969</v>
      </c>
      <c r="Q37" s="13">
        <f t="shared" si="1"/>
        <v>11190.600064604243</v>
      </c>
      <c r="R37" s="13"/>
      <c r="S37" s="9">
        <v>10440.736757479188</v>
      </c>
      <c r="T37" s="9">
        <v>15379.787689828072</v>
      </c>
      <c r="U37" s="13">
        <v>20749.355569831747</v>
      </c>
      <c r="V37" s="9">
        <v>12510.527628229569</v>
      </c>
    </row>
    <row r="38" spans="2:22">
      <c r="B38">
        <v>31</v>
      </c>
      <c r="C38">
        <f t="shared" si="5"/>
        <v>80</v>
      </c>
      <c r="E38" s="13">
        <f t="shared" si="6"/>
        <v>479.40044634711592</v>
      </c>
      <c r="F38" s="1">
        <f>'Model | 1 Year'!$I$53</f>
        <v>4.7777208515306979E-2</v>
      </c>
      <c r="G38">
        <f>((NT7plus*1+NT67_*btw67_+NTblw6*blw6hrs)-(D7plus*1+D67_*btw67_+Dblw6*blw6hrs))*VLOOKUP(C38,Lifetable,2,1)*VLOOKUP(C38,Lifetable,3,1)*'Model | 1 Year'!$I$36</f>
        <v>1.4781631769336038E-3</v>
      </c>
      <c r="I38" s="11">
        <f t="shared" si="0"/>
        <v>0.11871085298459276</v>
      </c>
      <c r="J38" s="12">
        <f t="shared" si="2"/>
        <v>0.12183482279997679</v>
      </c>
      <c r="L38" s="13">
        <f t="shared" si="3"/>
        <v>22.512252476377942</v>
      </c>
      <c r="M38" s="1">
        <f>J38*SUM(F38:G38)*(1-'Model | Parameters'!waning)^IF(challenge=1,1,B37)/(1+oDR)^(B38-1)</f>
        <v>2.1380336830657517E-3</v>
      </c>
      <c r="O38" s="13">
        <f t="shared" si="4"/>
        <v>3427.2091959055638</v>
      </c>
      <c r="P38" s="1">
        <f t="shared" si="7"/>
        <v>0.30638417989270544</v>
      </c>
      <c r="Q38" s="13">
        <f t="shared" si="1"/>
        <v>11185.986159943895</v>
      </c>
      <c r="R38" s="13"/>
      <c r="S38" s="9">
        <v>10435.797678743187</v>
      </c>
      <c r="T38" s="9">
        <v>15446.220296972642</v>
      </c>
      <c r="U38" s="13">
        <v>20872.925962132293</v>
      </c>
      <c r="V38" s="9">
        <v>12508.858853605607</v>
      </c>
    </row>
    <row r="39" spans="2:22">
      <c r="B39">
        <v>32</v>
      </c>
      <c r="C39">
        <f t="shared" si="5"/>
        <v>81</v>
      </c>
      <c r="E39" s="13">
        <f t="shared" si="6"/>
        <v>479.40044634711592</v>
      </c>
      <c r="F39" s="1">
        <f>'Model | 1 Year'!$I$53</f>
        <v>4.7777208515306979E-2</v>
      </c>
      <c r="G39">
        <f>((NT7plus*1+NT67_*btw67_+NTblw6*blw6hrs)-(D7plus*1+D67_*btw67_+Dblw6*blw6hrs))*VLOOKUP(C39,Lifetable,2,1)*VLOOKUP(C39,Lifetable,3,1)*'Model | 1 Year'!$I$36</f>
        <v>1.4781631769336038E-3</v>
      </c>
      <c r="I39" s="11">
        <f t="shared" si="0"/>
        <v>0.11277531033536312</v>
      </c>
      <c r="J39" s="12">
        <f t="shared" si="2"/>
        <v>0.11574308165997793</v>
      </c>
      <c r="L39" s="13">
        <f t="shared" si="3"/>
        <v>20.663420147400043</v>
      </c>
      <c r="M39" s="1">
        <f>J39*SUM(F39:G39)*(1-'Model | Parameters'!waning)^IF(challenge=1,1,B38)/(1+oDR)^(B39-1)</f>
        <v>1.9624463757608348E-3</v>
      </c>
      <c r="O39" s="13">
        <f t="shared" si="4"/>
        <v>3447.8726160529636</v>
      </c>
      <c r="P39" s="1">
        <f t="shared" si="7"/>
        <v>0.30834662626846626</v>
      </c>
      <c r="Q39" s="13">
        <f t="shared" si="1"/>
        <v>11181.80749300959</v>
      </c>
      <c r="R39" s="13"/>
      <c r="S39" s="9">
        <v>10431.32451197461</v>
      </c>
      <c r="T39" s="9">
        <v>15508.513035751295</v>
      </c>
      <c r="U39" s="13">
        <v>20987.358589572126</v>
      </c>
      <c r="V39" s="9">
        <v>12507.413316431823</v>
      </c>
    </row>
    <row r="40" spans="2:22">
      <c r="B40">
        <v>33</v>
      </c>
      <c r="C40">
        <f t="shared" si="5"/>
        <v>82</v>
      </c>
      <c r="E40" s="13">
        <f t="shared" si="6"/>
        <v>479.40044634711592</v>
      </c>
      <c r="F40" s="1">
        <f>'Model | 1 Year'!$I$53</f>
        <v>4.7777208515306979E-2</v>
      </c>
      <c r="G40">
        <f>((NT7plus*1+NT67_*btw67_+NTblw6*blw6hrs)-(D7plus*1+D67_*btw67_+Dblw6*blw6hrs))*VLOOKUP(C40,Lifetable,2,1)*VLOOKUP(C40,Lifetable,3,1)*'Model | 1 Year'!$I$36</f>
        <v>1.4781631769336038E-3</v>
      </c>
      <c r="I40" s="11">
        <f t="shared" si="0"/>
        <v>0.10713654481859496</v>
      </c>
      <c r="J40" s="12">
        <f t="shared" si="2"/>
        <v>0.10995592757697903</v>
      </c>
      <c r="L40" s="13">
        <f t="shared" si="3"/>
        <v>18.966424289884102</v>
      </c>
      <c r="M40" s="1">
        <f>J40*SUM(F40:G40)*(1-'Model | Parameters'!waning)^IF(challenge=1,1,B39)/(1+oDR)^(B40-1)</f>
        <v>1.8012792820993175E-3</v>
      </c>
      <c r="O40" s="13">
        <f t="shared" si="4"/>
        <v>3466.8390403428475</v>
      </c>
      <c r="P40" s="1">
        <f t="shared" si="7"/>
        <v>0.31014790555056559</v>
      </c>
      <c r="Q40" s="13">
        <f t="shared" si="1"/>
        <v>11178.01854630814</v>
      </c>
      <c r="R40" s="13"/>
      <c r="S40" s="9">
        <v>10427.268531744719</v>
      </c>
      <c r="T40" s="9">
        <v>15566.854708987192</v>
      </c>
      <c r="U40" s="13">
        <v>21093.240424400319</v>
      </c>
      <c r="V40" s="9">
        <v>12506.160517529292</v>
      </c>
    </row>
    <row r="41" spans="2:22">
      <c r="B41">
        <v>34</v>
      </c>
      <c r="C41">
        <f t="shared" si="5"/>
        <v>83</v>
      </c>
      <c r="E41" s="13">
        <f t="shared" si="6"/>
        <v>479.40044634711592</v>
      </c>
      <c r="F41" s="1">
        <f>'Model | 1 Year'!$I$53</f>
        <v>4.7777208515306979E-2</v>
      </c>
      <c r="G41">
        <f>((NT7plus*1+NT67_*btw67_+NTblw6*blw6hrs)-(D7plus*1+D67_*btw67_+Dblw6*blw6hrs))*VLOOKUP(C41,Lifetable,2,1)*VLOOKUP(C41,Lifetable,3,1)*'Model | 1 Year'!$I$36</f>
        <v>1.4781631769336038E-3</v>
      </c>
      <c r="I41" s="11">
        <f t="shared" ref="I41:I58" si="8">I40*(1-doRate)</f>
        <v>0.1017797175776652</v>
      </c>
      <c r="J41" s="12">
        <f t="shared" si="2"/>
        <v>0.10445813119813008</v>
      </c>
      <c r="L41" s="13">
        <f t="shared" ref="L41:L58" si="9">(E41+challenge*ucGP)*J41/(1+cDR)^(B41-1)</f>
        <v>17.408795241922608</v>
      </c>
      <c r="M41" s="1">
        <f>J41*SUM(F41:G41)*(1-'Model | Parameters'!waning)^IF(challenge=1,1,B40)/(1+oDR)^(B41-1)</f>
        <v>1.6533481333278759E-3</v>
      </c>
      <c r="O41" s="13">
        <f t="shared" si="4"/>
        <v>3484.2478355847702</v>
      </c>
      <c r="P41" s="1">
        <f t="shared" si="7"/>
        <v>0.3118012536838935</v>
      </c>
      <c r="Q41" s="13">
        <f t="shared" si="1"/>
        <v>11174.579301458252</v>
      </c>
      <c r="R41" s="13"/>
      <c r="S41" s="9">
        <v>10423.586899297487</v>
      </c>
      <c r="T41" s="9">
        <v>15621.435079057177</v>
      </c>
      <c r="U41" s="13">
        <v>21191.135857476562</v>
      </c>
      <c r="V41" s="9">
        <v>12505.074280567183</v>
      </c>
    </row>
    <row r="42" spans="2:22">
      <c r="B42">
        <v>35</v>
      </c>
      <c r="C42">
        <f t="shared" si="5"/>
        <v>84</v>
      </c>
      <c r="E42" s="13">
        <f t="shared" si="6"/>
        <v>479.40044634711592</v>
      </c>
      <c r="F42" s="1">
        <f>'Model | 1 Year'!$I$53</f>
        <v>4.7777208515306979E-2</v>
      </c>
      <c r="G42">
        <f>((NT7plus*1+NT67_*btw67_+NTblw6*blw6hrs)-(D7plus*1+D67_*btw67_+Dblw6*blw6hrs))*VLOOKUP(C42,Lifetable,2,1)*VLOOKUP(C42,Lifetable,3,1)*'Model | 1 Year'!$I$36</f>
        <v>1.4781631769336038E-3</v>
      </c>
      <c r="I42" s="11">
        <f t="shared" si="8"/>
        <v>9.6690731698781937E-2</v>
      </c>
      <c r="J42" s="12">
        <f t="shared" si="2"/>
        <v>9.9235224638223568E-2</v>
      </c>
      <c r="L42" s="13">
        <f t="shared" si="9"/>
        <v>15.9790874201222</v>
      </c>
      <c r="M42" s="1">
        <f>J42*SUM(F42:G42)*(1-'Model | Parameters'!waning)^IF(challenge=1,1,B41)/(1+oDR)^(B42-1)</f>
        <v>1.5175659194796929E-3</v>
      </c>
      <c r="O42" s="13">
        <f t="shared" si="4"/>
        <v>3500.2269230048923</v>
      </c>
      <c r="P42" s="1">
        <f t="shared" si="7"/>
        <v>0.31331881960337321</v>
      </c>
      <c r="Q42" s="13">
        <f t="shared" si="1"/>
        <v>11171.454454717372</v>
      </c>
      <c r="R42" s="13"/>
      <c r="S42" s="9">
        <v>10420.241822789127</v>
      </c>
      <c r="T42" s="9">
        <v>15672.44313388294</v>
      </c>
      <c r="U42" s="13">
        <v>21281.584726038709</v>
      </c>
      <c r="V42" s="9">
        <v>12504.132101419209</v>
      </c>
    </row>
    <row r="43" spans="2:22">
      <c r="B43">
        <v>36</v>
      </c>
      <c r="C43">
        <f t="shared" si="5"/>
        <v>85</v>
      </c>
      <c r="E43" s="13">
        <f t="shared" si="6"/>
        <v>479.40044634711592</v>
      </c>
      <c r="F43" s="1">
        <f>'Model | 1 Year'!$I$53</f>
        <v>4.7777208515306979E-2</v>
      </c>
      <c r="G43">
        <f>((NT7plus*1+NT67_*btw67_+NTblw6*blw6hrs)-(D7plus*1+D67_*btw67_+Dblw6*blw6hrs))*VLOOKUP(C43,Lifetable,2,1)*VLOOKUP(C43,Lifetable,3,1)*'Model | 1 Year'!$I$36</f>
        <v>1.4781631769336038E-3</v>
      </c>
      <c r="I43" s="11">
        <f t="shared" si="8"/>
        <v>9.185619511384284E-2</v>
      </c>
      <c r="J43" s="12">
        <f t="shared" si="2"/>
        <v>9.4273463406312388E-2</v>
      </c>
      <c r="L43" s="13">
        <f t="shared" si="9"/>
        <v>14.666795216537285</v>
      </c>
      <c r="M43" s="1">
        <f>J43*SUM(F43:G43)*(1-'Model | Parameters'!waning)^IF(challenge=1,1,B42)/(1+oDR)^(B43-1)</f>
        <v>1.3929349019378826E-3</v>
      </c>
      <c r="O43" s="13">
        <f t="shared" si="4"/>
        <v>3514.8937182214295</v>
      </c>
      <c r="P43" s="1">
        <f t="shared" si="7"/>
        <v>0.31471175450531108</v>
      </c>
      <c r="Q43" s="13">
        <f t="shared" si="1"/>
        <v>11168.612763595114</v>
      </c>
      <c r="R43" s="13"/>
      <c r="S43" s="9">
        <v>10417.199857852824</v>
      </c>
      <c r="T43" s="9">
        <v>15720.065644036596</v>
      </c>
      <c r="U43" s="13">
        <v>21365.101031371796</v>
      </c>
      <c r="V43" s="9">
        <v>12503.31460450833</v>
      </c>
    </row>
    <row r="44" spans="2:22">
      <c r="B44">
        <v>37</v>
      </c>
      <c r="C44">
        <f t="shared" si="5"/>
        <v>86</v>
      </c>
      <c r="E44" s="13">
        <f t="shared" si="6"/>
        <v>479.40044634711592</v>
      </c>
      <c r="F44" s="1">
        <f>'Model | 1 Year'!$I$53</f>
        <v>4.7777208515306979E-2</v>
      </c>
      <c r="G44">
        <f>((NT7plus*1+NT67_*btw67_+NTblw6*blw6hrs)-(D7plus*1+D67_*btw67_+Dblw6*blw6hrs))*VLOOKUP(C44,Lifetable,2,1)*VLOOKUP(C44,Lifetable,3,1)*'Model | 1 Year'!$I$36</f>
        <v>1.4781631769336038E-3</v>
      </c>
      <c r="I44" s="11">
        <f t="shared" si="8"/>
        <v>8.7263385358150689E-2</v>
      </c>
      <c r="J44" s="12">
        <f t="shared" si="2"/>
        <v>8.9559790235996764E-2</v>
      </c>
      <c r="L44" s="13">
        <f t="shared" si="9"/>
        <v>13.462275802618763</v>
      </c>
      <c r="M44" s="1">
        <f>J44*SUM(F44:G44)*(1-'Model | Parameters'!waning)^IF(challenge=1,1,B43)/(1+oDR)^(B44-1)</f>
        <v>1.2785392819719694E-3</v>
      </c>
      <c r="O44" s="13">
        <f t="shared" si="4"/>
        <v>3528.3559940240484</v>
      </c>
      <c r="P44" s="1">
        <f t="shared" si="7"/>
        <v>0.31599029378728305</v>
      </c>
      <c r="Q44" s="13">
        <f t="shared" si="1"/>
        <v>11166.026499533089</v>
      </c>
      <c r="R44" s="13"/>
      <c r="S44" s="9">
        <v>10414.431321705075</v>
      </c>
      <c r="T44" s="9">
        <v>15764.485974769133</v>
      </c>
      <c r="U44" s="13">
        <v>21442.172226827133</v>
      </c>
      <c r="V44" s="9">
        <v>12502.60508645447</v>
      </c>
    </row>
    <row r="45" spans="2:22">
      <c r="B45">
        <v>38</v>
      </c>
      <c r="C45">
        <f t="shared" si="5"/>
        <v>87</v>
      </c>
      <c r="E45" s="13">
        <f t="shared" si="6"/>
        <v>479.40044634711592</v>
      </c>
      <c r="F45" s="1">
        <f>'Model | 1 Year'!$I$53</f>
        <v>4.7777208515306979E-2</v>
      </c>
      <c r="G45">
        <f>((NT7plus*1+NT67_*btw67_+NTblw6*blw6hrs)-(D7plus*1+D67_*btw67_+Dblw6*blw6hrs))*VLOOKUP(C45,Lifetable,2,1)*VLOOKUP(C45,Lifetable,3,1)*'Model | 1 Year'!$I$36</f>
        <v>1.4781631769336038E-3</v>
      </c>
      <c r="I45" s="11">
        <f t="shared" si="8"/>
        <v>8.2900216090243145E-2</v>
      </c>
      <c r="J45" s="12">
        <f t="shared" si="2"/>
        <v>8.508180072419691E-2</v>
      </c>
      <c r="L45" s="13">
        <f t="shared" si="9"/>
        <v>12.356678272935095</v>
      </c>
      <c r="M45" s="1">
        <f>J45*SUM(F45:G45)*(1-'Model | Parameters'!waning)^IF(challenge=1,1,B44)/(1+oDR)^(B45-1)</f>
        <v>1.1735384713752377E-3</v>
      </c>
      <c r="O45" s="13">
        <f t="shared" si="4"/>
        <v>3540.7126722969833</v>
      </c>
      <c r="P45" s="1">
        <f t="shared" si="7"/>
        <v>0.3171638322586583</v>
      </c>
      <c r="Q45" s="13">
        <f t="shared" si="1"/>
        <v>11163.670986953541</v>
      </c>
      <c r="R45" s="13"/>
      <c r="S45" s="9">
        <v>10411.909799707882</v>
      </c>
      <c r="T45" s="9">
        <v>15805.883121216959</v>
      </c>
      <c r="U45" s="13">
        <v>21513.258971676845</v>
      </c>
      <c r="V45" s="9">
        <v>12501.989131423516</v>
      </c>
    </row>
    <row r="46" spans="2:22">
      <c r="B46">
        <v>39</v>
      </c>
      <c r="C46">
        <f t="shared" si="5"/>
        <v>88</v>
      </c>
      <c r="E46" s="13">
        <f t="shared" si="6"/>
        <v>479.40044634711592</v>
      </c>
      <c r="F46" s="1">
        <f>'Model | 1 Year'!$I$53</f>
        <v>4.7777208515306979E-2</v>
      </c>
      <c r="G46">
        <f>((NT7plus*1+NT67_*btw67_+NTblw6*blw6hrs)-(D7plus*1+D67_*btw67_+Dblw6*blw6hrs))*VLOOKUP(C46,Lifetable,2,1)*VLOOKUP(C46,Lifetable,3,1)*'Model | 1 Year'!$I$36</f>
        <v>1.4781631769336038E-3</v>
      </c>
      <c r="I46" s="11">
        <f t="shared" si="8"/>
        <v>7.8755205285730989E-2</v>
      </c>
      <c r="J46" s="12">
        <f t="shared" si="2"/>
        <v>8.0827710687987067E-2</v>
      </c>
      <c r="L46" s="13">
        <f t="shared" si="9"/>
        <v>11.341878608008059</v>
      </c>
      <c r="M46" s="1">
        <f>J46*SUM(F46:G46)*(1-'Model | Parameters'!waning)^IF(challenge=1,1,B45)/(1+oDR)^(B46-1)</f>
        <v>1.077160915755049E-3</v>
      </c>
      <c r="O46" s="13">
        <f t="shared" si="4"/>
        <v>3552.0545509049912</v>
      </c>
      <c r="P46" s="1">
        <f t="shared" si="7"/>
        <v>0.31824099317441334</v>
      </c>
      <c r="Q46" s="13">
        <f t="shared" si="1"/>
        <v>11161.524213061617</v>
      </c>
      <c r="R46" s="13"/>
      <c r="S46" s="9">
        <v>10409.611727671039</v>
      </c>
      <c r="T46" s="9">
        <v>15844.430938687872</v>
      </c>
      <c r="U46" s="13">
        <v>21578.795260199</v>
      </c>
      <c r="V46" s="9">
        <v>12501.454285714988</v>
      </c>
    </row>
    <row r="47" spans="2:22">
      <c r="B47">
        <v>40</v>
      </c>
      <c r="C47">
        <f t="shared" si="5"/>
        <v>89</v>
      </c>
      <c r="E47" s="13">
        <f t="shared" si="6"/>
        <v>479.40044634711592</v>
      </c>
      <c r="F47" s="1">
        <f>'Model | 1 Year'!$I$53</f>
        <v>4.7777208515306979E-2</v>
      </c>
      <c r="G47">
        <f>((NT7plus*1+NT67_*btw67_+NTblw6*blw6hrs)-(D7plus*1+D67_*btw67_+Dblw6*blw6hrs))*VLOOKUP(C47,Lifetable,2,1)*VLOOKUP(C47,Lifetable,3,1)*'Model | 1 Year'!$I$36</f>
        <v>1.4781631769336038E-3</v>
      </c>
      <c r="I47" s="11">
        <f t="shared" si="8"/>
        <v>7.481744502144444E-2</v>
      </c>
      <c r="J47" s="12">
        <f t="shared" si="2"/>
        <v>7.6786325153587714E-2</v>
      </c>
      <c r="L47" s="13">
        <f t="shared" si="9"/>
        <v>10.410419978364887</v>
      </c>
      <c r="M47" s="1">
        <f>J47*SUM(F47:G47)*(1-'Model | Parameters'!waning)^IF(challenge=1,1,B46)/(1+oDR)^(B47-1)</f>
        <v>9.8869842508917554E-4</v>
      </c>
      <c r="O47" s="13">
        <f t="shared" si="4"/>
        <v>3562.4649708833563</v>
      </c>
      <c r="P47" s="1">
        <f t="shared" si="7"/>
        <v>0.31922969159950254</v>
      </c>
      <c r="Q47" s="13">
        <f t="shared" si="1"/>
        <v>11159.566495940904</v>
      </c>
      <c r="R47" s="13"/>
      <c r="S47" s="9">
        <v>10407.516036556068</v>
      </c>
      <c r="T47" s="9">
        <v>15880.297543001781</v>
      </c>
      <c r="U47" s="13">
        <v>21639.188848103739</v>
      </c>
      <c r="V47" s="9">
        <v>12500.98978155917</v>
      </c>
    </row>
    <row r="48" spans="2:22">
      <c r="B48">
        <v>41</v>
      </c>
      <c r="C48">
        <f t="shared" si="5"/>
        <v>90</v>
      </c>
      <c r="E48" s="13">
        <f t="shared" si="6"/>
        <v>479.40044634711592</v>
      </c>
      <c r="F48" s="1">
        <f>'Model | 1 Year'!$I$53</f>
        <v>4.7777208515306979E-2</v>
      </c>
      <c r="G48">
        <f>((NT7plus*1+NT67_*btw67_+NTblw6*blw6hrs)-(D7plus*1+D67_*btw67_+Dblw6*blw6hrs))*VLOOKUP(C48,Lifetable,2,1)*VLOOKUP(C48,Lifetable,3,1)*'Model | 1 Year'!$I$36</f>
        <v>2.2474726624867672E-3</v>
      </c>
      <c r="I48" s="11">
        <f t="shared" si="8"/>
        <v>7.1076572770372215E-2</v>
      </c>
      <c r="J48" s="12">
        <f t="shared" si="2"/>
        <v>7.2947008895908327E-2</v>
      </c>
      <c r="L48" s="13">
        <f t="shared" si="9"/>
        <v>9.5554579511561784</v>
      </c>
      <c r="M48" s="1">
        <f>J48*SUM(F48:G48)*(1-'Model | Parameters'!waning)^IF(challenge=1,1,B47)/(1+oDR)^(B48-1)</f>
        <v>9.2167504025491393E-4</v>
      </c>
      <c r="O48" s="13">
        <f t="shared" si="4"/>
        <v>3572.0204288345126</v>
      </c>
      <c r="P48" s="1">
        <f t="shared" si="7"/>
        <v>0.32015136663975746</v>
      </c>
      <c r="Q48" s="13">
        <f t="shared" si="1"/>
        <v>11157.286212224237</v>
      </c>
      <c r="R48" s="13"/>
      <c r="S48" s="9">
        <v>10405.143161283197</v>
      </c>
      <c r="T48" s="9">
        <v>15913.506383662248</v>
      </c>
      <c r="U48" s="13">
        <v>21694.792309123994</v>
      </c>
      <c r="V48" s="9">
        <v>12500.488032406574</v>
      </c>
    </row>
    <row r="49" spans="2:22">
      <c r="B49">
        <v>42</v>
      </c>
      <c r="C49">
        <f>C48+1</f>
        <v>91</v>
      </c>
      <c r="E49" s="13">
        <f t="shared" si="6"/>
        <v>479.40044634711592</v>
      </c>
      <c r="F49" s="1">
        <f>'Model | 1 Year'!$I$53</f>
        <v>4.7777208515306979E-2</v>
      </c>
      <c r="G49">
        <f>((NT7plus*1+NT67_*btw67_+NTblw6*blw6hrs)-(D7plus*1+D67_*btw67_+Dblw6*blw6hrs))*VLOOKUP(C49,Lifetable,2,1)*VLOOKUP(C49,Lifetable,3,1)*'Model | 1 Year'!$I$36</f>
        <v>2.2474726624867672E-3</v>
      </c>
      <c r="I49" s="11">
        <f t="shared" si="8"/>
        <v>6.7522744131853607E-2</v>
      </c>
      <c r="J49" s="12">
        <f t="shared" si="2"/>
        <v>6.9299658451112911E-2</v>
      </c>
      <c r="L49" s="13">
        <f t="shared" si="9"/>
        <v>8.7707101967134005</v>
      </c>
      <c r="M49" s="1">
        <f>J49*SUM(F49:G49)*(1-'Model | Parameters'!waning)^IF(challenge=1,1,B48)/(1+oDR)^(B49-1)</f>
        <v>8.4598192100692599E-4</v>
      </c>
      <c r="O49" s="13">
        <f t="shared" si="4"/>
        <v>3580.7911390312261</v>
      </c>
      <c r="P49" s="1">
        <f t="shared" si="7"/>
        <v>0.3209973485607644</v>
      </c>
      <c r="Q49" s="13">
        <f t="shared" si="1"/>
        <v>11155.204723921222</v>
      </c>
      <c r="R49" s="13"/>
      <c r="S49" s="9">
        <v>10402.977153567186</v>
      </c>
      <c r="T49" s="9">
        <v>15944.368694952254</v>
      </c>
      <c r="U49" s="13">
        <v>21745.997693829318</v>
      </c>
      <c r="V49" s="9">
        <v>12500.052145577114</v>
      </c>
    </row>
    <row r="50" spans="2:22">
      <c r="B50">
        <v>43</v>
      </c>
      <c r="C50">
        <f t="shared" ref="C50:C57" si="10">C49+1</f>
        <v>92</v>
      </c>
      <c r="E50" s="13">
        <f t="shared" si="6"/>
        <v>479.40044634711592</v>
      </c>
      <c r="F50" s="1">
        <f>'Model | 1 Year'!$I$53</f>
        <v>4.7777208515306979E-2</v>
      </c>
      <c r="G50">
        <f>((NT7plus*1+NT67_*btw67_+NTblw6*blw6hrs)-(D7plus*1+D67_*btw67_+Dblw6*blw6hrs))*VLOOKUP(C50,Lifetable,2,1)*VLOOKUP(C50,Lifetable,3,1)*'Model | 1 Year'!$I$36</f>
        <v>2.2474726624867672E-3</v>
      </c>
      <c r="I50" s="11">
        <f t="shared" si="8"/>
        <v>6.4146606925260918E-2</v>
      </c>
      <c r="J50" s="12">
        <f t="shared" si="2"/>
        <v>6.5834675528557263E-2</v>
      </c>
      <c r="L50" s="13">
        <f t="shared" si="9"/>
        <v>8.0504103254857302</v>
      </c>
      <c r="M50" s="1">
        <f>J50*SUM(F50:G50)*(1-'Model | Parameters'!waning)^IF(challenge=1,1,B49)/(1+oDR)^(B50-1)</f>
        <v>7.7650514488558414E-4</v>
      </c>
      <c r="O50" s="13">
        <f t="shared" si="4"/>
        <v>3588.8415493567118</v>
      </c>
      <c r="P50" s="1">
        <f t="shared" si="7"/>
        <v>0.32177385370564998</v>
      </c>
      <c r="Q50" s="13">
        <f t="shared" si="1"/>
        <v>11153.303812682328</v>
      </c>
      <c r="R50" s="13"/>
      <c r="S50" s="9">
        <v>10400.999055297341</v>
      </c>
      <c r="T50" s="9">
        <v>15973.030984461857</v>
      </c>
      <c r="U50" s="13">
        <v>21793.137787633983</v>
      </c>
      <c r="V50" s="9">
        <v>12499.673428275544</v>
      </c>
    </row>
    <row r="51" spans="2:22">
      <c r="B51">
        <v>44</v>
      </c>
      <c r="C51">
        <f t="shared" si="10"/>
        <v>93</v>
      </c>
      <c r="E51" s="13">
        <f t="shared" si="6"/>
        <v>479.40044634711592</v>
      </c>
      <c r="F51" s="1">
        <f>'Model | 1 Year'!$I$53</f>
        <v>4.7777208515306979E-2</v>
      </c>
      <c r="G51">
        <f>((NT7plus*1+NT67_*btw67_+NTblw6*blw6hrs)-(D7plus*1+D67_*btw67_+Dblw6*blw6hrs))*VLOOKUP(C51,Lifetable,2,1)*VLOOKUP(C51,Lifetable,3,1)*'Model | 1 Year'!$I$36</f>
        <v>2.2474726624867672E-3</v>
      </c>
      <c r="I51" s="11">
        <f t="shared" si="8"/>
        <v>6.0939276578997871E-2</v>
      </c>
      <c r="J51" s="12">
        <f t="shared" si="2"/>
        <v>6.2542941752129391E-2</v>
      </c>
      <c r="L51" s="13">
        <f t="shared" si="9"/>
        <v>7.3892655161463212</v>
      </c>
      <c r="M51" s="1">
        <f>J51*SUM(F51:G51)*(1-'Model | Parameters'!waning)^IF(challenge=1,1,B50)/(1+oDR)^(B51-1)</f>
        <v>7.1273419095778238E-4</v>
      </c>
      <c r="O51" s="13">
        <f t="shared" si="4"/>
        <v>3596.230814872858</v>
      </c>
      <c r="P51" s="1">
        <f t="shared" si="7"/>
        <v>0.32248658789660778</v>
      </c>
      <c r="Q51" s="13">
        <f t="shared" si="1"/>
        <v>11151.567072382692</v>
      </c>
      <c r="R51" s="13"/>
      <c r="S51" s="9">
        <v>10399.191794173525</v>
      </c>
      <c r="T51" s="9">
        <v>15999.633179747783</v>
      </c>
      <c r="U51" s="13">
        <v>21836.522778888037</v>
      </c>
      <c r="V51" s="9">
        <v>12499.344346582042</v>
      </c>
    </row>
    <row r="52" spans="2:22">
      <c r="B52">
        <v>45</v>
      </c>
      <c r="C52">
        <f t="shared" si="10"/>
        <v>94</v>
      </c>
      <c r="E52" s="13">
        <f t="shared" si="6"/>
        <v>479.40044634711592</v>
      </c>
      <c r="F52" s="1">
        <f>'Model | 1 Year'!$I$53</f>
        <v>4.7777208515306979E-2</v>
      </c>
      <c r="G52">
        <f>((NT7plus*1+NT67_*btw67_+NTblw6*blw6hrs)-(D7plus*1+D67_*btw67_+Dblw6*blw6hrs))*VLOOKUP(C52,Lifetable,2,1)*VLOOKUP(C52,Lifetable,3,1)*'Model | 1 Year'!$I$36</f>
        <v>2.2474726624867672E-3</v>
      </c>
      <c r="I52" s="11">
        <f t="shared" si="8"/>
        <v>5.7892312750047976E-2</v>
      </c>
      <c r="J52" s="12">
        <f t="shared" si="2"/>
        <v>5.9415794664522924E-2</v>
      </c>
      <c r="L52" s="13">
        <f t="shared" si="9"/>
        <v>6.7824176235159479</v>
      </c>
      <c r="M52" s="1">
        <f>J52*SUM(F52:G52)*(1-'Model | Parameters'!waning)^IF(challenge=1,1,B51)/(1+oDR)^(B52-1)</f>
        <v>6.5420046513033189E-4</v>
      </c>
      <c r="O52" s="13">
        <f t="shared" si="4"/>
        <v>3603.0132324963738</v>
      </c>
      <c r="P52" s="1">
        <f t="shared" si="7"/>
        <v>0.3231407883617381</v>
      </c>
      <c r="Q52" s="13">
        <f t="shared" si="1"/>
        <v>11149.979706254233</v>
      </c>
      <c r="R52" s="13"/>
      <c r="S52" s="9">
        <v>10397.539972600762</v>
      </c>
      <c r="T52" s="9">
        <v>16024.308552846273</v>
      </c>
      <c r="U52" s="13">
        <v>21876.441340392765</v>
      </c>
      <c r="V52" s="9">
        <v>12499.058368140266</v>
      </c>
    </row>
    <row r="53" spans="2:22">
      <c r="B53">
        <v>46</v>
      </c>
      <c r="C53">
        <f t="shared" si="10"/>
        <v>95</v>
      </c>
      <c r="E53" s="13">
        <f t="shared" si="6"/>
        <v>479.40044634711592</v>
      </c>
      <c r="F53" s="1">
        <f>'Model | 1 Year'!$I$53</f>
        <v>4.7777208515306979E-2</v>
      </c>
      <c r="G53">
        <f>((NT7plus*1+NT67_*btw67_+NTblw6*blw6hrs)-(D7plus*1+D67_*btw67_+Dblw6*blw6hrs))*VLOOKUP(C53,Lifetable,2,1)*VLOOKUP(C53,Lifetable,3,1)*'Model | 1 Year'!$I$36</f>
        <v>2.2474726624867672E-3</v>
      </c>
      <c r="I53" s="11">
        <f t="shared" si="8"/>
        <v>5.4997697112545575E-2</v>
      </c>
      <c r="J53" s="12">
        <f t="shared" si="2"/>
        <v>5.6445004931296776E-2</v>
      </c>
      <c r="L53" s="13">
        <f t="shared" si="9"/>
        <v>6.225407480521886</v>
      </c>
      <c r="M53" s="1">
        <f>J53*SUM(F53:G53)*(1-'Model | Parameters'!waning)^IF(challenge=1,1,B52)/(1+oDR)^(B53-1)</f>
        <v>6.0047385688291328E-4</v>
      </c>
      <c r="O53" s="13">
        <f t="shared" si="4"/>
        <v>3609.2386399768957</v>
      </c>
      <c r="P53" s="1">
        <f t="shared" si="7"/>
        <v>0.32374126221862098</v>
      </c>
      <c r="Q53" s="13">
        <f t="shared" si="1"/>
        <v>11148.528350209475</v>
      </c>
      <c r="R53" s="13"/>
      <c r="S53" s="9">
        <v>10396.029683839075</v>
      </c>
      <c r="T53" s="9">
        <v>16047.183715793091</v>
      </c>
      <c r="U53" s="13">
        <v>21913.161745346857</v>
      </c>
      <c r="V53" s="9">
        <v>12498.809826882303</v>
      </c>
    </row>
    <row r="54" spans="2:22">
      <c r="B54">
        <v>47</v>
      </c>
      <c r="C54">
        <f t="shared" si="10"/>
        <v>96</v>
      </c>
      <c r="E54" s="13">
        <f t="shared" si="6"/>
        <v>479.40044634711592</v>
      </c>
      <c r="F54" s="1">
        <f>'Model | 1 Year'!$I$53</f>
        <v>4.7777208515306979E-2</v>
      </c>
      <c r="G54">
        <f>((NT7plus*1+NT67_*btw67_+NTblw6*blw6hrs)-(D7plus*1+D67_*btw67_+Dblw6*blw6hrs))*VLOOKUP(C54,Lifetable,2,1)*VLOOKUP(C54,Lifetable,3,1)*'Model | 1 Year'!$I$36</f>
        <v>2.2474726624867672E-3</v>
      </c>
      <c r="I54" s="11">
        <f t="shared" si="8"/>
        <v>5.2247812256918297E-2</v>
      </c>
      <c r="J54" s="12">
        <f t="shared" si="2"/>
        <v>5.3622754684731933E-2</v>
      </c>
      <c r="L54" s="13">
        <f t="shared" si="9"/>
        <v>5.7141421318799903</v>
      </c>
      <c r="M54" s="1">
        <f>J54*SUM(F54:G54)*(1-'Model | Parameters'!waning)^IF(challenge=1,1,B53)/(1+oDR)^(B54-1)</f>
        <v>5.5115957878141793E-4</v>
      </c>
      <c r="O54" s="13">
        <f t="shared" si="4"/>
        <v>3614.9527821087759</v>
      </c>
      <c r="P54" s="1">
        <f t="shared" si="7"/>
        <v>0.32429242179740242</v>
      </c>
      <c r="Q54" s="13">
        <f t="shared" si="1"/>
        <v>11147.200918457391</v>
      </c>
      <c r="R54" s="13"/>
      <c r="S54" s="9">
        <v>10394.648351350525</v>
      </c>
      <c r="T54" s="9">
        <v>16068.378675294982</v>
      </c>
      <c r="U54" s="13">
        <v>21946.93299609231</v>
      </c>
      <c r="V54" s="9">
        <v>12498.593806540053</v>
      </c>
    </row>
    <row r="55" spans="2:22">
      <c r="B55">
        <v>48</v>
      </c>
      <c r="C55">
        <f t="shared" si="10"/>
        <v>97</v>
      </c>
      <c r="E55" s="13">
        <f t="shared" si="6"/>
        <v>479.40044634711592</v>
      </c>
      <c r="F55" s="1">
        <f>'Model | 1 Year'!$I$53</f>
        <v>4.7777208515306979E-2</v>
      </c>
      <c r="G55">
        <f>((NT7plus*1+NT67_*btw67_+NTblw6*blw6hrs)-(D7plus*1+D67_*btw67_+Dblw6*blw6hrs))*VLOOKUP(C55,Lifetable,2,1)*VLOOKUP(C55,Lifetable,3,1)*'Model | 1 Year'!$I$36</f>
        <v>2.2474726624867672E-3</v>
      </c>
      <c r="I55" s="11">
        <f t="shared" si="8"/>
        <v>4.9635421644072378E-2</v>
      </c>
      <c r="J55" s="12">
        <f t="shared" si="2"/>
        <v>5.0941616950495337E-2</v>
      </c>
      <c r="L55" s="13">
        <f t="shared" si="9"/>
        <v>5.2448647587304276</v>
      </c>
      <c r="M55" s="1">
        <f>J55*SUM(F55:G55)*(1-'Model | Parameters'!waning)^IF(challenge=1,1,B54)/(1+oDR)^(B55-1)</f>
        <v>5.058952655481615E-4</v>
      </c>
      <c r="O55" s="13">
        <f t="shared" si="4"/>
        <v>3620.1976468675061</v>
      </c>
      <c r="P55" s="1">
        <f t="shared" si="7"/>
        <v>0.32479831706295059</v>
      </c>
      <c r="Q55" s="13">
        <f t="shared" si="1"/>
        <v>11145.986468168367</v>
      </c>
      <c r="R55" s="13"/>
      <c r="S55" s="9">
        <v>10393.384587968847</v>
      </c>
      <c r="T55" s="9">
        <v>16088.006936105779</v>
      </c>
      <c r="U55" s="13">
        <v>21977.98594847829</v>
      </c>
      <c r="V55" s="9">
        <v>12498.40604021032</v>
      </c>
    </row>
    <row r="56" spans="2:22">
      <c r="B56">
        <v>49</v>
      </c>
      <c r="C56">
        <f t="shared" si="10"/>
        <v>98</v>
      </c>
      <c r="E56" s="13">
        <f t="shared" si="6"/>
        <v>479.40044634711592</v>
      </c>
      <c r="F56" s="1">
        <f>'Model | 1 Year'!$I$53</f>
        <v>4.7777208515306979E-2</v>
      </c>
      <c r="G56">
        <f>((NT7plus*1+NT67_*btw67_+NTblw6*blw6hrs)-(D7plus*1+D67_*btw67_+Dblw6*blw6hrs))*VLOOKUP(C56,Lifetable,2,1)*VLOOKUP(C56,Lifetable,3,1)*'Model | 1 Year'!$I$36</f>
        <v>2.2474726624867672E-3</v>
      </c>
      <c r="I56" s="11">
        <f t="shared" si="8"/>
        <v>4.7153650561868758E-2</v>
      </c>
      <c r="J56" s="12">
        <f t="shared" si="2"/>
        <v>4.8394536102970565E-2</v>
      </c>
      <c r="L56" s="13">
        <f t="shared" si="9"/>
        <v>4.8141270732308268</v>
      </c>
      <c r="M56" s="1">
        <f>J56*SUM(F56:G56)*(1-'Model | Parameters'!waning)^IF(challenge=1,1,B55)/(1+oDR)^(B56-1)</f>
        <v>4.6434831137270866E-4</v>
      </c>
      <c r="O56" s="13">
        <f t="shared" si="4"/>
        <v>3625.0117739407369</v>
      </c>
      <c r="P56" s="1">
        <f t="shared" si="7"/>
        <v>0.3252626653743233</v>
      </c>
      <c r="Q56" s="13">
        <f t="shared" si="1"/>
        <v>11144.875080479804</v>
      </c>
      <c r="R56" s="13"/>
      <c r="S56" s="9">
        <v>10392.228072073265</v>
      </c>
      <c r="T56" s="9">
        <v>16106.175643939374</v>
      </c>
      <c r="U56" s="13">
        <v>22006.534418412622</v>
      </c>
      <c r="V56" s="9">
        <v>12498.242823667488</v>
      </c>
    </row>
    <row r="57" spans="2:22">
      <c r="B57">
        <v>50</v>
      </c>
      <c r="C57">
        <f t="shared" si="10"/>
        <v>99</v>
      </c>
      <c r="E57" s="13">
        <f t="shared" si="6"/>
        <v>479.40044634711592</v>
      </c>
      <c r="F57" s="1">
        <f>'Model | 1 Year'!$I$53</f>
        <v>4.7777208515306979E-2</v>
      </c>
      <c r="G57">
        <f>((NT7plus*1+NT67_*btw67_+NTblw6*blw6hrs)-(D7plus*1+D67_*btw67_+Dblw6*blw6hrs))*VLOOKUP(C57,Lifetable,2,1)*VLOOKUP(C57,Lifetable,3,1)*'Model | 1 Year'!$I$36</f>
        <v>2.2474726624867672E-3</v>
      </c>
      <c r="I57" s="11">
        <f t="shared" si="8"/>
        <v>4.4795968033775321E-2</v>
      </c>
      <c r="J57" s="12">
        <f t="shared" si="2"/>
        <v>4.5974809297822036E-2</v>
      </c>
      <c r="L57" s="13">
        <f t="shared" si="9"/>
        <v>4.4187639802601799</v>
      </c>
      <c r="M57" s="1">
        <f>J57*SUM(F57:G57)*(1-'Model | Parameters'!waning)^IF(challenge=1,1,B56)/(1+oDR)^(B57-1)</f>
        <v>4.2621342589765535E-4</v>
      </c>
      <c r="O57" s="13">
        <f t="shared" si="4"/>
        <v>3629.4305379209973</v>
      </c>
      <c r="P57" s="1">
        <f t="shared" si="7"/>
        <v>0.32568887880022096</v>
      </c>
      <c r="Q57" s="13">
        <f t="shared" si="1"/>
        <v>11143.857755570789</v>
      </c>
      <c r="R57" s="13"/>
      <c r="S57" s="9">
        <v>10391.169438402623</v>
      </c>
      <c r="T57" s="9">
        <v>16122.985759910072</v>
      </c>
      <c r="U57" s="13">
        <v>22032.776260311191</v>
      </c>
      <c r="V57" s="9">
        <v>12498.100940471104</v>
      </c>
    </row>
    <row r="58" spans="2:22">
      <c r="B58">
        <v>51</v>
      </c>
      <c r="C58">
        <f>C57+1</f>
        <v>100</v>
      </c>
      <c r="E58" s="13">
        <f t="shared" si="6"/>
        <v>479.40044634711592</v>
      </c>
      <c r="F58" s="1">
        <f>'Model | 1 Year'!$I$53</f>
        <v>4.7777208515306979E-2</v>
      </c>
      <c r="G58">
        <f>((NT7plus*1+NT67_*btw67_+NTblw6*blw6hrs)-(D7plus*1+D67_*btw67_+Dblw6*blw6hrs))*VLOOKUP(C58,Lifetable,2,1)*VLOOKUP(C58,Lifetable,3,1)*'Model | 1 Year'!$I$36</f>
        <v>2.5002358712866431E-3</v>
      </c>
      <c r="I58" s="11">
        <f t="shared" si="8"/>
        <v>4.2556169632086555E-2</v>
      </c>
      <c r="J58" s="12">
        <f t="shared" si="2"/>
        <v>4.3676068832930938E-2</v>
      </c>
      <c r="L58" s="13">
        <f t="shared" si="9"/>
        <v>4.0558703200455763</v>
      </c>
      <c r="M58" s="1">
        <f>J58*SUM(F58:G58)*(1-'Model | Parameters'!waning)^IF(challenge=1,1,B57)/(1+oDR)^(B58-1)</f>
        <v>3.9318708705127897E-4</v>
      </c>
      <c r="O58" s="13">
        <f t="shared" si="4"/>
        <v>3633.4864082410427</v>
      </c>
      <c r="P58" s="1">
        <f t="shared" si="7"/>
        <v>0.32608206588727223</v>
      </c>
      <c r="Q58" s="13">
        <f>O58/P58</f>
        <v>11142.858771929985</v>
      </c>
      <c r="R58" s="13"/>
      <c r="S58" s="9">
        <v>10390.137196551408</v>
      </c>
      <c r="T58" s="9">
        <v>16138.520567243499</v>
      </c>
      <c r="U58" s="13">
        <v>22056.892946894641</v>
      </c>
      <c r="V58" s="9">
        <v>12497.969638368531</v>
      </c>
    </row>
    <row r="61" spans="2:22">
      <c r="Q61" s="164"/>
      <c r="T61" s="164"/>
      <c r="U61" s="164"/>
    </row>
    <row r="62" spans="2:22">
      <c r="Q62" s="164"/>
      <c r="T62" s="164"/>
      <c r="U62" s="164"/>
    </row>
  </sheetData>
  <pageMargins left="0.7" right="0.7" top="0.75" bottom="0.75" header="0.3" footer="0.3"/>
  <pageSetup paperSize="9" orientation="portrait" horizontalDpi="0" verticalDpi="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1ED5E-DF7A-8F43-B7D8-721D4CB7CC5D}">
  <sheetPr codeName="Sheet14">
    <tabColor rgb="FFCAB68E"/>
  </sheetPr>
  <dimension ref="B1:T1017"/>
  <sheetViews>
    <sheetView topLeftCell="E1" zoomScaleNormal="100" workbookViewId="0">
      <pane ySplit="7" topLeftCell="A1002" activePane="bottomLeft" state="frozen"/>
      <selection pane="bottomLeft" activeCell="B1008" sqref="B1008"/>
    </sheetView>
  </sheetViews>
  <sheetFormatPr baseColWidth="10" defaultColWidth="11" defaultRowHeight="16"/>
  <cols>
    <col min="3" max="3" width="2.6640625" customWidth="1"/>
    <col min="4" max="7" width="10.6640625" customWidth="1"/>
    <col min="10" max="10" width="13.5" bestFit="1" customWidth="1"/>
    <col min="11" max="11" width="14.6640625" bestFit="1" customWidth="1"/>
    <col min="12" max="13" width="14.6640625" customWidth="1"/>
    <col min="14" max="14" width="14.1640625" bestFit="1" customWidth="1"/>
    <col min="15" max="15" width="14.1640625" customWidth="1"/>
    <col min="16" max="16" width="14.6640625" bestFit="1" customWidth="1"/>
  </cols>
  <sheetData>
    <row r="1" spans="2:20">
      <c r="P1" s="1"/>
      <c r="Q1" s="1"/>
      <c r="R1" s="1"/>
      <c r="S1" s="1"/>
      <c r="T1" s="1"/>
    </row>
    <row r="2" spans="2:20" ht="21">
      <c r="B2" s="5" t="s">
        <v>241</v>
      </c>
      <c r="P2" s="1"/>
      <c r="Q2" s="1"/>
      <c r="R2" s="1"/>
      <c r="S2" s="1"/>
      <c r="T2" s="1"/>
    </row>
    <row r="3" spans="2:20">
      <c r="L3" s="266">
        <v>20000</v>
      </c>
      <c r="M3">
        <f>N3/L3</f>
        <v>2.5000000000000001E-2</v>
      </c>
      <c r="N3">
        <v>500</v>
      </c>
      <c r="P3" s="1"/>
      <c r="Q3" s="1"/>
      <c r="R3" s="1"/>
      <c r="S3" s="1"/>
      <c r="T3" s="1"/>
    </row>
    <row r="4" spans="2:20">
      <c r="L4">
        <v>0</v>
      </c>
      <c r="M4">
        <v>0</v>
      </c>
      <c r="N4">
        <v>0</v>
      </c>
    </row>
    <row r="5" spans="2:20">
      <c r="L5">
        <v>30000</v>
      </c>
      <c r="M5">
        <f>N5/L5</f>
        <v>1.6666666666666666E-2</v>
      </c>
      <c r="N5">
        <v>500</v>
      </c>
      <c r="P5" s="114"/>
      <c r="Q5" s="114"/>
      <c r="R5" s="114"/>
      <c r="S5" s="114"/>
      <c r="T5" s="114"/>
    </row>
    <row r="6" spans="2:20">
      <c r="D6" t="s">
        <v>418</v>
      </c>
      <c r="E6" t="s">
        <v>419</v>
      </c>
      <c r="F6" t="s">
        <v>420</v>
      </c>
      <c r="G6" t="s">
        <v>421</v>
      </c>
      <c r="H6" t="s">
        <v>364</v>
      </c>
      <c r="I6" t="s">
        <v>365</v>
      </c>
      <c r="J6" t="s">
        <v>727</v>
      </c>
      <c r="K6" t="s">
        <v>736</v>
      </c>
      <c r="L6" s="1" t="s">
        <v>758</v>
      </c>
      <c r="M6" s="1" t="s">
        <v>759</v>
      </c>
      <c r="N6" s="1" t="s">
        <v>760</v>
      </c>
      <c r="O6" s="1"/>
    </row>
    <row r="7" spans="2:20">
      <c r="B7" t="s">
        <v>242</v>
      </c>
      <c r="D7" s="9">
        <f>'Model | 1 Year'!D100</f>
        <v>866.25426763194207</v>
      </c>
      <c r="E7" s="9">
        <f>'Model | 1 Year'!D101</f>
        <v>1343.7893249678284</v>
      </c>
      <c r="F7" s="1">
        <f>'Model | 1 Year'!E100</f>
        <v>0.69176099729664542</v>
      </c>
      <c r="G7" s="1">
        <f>'Model | 1 Year'!E101</f>
        <v>0.72518649664641222</v>
      </c>
      <c r="H7" s="9">
        <f>'Model | 1 Year'!D104</f>
        <v>388.5889391560122</v>
      </c>
      <c r="I7" s="1">
        <f>'Model | 1 Year'!E104</f>
        <v>2.386581963481256E-2</v>
      </c>
      <c r="J7" s="9">
        <f>'Model | 1 Year'!F85</f>
        <v>4.4363726770119509E-3</v>
      </c>
      <c r="K7" s="9">
        <f>'Model | 1 Year'!G85</f>
        <v>1.0912854996278819E-2</v>
      </c>
      <c r="L7">
        <f ca="1">'Model | 1 Year'!J73</f>
        <v>-252.38853091775192</v>
      </c>
      <c r="M7">
        <f ca="1">'Model | 1 Year'!J74</f>
        <v>-343.97213865635092</v>
      </c>
      <c r="N7" s="1">
        <f ca="1">'Model | 1 Year'!J75</f>
        <v>-596.36066957410276</v>
      </c>
      <c r="O7" s="1">
        <f ca="1">L7+M7</f>
        <v>-596.36066957410287</v>
      </c>
      <c r="P7" s="1"/>
      <c r="Q7" s="1"/>
      <c r="R7" s="1"/>
      <c r="S7" s="1"/>
      <c r="T7" s="1"/>
    </row>
    <row r="9" spans="2:20">
      <c r="B9">
        <v>1</v>
      </c>
      <c r="D9">
        <v>813.14403610144939</v>
      </c>
      <c r="E9">
        <v>1312.2592015298815</v>
      </c>
      <c r="F9">
        <v>0.69445492511496376</v>
      </c>
      <c r="G9">
        <v>0.725622605765329</v>
      </c>
      <c r="H9" s="1">
        <v>397.7222802614217</v>
      </c>
      <c r="I9" s="1">
        <v>2.2021429627372479E-2</v>
      </c>
      <c r="J9" s="1">
        <v>2.1353156143013897E-3</v>
      </c>
      <c r="K9" s="1">
        <v>8.7640202853250873E-3</v>
      </c>
      <c r="L9" s="1">
        <v>-277.41142612171416</v>
      </c>
      <c r="M9" s="1">
        <v>-405.74054540610427</v>
      </c>
      <c r="N9" s="1">
        <v>-683.15197152781843</v>
      </c>
      <c r="O9" s="1">
        <v>-683.15197152781843</v>
      </c>
    </row>
    <row r="10" spans="2:20">
      <c r="B10">
        <v>2</v>
      </c>
      <c r="D10">
        <v>1153.0024919357729</v>
      </c>
      <c r="E10">
        <v>1608.9462502253568</v>
      </c>
      <c r="F10">
        <v>0.69298644852897207</v>
      </c>
      <c r="G10">
        <v>0.71903234033904107</v>
      </c>
      <c r="H10" s="3">
        <v>369.93139404968872</v>
      </c>
      <c r="I10" s="3">
        <v>1.7938279278031009E-2</v>
      </c>
      <c r="J10" s="3">
        <v>-5.5829042445342675E-4</v>
      </c>
      <c r="K10" s="1">
        <v>5.6072328097080525E-3</v>
      </c>
      <c r="L10" s="1">
        <v>-356.90262920896032</v>
      </c>
      <c r="M10" s="1">
        <v>-354.38539003030178</v>
      </c>
      <c r="N10" s="1">
        <v>-711.2880192392621</v>
      </c>
      <c r="O10" s="1">
        <v>-711.2880192392621</v>
      </c>
    </row>
    <row r="11" spans="2:20">
      <c r="B11">
        <v>3</v>
      </c>
      <c r="D11">
        <v>876.88933317595934</v>
      </c>
      <c r="E11">
        <v>1378.94808920931</v>
      </c>
      <c r="F11">
        <v>0.69535142968289199</v>
      </c>
      <c r="G11">
        <v>0.73130050023364557</v>
      </c>
      <c r="H11" s="3">
        <v>413.70288665888143</v>
      </c>
      <c r="I11" s="3">
        <v>2.5809800473368897E-2</v>
      </c>
      <c r="J11" s="3">
        <v>5.1246561404248263E-3</v>
      </c>
      <c r="K11" s="1">
        <v>1.2019704251406183E-2</v>
      </c>
      <c r="L11" s="1">
        <v>-364.99752773170837</v>
      </c>
      <c r="M11" s="1">
        <v>-303.90316724638717</v>
      </c>
      <c r="N11" s="1">
        <v>-668.90069497809554</v>
      </c>
      <c r="O11" s="1">
        <v>-668.90069497809554</v>
      </c>
    </row>
    <row r="12" spans="2:20">
      <c r="B12">
        <v>4</v>
      </c>
      <c r="D12">
        <v>923.42882240082281</v>
      </c>
      <c r="E12">
        <v>1410.6755406978386</v>
      </c>
      <c r="F12">
        <v>0.68588732443498202</v>
      </c>
      <c r="G12">
        <v>0.71475989391000838</v>
      </c>
      <c r="H12" s="3">
        <v>405.10734065706231</v>
      </c>
      <c r="I12" s="3">
        <v>2.1241524201885249E-2</v>
      </c>
      <c r="J12" s="3">
        <v>9.8615716903212997E-4</v>
      </c>
      <c r="K12" s="1">
        <v>7.7379461799831697E-3</v>
      </c>
      <c r="L12" s="1">
        <v>-357.01893983082311</v>
      </c>
      <c r="M12" s="1">
        <v>-294.33789253013668</v>
      </c>
      <c r="N12" s="1">
        <v>-651.35683236095974</v>
      </c>
      <c r="O12" s="1">
        <v>-651.35683236095974</v>
      </c>
    </row>
    <row r="13" spans="2:20">
      <c r="B13">
        <v>5</v>
      </c>
      <c r="D13">
        <v>821.99501594272328</v>
      </c>
      <c r="E13">
        <v>1321.8915622774578</v>
      </c>
      <c r="F13">
        <v>0.69680018649537645</v>
      </c>
      <c r="G13">
        <v>0.7282006105679536</v>
      </c>
      <c r="H13" s="3">
        <v>409.02132305587673</v>
      </c>
      <c r="I13" s="3">
        <v>2.2128845120082959E-2</v>
      </c>
      <c r="J13" s="3">
        <v>1.6777789672891216E-3</v>
      </c>
      <c r="K13" s="1">
        <v>8.4948010182204006E-3</v>
      </c>
      <c r="L13" s="1">
        <v>-244.65372889447559</v>
      </c>
      <c r="M13" s="1">
        <v>-349.89742234488102</v>
      </c>
      <c r="N13" s="1">
        <v>-594.5511512393565</v>
      </c>
      <c r="O13" s="1">
        <v>-594.55115123935661</v>
      </c>
    </row>
    <row r="14" spans="2:20">
      <c r="B14">
        <v>6</v>
      </c>
      <c r="D14">
        <v>890.43618959359901</v>
      </c>
      <c r="E14">
        <v>1400.6648571967687</v>
      </c>
      <c r="F14">
        <v>0.67947857698028624</v>
      </c>
      <c r="G14">
        <v>0.7166730110603714</v>
      </c>
      <c r="H14" s="3">
        <v>422.32567812138365</v>
      </c>
      <c r="I14" s="3">
        <v>2.7013422664201519E-2</v>
      </c>
      <c r="J14" s="3">
        <v>5.8971387581323378E-3</v>
      </c>
      <c r="K14" s="1">
        <v>1.2935900060155398E-2</v>
      </c>
      <c r="L14" s="1">
        <v>-334.90307334159644</v>
      </c>
      <c r="M14" s="1">
        <v>-92.137620044873955</v>
      </c>
      <c r="N14" s="1">
        <v>-427.04069338647037</v>
      </c>
      <c r="O14" s="1">
        <v>-427.04069338647037</v>
      </c>
    </row>
    <row r="15" spans="2:20">
      <c r="B15">
        <v>7</v>
      </c>
      <c r="D15">
        <v>1041.0446402878529</v>
      </c>
      <c r="E15">
        <v>1499.6833569819471</v>
      </c>
      <c r="F15">
        <v>0.69023300921658459</v>
      </c>
      <c r="G15">
        <v>0.72243168322863016</v>
      </c>
      <c r="H15" s="3">
        <v>359.7306390781219</v>
      </c>
      <c r="I15" s="3">
        <v>2.1490733115154165E-2</v>
      </c>
      <c r="J15" s="3">
        <v>3.5042011612480724E-3</v>
      </c>
      <c r="K15" s="1">
        <v>9.4997118125501046E-3</v>
      </c>
      <c r="L15" s="1">
        <v>-99.186307612833446</v>
      </c>
      <c r="M15" s="1">
        <v>-270.7241491225987</v>
      </c>
      <c r="N15" s="1">
        <v>-369.91045673543226</v>
      </c>
      <c r="O15" s="1">
        <v>-369.91045673543215</v>
      </c>
    </row>
    <row r="16" spans="2:20">
      <c r="B16">
        <v>8</v>
      </c>
      <c r="D16">
        <v>1027.3051256033316</v>
      </c>
      <c r="E16">
        <v>1522.2162922654525</v>
      </c>
      <c r="F16">
        <v>0.68659285253051183</v>
      </c>
      <c r="G16">
        <v>0.72155432070770975</v>
      </c>
      <c r="H16" s="3">
        <v>402.81653468386708</v>
      </c>
      <c r="I16" s="3">
        <v>2.4795067248382277E-2</v>
      </c>
      <c r="J16" s="3">
        <v>4.6542405141889245E-3</v>
      </c>
      <c r="K16" s="1">
        <v>1.1367849425586708E-2</v>
      </c>
      <c r="L16" s="1">
        <v>-187.07459083024676</v>
      </c>
      <c r="M16" s="1">
        <v>-258.48161484426515</v>
      </c>
      <c r="N16" s="1">
        <v>-445.55620567451194</v>
      </c>
      <c r="O16" s="1">
        <v>-445.55620567451194</v>
      </c>
    </row>
    <row r="17" spans="2:15">
      <c r="B17">
        <v>9</v>
      </c>
      <c r="D17">
        <v>911.25364146214156</v>
      </c>
      <c r="E17">
        <v>1388.0697987396729</v>
      </c>
      <c r="F17">
        <v>0.70217886360174564</v>
      </c>
      <c r="G17">
        <v>0.73091185040243289</v>
      </c>
      <c r="H17" s="3">
        <v>397.81679543369029</v>
      </c>
      <c r="I17" s="3">
        <v>2.1401999114944344E-2</v>
      </c>
      <c r="J17" s="3">
        <v>1.5111593432598283E-3</v>
      </c>
      <c r="K17" s="1">
        <v>8.1414392671546668E-3</v>
      </c>
      <c r="L17" s="1">
        <v>-215.61704468249417</v>
      </c>
      <c r="M17" s="1">
        <v>-318.3532570069969</v>
      </c>
      <c r="N17" s="1">
        <v>-533.97030168949107</v>
      </c>
      <c r="O17" s="1">
        <v>-533.97030168949107</v>
      </c>
    </row>
    <row r="18" spans="2:15">
      <c r="B18">
        <v>10</v>
      </c>
      <c r="D18">
        <v>1139.7422123536251</v>
      </c>
      <c r="E18">
        <v>1652.3119773576836</v>
      </c>
      <c r="F18">
        <v>0.69393617280799702</v>
      </c>
      <c r="G18">
        <v>0.71897343384915158</v>
      </c>
      <c r="H18" s="3">
        <v>431.36199320124859</v>
      </c>
      <c r="I18" s="3">
        <v>1.807348922244497E-2</v>
      </c>
      <c r="J18" s="3">
        <v>-3.4946104376174583E-3</v>
      </c>
      <c r="K18" s="1">
        <v>3.6947561157366846E-3</v>
      </c>
      <c r="L18" s="1">
        <v>-457.02698495259426</v>
      </c>
      <c r="M18" s="1">
        <v>-385.5650706603102</v>
      </c>
      <c r="N18" s="1">
        <v>-842.59205561290423</v>
      </c>
      <c r="O18" s="1">
        <v>-842.59205561290446</v>
      </c>
    </row>
    <row r="19" spans="2:15">
      <c r="B19">
        <v>11</v>
      </c>
      <c r="D19">
        <v>870.84522510740726</v>
      </c>
      <c r="E19">
        <v>1340.3217065322872</v>
      </c>
      <c r="F19">
        <v>0.67975469523582643</v>
      </c>
      <c r="G19">
        <v>0.72270085337945045</v>
      </c>
      <c r="H19" s="3">
        <v>379.87025372654705</v>
      </c>
      <c r="I19" s="3">
        <v>3.0375981989929704E-2</v>
      </c>
      <c r="J19" s="3">
        <v>1.1382469303602347E-2</v>
      </c>
      <c r="K19" s="1">
        <v>1.7713640199044801E-2</v>
      </c>
      <c r="L19" s="1">
        <v>-81.329773044652939</v>
      </c>
      <c r="M19" s="1">
        <v>-380.43642632512893</v>
      </c>
      <c r="N19" s="1">
        <v>-461.76619936978182</v>
      </c>
      <c r="O19" s="1">
        <v>-461.76619936978187</v>
      </c>
    </row>
    <row r="20" spans="2:15">
      <c r="B20">
        <v>12</v>
      </c>
      <c r="D20">
        <v>964.89213545922098</v>
      </c>
      <c r="E20">
        <v>1464.8826245153791</v>
      </c>
      <c r="F20">
        <v>0.68318698329162753</v>
      </c>
      <c r="G20">
        <v>0.71508752534161546</v>
      </c>
      <c r="H20" s="3">
        <v>416.45692939013429</v>
      </c>
      <c r="I20" s="3">
        <v>2.3617722232356534E-2</v>
      </c>
      <c r="J20" s="3">
        <v>2.7948757628498203E-3</v>
      </c>
      <c r="K20" s="1">
        <v>9.7358245860187237E-3</v>
      </c>
      <c r="L20" s="1">
        <v>-257.17971733300874</v>
      </c>
      <c r="M20" s="1">
        <v>-470.59868247249079</v>
      </c>
      <c r="N20" s="1">
        <v>-727.77839980549959</v>
      </c>
      <c r="O20" s="1">
        <v>-727.77839980549948</v>
      </c>
    </row>
    <row r="21" spans="2:15">
      <c r="B21">
        <v>13</v>
      </c>
      <c r="D21">
        <v>862.69797466942271</v>
      </c>
      <c r="E21">
        <v>1366.9065291706297</v>
      </c>
      <c r="F21">
        <v>0.70200828479436606</v>
      </c>
      <c r="G21">
        <v>0.71870887065231115</v>
      </c>
      <c r="H21" s="3">
        <v>412.71116625958928</v>
      </c>
      <c r="I21" s="3">
        <v>1.1724365779880577E-2</v>
      </c>
      <c r="J21" s="3">
        <v>-8.9111925330988863E-3</v>
      </c>
      <c r="K21" s="1">
        <v>-2.0326730954390651E-3</v>
      </c>
      <c r="L21" s="1">
        <v>-227.61944993777865</v>
      </c>
      <c r="M21" s="1">
        <v>-382.99872680412489</v>
      </c>
      <c r="N21" s="1">
        <v>-610.61817674190365</v>
      </c>
      <c r="O21" s="1">
        <v>-610.61817674190354</v>
      </c>
    </row>
    <row r="22" spans="2:15">
      <c r="B22">
        <v>14</v>
      </c>
      <c r="D22">
        <v>805.90149373705663</v>
      </c>
      <c r="E22">
        <v>1338.4985340347091</v>
      </c>
      <c r="F22">
        <v>0.69140123082520355</v>
      </c>
      <c r="G22">
        <v>0.71293612844416576</v>
      </c>
      <c r="H22" s="3">
        <v>424.87010385921997</v>
      </c>
      <c r="I22" s="3">
        <v>1.5194936921609817E-2</v>
      </c>
      <c r="J22" s="3">
        <v>-6.0485682713511801E-3</v>
      </c>
      <c r="K22" s="1">
        <v>1.0326001263024874E-3</v>
      </c>
      <c r="L22" s="1">
        <v>-225.37950174241928</v>
      </c>
      <c r="M22" s="1">
        <v>-352.54681026686336</v>
      </c>
      <c r="N22" s="1">
        <v>-577.92631200928281</v>
      </c>
      <c r="O22" s="1">
        <v>-577.92631200928258</v>
      </c>
    </row>
    <row r="23" spans="2:15">
      <c r="B23">
        <v>15</v>
      </c>
      <c r="D23">
        <v>907.2991488996413</v>
      </c>
      <c r="E23">
        <v>1355.1594828627956</v>
      </c>
      <c r="F23">
        <v>0.67728068577781964</v>
      </c>
      <c r="G23">
        <v>0.72428051758333456</v>
      </c>
      <c r="H23" s="3">
        <v>356.26657932185333</v>
      </c>
      <c r="I23" s="3">
        <v>3.2181223761425425E-2</v>
      </c>
      <c r="J23" s="3">
        <v>1.4367894795332754E-2</v>
      </c>
      <c r="K23" s="1">
        <v>2.0305671117363644E-2</v>
      </c>
      <c r="L23" s="1">
        <v>-390.17162184172025</v>
      </c>
      <c r="M23" s="1">
        <v>-351.79448756874388</v>
      </c>
      <c r="N23" s="1">
        <v>-741.96610941046413</v>
      </c>
      <c r="O23" s="1">
        <v>-741.96610941046413</v>
      </c>
    </row>
    <row r="24" spans="2:15">
      <c r="B24">
        <v>16</v>
      </c>
      <c r="D24">
        <v>865.61045604659762</v>
      </c>
      <c r="E24">
        <v>1365.1714369005072</v>
      </c>
      <c r="F24">
        <v>0.68946101470735277</v>
      </c>
      <c r="G24">
        <v>0.7247692845912882</v>
      </c>
      <c r="H24" s="3">
        <v>408.69699532935834</v>
      </c>
      <c r="I24" s="3">
        <v>2.4893501919243857E-2</v>
      </c>
      <c r="J24" s="3">
        <v>4.4586521527759382E-3</v>
      </c>
      <c r="K24" s="1">
        <v>1.1270268741598578E-2</v>
      </c>
      <c r="L24" s="1">
        <v>-172.34085377775111</v>
      </c>
      <c r="M24" s="1">
        <v>-305.14352227819518</v>
      </c>
      <c r="N24" s="1">
        <v>-477.48437605594631</v>
      </c>
      <c r="O24" s="1">
        <v>-477.48437605594631</v>
      </c>
    </row>
    <row r="25" spans="2:15">
      <c r="B25">
        <v>17</v>
      </c>
      <c r="D25">
        <v>862.5128150891835</v>
      </c>
      <c r="E25">
        <v>1357.7518624901336</v>
      </c>
      <c r="F25">
        <v>0.69561483889888553</v>
      </c>
      <c r="G25">
        <v>0.71743399147473264</v>
      </c>
      <c r="H25" s="3">
        <v>399.1022066154959</v>
      </c>
      <c r="I25" s="3">
        <v>1.5171435128234788E-2</v>
      </c>
      <c r="J25" s="3">
        <v>-4.7836752025400067E-3</v>
      </c>
      <c r="K25" s="1">
        <v>1.8680282410515909E-3</v>
      </c>
      <c r="L25" s="1">
        <v>-259.35153474128248</v>
      </c>
      <c r="M25" s="1">
        <v>-378.46406014788414</v>
      </c>
      <c r="N25" s="1">
        <v>-637.8155948891665</v>
      </c>
      <c r="O25" s="1">
        <v>-637.81559488916662</v>
      </c>
    </row>
    <row r="26" spans="2:15">
      <c r="B26">
        <v>18</v>
      </c>
      <c r="D26">
        <v>955.96406429706167</v>
      </c>
      <c r="E26">
        <v>1431.47298800873</v>
      </c>
      <c r="F26">
        <v>0.68550376422006154</v>
      </c>
      <c r="G26">
        <v>0.72105184126443223</v>
      </c>
      <c r="H26" s="3">
        <v>381.93471234087059</v>
      </c>
      <c r="I26" s="3">
        <v>2.5765085634321068E-2</v>
      </c>
      <c r="J26" s="3">
        <v>6.6683500172775405E-3</v>
      </c>
      <c r="K26" s="1">
        <v>1.3033928556292051E-2</v>
      </c>
      <c r="L26" s="1">
        <v>-235.33061029927904</v>
      </c>
      <c r="M26" s="1">
        <v>-389.7093687255026</v>
      </c>
      <c r="N26" s="1">
        <v>-625.03997902478159</v>
      </c>
      <c r="O26" s="1">
        <v>-625.03997902478159</v>
      </c>
    </row>
    <row r="27" spans="2:15">
      <c r="B27">
        <v>19</v>
      </c>
      <c r="D27">
        <v>1051.9342969135116</v>
      </c>
      <c r="E27">
        <v>1554.9941070633683</v>
      </c>
      <c r="F27">
        <v>0.68548672191996607</v>
      </c>
      <c r="G27">
        <v>0.71752162832450428</v>
      </c>
      <c r="H27" s="3">
        <v>383.69470257680018</v>
      </c>
      <c r="I27" s="3">
        <v>2.084818774782712E-2</v>
      </c>
      <c r="J27" s="3">
        <v>1.6634526189871143E-3</v>
      </c>
      <c r="K27" s="1">
        <v>8.0583643286004491E-3</v>
      </c>
      <c r="L27" s="1">
        <v>-43.484496127284103</v>
      </c>
      <c r="M27" s="1">
        <v>-230.13719566974709</v>
      </c>
      <c r="N27" s="1">
        <v>-273.62169179703119</v>
      </c>
      <c r="O27" s="1">
        <v>-273.62169179703119</v>
      </c>
    </row>
    <row r="28" spans="2:15">
      <c r="B28">
        <v>20</v>
      </c>
      <c r="D28">
        <v>871.97168872209943</v>
      </c>
      <c r="E28">
        <v>1337.7257885862721</v>
      </c>
      <c r="F28">
        <v>0.70327694909941052</v>
      </c>
      <c r="G28">
        <v>0.73353841623792415</v>
      </c>
      <c r="H28" s="3">
        <v>380.49737921496336</v>
      </c>
      <c r="I28" s="3">
        <v>2.0900916514083212E-2</v>
      </c>
      <c r="J28" s="3">
        <v>1.8760475533350432E-3</v>
      </c>
      <c r="K28" s="1">
        <v>8.2176705402511006E-3</v>
      </c>
      <c r="L28" s="1">
        <v>-338.05154649350584</v>
      </c>
      <c r="M28" s="1">
        <v>-321.02458369837814</v>
      </c>
      <c r="N28" s="1">
        <v>-659.07613019188398</v>
      </c>
      <c r="O28" s="1">
        <v>-659.07613019188398</v>
      </c>
    </row>
    <row r="29" spans="2:15">
      <c r="B29">
        <v>21</v>
      </c>
      <c r="D29">
        <v>881.39418572947761</v>
      </c>
      <c r="E29">
        <v>1378.0039102829262</v>
      </c>
      <c r="F29">
        <v>0.68795132770125356</v>
      </c>
      <c r="G29">
        <v>0.73129300562285826</v>
      </c>
      <c r="H29" s="3">
        <v>417.06400371447143</v>
      </c>
      <c r="I29" s="3">
        <v>3.31922956079359E-2</v>
      </c>
      <c r="J29" s="3">
        <v>1.2339095422212332E-2</v>
      </c>
      <c r="K29" s="1">
        <v>1.9290162150786855E-2</v>
      </c>
      <c r="L29" s="1">
        <v>-154.07687857985152</v>
      </c>
      <c r="M29" s="1">
        <v>-306.74776571742393</v>
      </c>
      <c r="N29" s="1">
        <v>-460.82464429727543</v>
      </c>
      <c r="O29" s="1">
        <v>-460.82464429727543</v>
      </c>
    </row>
    <row r="30" spans="2:15">
      <c r="B30">
        <v>22</v>
      </c>
      <c r="D30">
        <v>971.13671050756739</v>
      </c>
      <c r="E30">
        <v>1445.4164253641118</v>
      </c>
      <c r="F30">
        <v>0.69393319026560352</v>
      </c>
      <c r="G30">
        <v>0.73514949593766454</v>
      </c>
      <c r="H30" s="3">
        <v>372.59331406892193</v>
      </c>
      <c r="I30" s="3">
        <v>2.77017296476419E-2</v>
      </c>
      <c r="J30" s="3">
        <v>9.0720639441958031E-3</v>
      </c>
      <c r="K30" s="1">
        <v>1.5281952512011169E-2</v>
      </c>
      <c r="L30" s="1">
        <v>-136.85630692624852</v>
      </c>
      <c r="M30" s="1">
        <v>-523.03074638490159</v>
      </c>
      <c r="N30" s="1">
        <v>-659.88705331115</v>
      </c>
      <c r="O30" s="1">
        <v>-659.88705331115011</v>
      </c>
    </row>
    <row r="31" spans="2:15">
      <c r="B31">
        <v>23</v>
      </c>
      <c r="D31">
        <v>979.95789663418191</v>
      </c>
      <c r="E31">
        <v>1449.2708487016941</v>
      </c>
      <c r="F31">
        <v>0.68866494170787718</v>
      </c>
      <c r="G31">
        <v>0.7219177536412259</v>
      </c>
      <c r="H31" s="3">
        <v>383.70920663269857</v>
      </c>
      <c r="I31" s="3">
        <v>2.4118121710679664E-2</v>
      </c>
      <c r="J31" s="3">
        <v>4.9326613790447345E-3</v>
      </c>
      <c r="K31" s="1">
        <v>1.1327814822923044E-2</v>
      </c>
      <c r="L31" s="1">
        <v>-146.35989940960974</v>
      </c>
      <c r="M31" s="1">
        <v>-273.47390305063539</v>
      </c>
      <c r="N31" s="1">
        <v>-419.83380246024512</v>
      </c>
      <c r="O31" s="1">
        <v>-419.83380246024512</v>
      </c>
    </row>
    <row r="32" spans="2:15">
      <c r="B32">
        <v>24</v>
      </c>
      <c r="D32">
        <v>732.25475870533671</v>
      </c>
      <c r="E32">
        <v>1236.8414808867203</v>
      </c>
      <c r="F32">
        <v>0.69490815998888644</v>
      </c>
      <c r="G32">
        <v>0.72288392699950821</v>
      </c>
      <c r="H32" s="3">
        <v>412.92461695658147</v>
      </c>
      <c r="I32" s="3">
        <v>2.0277963813995707E-2</v>
      </c>
      <c r="J32" s="3">
        <v>-3.6826703383336865E-4</v>
      </c>
      <c r="K32" s="1">
        <v>6.5138099154429894E-3</v>
      </c>
      <c r="L32" s="1">
        <v>-421.6606506416656</v>
      </c>
      <c r="M32" s="1">
        <v>-232.6437637473407</v>
      </c>
      <c r="N32" s="1">
        <v>-654.3044143890063</v>
      </c>
      <c r="O32" s="1">
        <v>-654.3044143890063</v>
      </c>
    </row>
    <row r="33" spans="2:15">
      <c r="B33">
        <v>25</v>
      </c>
      <c r="D33">
        <v>889.85380023409539</v>
      </c>
      <c r="E33">
        <v>1384.1811149332468</v>
      </c>
      <c r="F33">
        <v>0.69543956670407048</v>
      </c>
      <c r="G33">
        <v>0.72968657283402993</v>
      </c>
      <c r="H33" s="3">
        <v>409.01446001305595</v>
      </c>
      <c r="I33" s="3">
        <v>2.5584816458204304E-2</v>
      </c>
      <c r="J33" s="3">
        <v>5.1340934575515029E-3</v>
      </c>
      <c r="K33" s="1">
        <v>1.195100112443577E-2</v>
      </c>
      <c r="L33" s="1">
        <v>-65.778534091989329</v>
      </c>
      <c r="M33" s="1">
        <v>-436.59438846371791</v>
      </c>
      <c r="N33" s="1">
        <v>-502.37292255570719</v>
      </c>
      <c r="O33" s="1">
        <v>-502.37292255570725</v>
      </c>
    </row>
    <row r="34" spans="2:15">
      <c r="B34">
        <v>26</v>
      </c>
      <c r="D34">
        <v>762.34985805330564</v>
      </c>
      <c r="E34">
        <v>1263.9956867171832</v>
      </c>
      <c r="F34">
        <v>0.68908253277297882</v>
      </c>
      <c r="G34">
        <v>0.71457053371465573</v>
      </c>
      <c r="H34" s="3">
        <v>395.04116752300121</v>
      </c>
      <c r="I34" s="3">
        <v>1.7361892007750939E-2</v>
      </c>
      <c r="J34" s="3">
        <v>-2.3901663683991228E-3</v>
      </c>
      <c r="K34" s="1">
        <v>4.1938530903175633E-3</v>
      </c>
      <c r="L34" s="1">
        <v>-196.52486025573572</v>
      </c>
      <c r="M34" s="1">
        <v>-239.51313191687476</v>
      </c>
      <c r="N34" s="1">
        <v>-436.03799217261042</v>
      </c>
      <c r="O34" s="1">
        <v>-436.03799217261047</v>
      </c>
    </row>
    <row r="35" spans="2:15">
      <c r="B35">
        <v>27</v>
      </c>
      <c r="D35">
        <v>946.45576936986072</v>
      </c>
      <c r="E35">
        <v>1423.9558164255643</v>
      </c>
      <c r="F35">
        <v>0.68538851709748361</v>
      </c>
      <c r="G35">
        <v>0.72601624569091372</v>
      </c>
      <c r="H35" s="3">
        <v>386.58067539815329</v>
      </c>
      <c r="I35" s="3">
        <v>2.8090444392823155E-2</v>
      </c>
      <c r="J35" s="3">
        <v>8.7614106229154907E-3</v>
      </c>
      <c r="K35" s="1">
        <v>1.5204421879551379E-2</v>
      </c>
      <c r="L35" s="1">
        <v>-548.54156837117466</v>
      </c>
      <c r="M35" s="1">
        <v>-369.92885231558375</v>
      </c>
      <c r="N35" s="1">
        <v>-918.47042068675842</v>
      </c>
      <c r="O35" s="1">
        <v>-918.47042068675842</v>
      </c>
    </row>
    <row r="36" spans="2:15">
      <c r="B36">
        <v>28</v>
      </c>
      <c r="D36">
        <v>1113.9376634460266</v>
      </c>
      <c r="E36">
        <v>1599.5634789875048</v>
      </c>
      <c r="F36">
        <v>0.69625435960939153</v>
      </c>
      <c r="G36">
        <v>0.72544202849534734</v>
      </c>
      <c r="H36" s="3">
        <v>383.74124992481211</v>
      </c>
      <c r="I36" s="3">
        <v>2.0011308168342921E-2</v>
      </c>
      <c r="J36" s="3">
        <v>8.24245672102316E-4</v>
      </c>
      <c r="K36" s="1">
        <v>7.2199331708491851E-3</v>
      </c>
      <c r="L36" s="1">
        <v>-400.24535998326445</v>
      </c>
      <c r="M36" s="1">
        <v>-265.52409507936125</v>
      </c>
      <c r="N36" s="1">
        <v>-665.76945506262575</v>
      </c>
      <c r="O36" s="1">
        <v>-665.76945506262564</v>
      </c>
    </row>
    <row r="37" spans="2:15">
      <c r="B37">
        <v>29</v>
      </c>
      <c r="D37">
        <v>934.94262653678823</v>
      </c>
      <c r="E37">
        <v>1407.2902873202934</v>
      </c>
      <c r="F37">
        <v>0.6920955901648953</v>
      </c>
      <c r="G37">
        <v>0.72872239008239859</v>
      </c>
      <c r="H37" s="3">
        <v>385.68100528028344</v>
      </c>
      <c r="I37" s="3">
        <v>2.6139871372794519E-2</v>
      </c>
      <c r="J37" s="3">
        <v>6.8558211087803474E-3</v>
      </c>
      <c r="K37" s="1">
        <v>1.3283837863451739E-2</v>
      </c>
      <c r="L37" s="1">
        <v>130.69077895868276</v>
      </c>
      <c r="M37" s="1">
        <v>-373.23037834343631</v>
      </c>
      <c r="N37" s="1">
        <v>-242.5395993847535</v>
      </c>
      <c r="O37" s="1">
        <v>-242.53959938475356</v>
      </c>
    </row>
    <row r="38" spans="2:15">
      <c r="B38">
        <v>30</v>
      </c>
      <c r="D38">
        <v>759.88743339768655</v>
      </c>
      <c r="E38">
        <v>1261.0632873945203</v>
      </c>
      <c r="F38">
        <v>0.69250101770606243</v>
      </c>
      <c r="G38">
        <v>0.72340791475726074</v>
      </c>
      <c r="H38" s="3">
        <v>395.01901319809389</v>
      </c>
      <c r="I38" s="3">
        <v>2.1656094359744971E-2</v>
      </c>
      <c r="J38" s="3">
        <v>1.9051436998402775E-3</v>
      </c>
      <c r="K38" s="1">
        <v>8.4887939198085086E-3</v>
      </c>
      <c r="L38" s="1">
        <v>-304.15719133623708</v>
      </c>
      <c r="M38" s="1">
        <v>-257.59219563561055</v>
      </c>
      <c r="N38" s="1">
        <v>-561.74938697184757</v>
      </c>
      <c r="O38" s="1">
        <v>-561.74938697184757</v>
      </c>
    </row>
    <row r="39" spans="2:15">
      <c r="B39">
        <v>31</v>
      </c>
      <c r="D39">
        <v>1010.8379947492563</v>
      </c>
      <c r="E39">
        <v>1490.3638126783333</v>
      </c>
      <c r="F39">
        <v>0.69599064198153537</v>
      </c>
      <c r="G39">
        <v>0.72142344579098128</v>
      </c>
      <c r="H39" s="3">
        <v>383.29799970372329</v>
      </c>
      <c r="I39" s="3">
        <v>1.7475979266464946E-2</v>
      </c>
      <c r="J39" s="3">
        <v>-1.6889207187212214E-3</v>
      </c>
      <c r="K39" s="1">
        <v>4.6993792763408357E-3</v>
      </c>
      <c r="L39" s="1">
        <v>-381.52754059965309</v>
      </c>
      <c r="M39" s="1">
        <v>-286.53544304725716</v>
      </c>
      <c r="N39" s="1">
        <v>-668.0629836469102</v>
      </c>
      <c r="O39" s="1">
        <v>-668.0629836469102</v>
      </c>
    </row>
    <row r="40" spans="2:15">
      <c r="B40">
        <v>32</v>
      </c>
      <c r="D40">
        <v>1219.9991097993754</v>
      </c>
      <c r="E40">
        <v>1687.166867055799</v>
      </c>
      <c r="F40">
        <v>0.69172755665607999</v>
      </c>
      <c r="G40">
        <v>0.72436578207210567</v>
      </c>
      <c r="H40" s="3">
        <v>388.0439685129615</v>
      </c>
      <c r="I40" s="3">
        <v>2.4205981792761285E-2</v>
      </c>
      <c r="J40" s="3">
        <v>4.8037833671132103E-3</v>
      </c>
      <c r="K40" s="1">
        <v>1.1271182842329235E-2</v>
      </c>
      <c r="L40" s="1">
        <v>-206.43812790597627</v>
      </c>
      <c r="M40" s="1">
        <v>-339.28554722010551</v>
      </c>
      <c r="N40" s="1">
        <v>-545.72367512608184</v>
      </c>
      <c r="O40" s="1">
        <v>-545.72367512608184</v>
      </c>
    </row>
    <row r="41" spans="2:15">
      <c r="B41">
        <v>33</v>
      </c>
      <c r="D41">
        <v>755.76110145736277</v>
      </c>
      <c r="E41">
        <v>1271.349452723558</v>
      </c>
      <c r="F41">
        <v>0.69414109478962904</v>
      </c>
      <c r="G41">
        <v>0.73565247500228648</v>
      </c>
      <c r="H41" s="3">
        <v>424.6377665243823</v>
      </c>
      <c r="I41" s="3">
        <v>3.0282938299412834E-2</v>
      </c>
      <c r="J41" s="3">
        <v>9.0510499731937151E-3</v>
      </c>
      <c r="K41" s="1">
        <v>1.612834608193342E-2</v>
      </c>
      <c r="L41" s="1">
        <v>-99.075392218641213</v>
      </c>
      <c r="M41" s="1">
        <v>-305.02369243746193</v>
      </c>
      <c r="N41" s="1">
        <v>-404.09908465610312</v>
      </c>
      <c r="O41" s="1">
        <v>-404.09908465610317</v>
      </c>
    </row>
    <row r="42" spans="2:15">
      <c r="B42">
        <v>34</v>
      </c>
      <c r="D42">
        <v>815.21483597583494</v>
      </c>
      <c r="E42">
        <v>1338.1714163131369</v>
      </c>
      <c r="F42">
        <v>0.69850528830998493</v>
      </c>
      <c r="G42">
        <v>0.72473242465517518</v>
      </c>
      <c r="H42" s="3">
        <v>437.17591680244612</v>
      </c>
      <c r="I42" s="3">
        <v>1.940634489724823E-2</v>
      </c>
      <c r="J42" s="3">
        <v>-2.4524509428740758E-3</v>
      </c>
      <c r="K42" s="1">
        <v>4.8338143371666926E-3</v>
      </c>
      <c r="L42" s="1">
        <v>-116.00918212226051</v>
      </c>
      <c r="M42" s="1">
        <v>-254.24661281936432</v>
      </c>
      <c r="N42" s="1">
        <v>-370.25579494162491</v>
      </c>
      <c r="O42" s="1">
        <v>-370.2557949416248</v>
      </c>
    </row>
    <row r="43" spans="2:15">
      <c r="B43">
        <v>35</v>
      </c>
      <c r="D43">
        <v>800.09526500652169</v>
      </c>
      <c r="E43">
        <v>1326.1134037088102</v>
      </c>
      <c r="F43">
        <v>0.69280947570564888</v>
      </c>
      <c r="G43">
        <v>0.71821870811700195</v>
      </c>
      <c r="H43" s="3">
        <v>404.09568838771776</v>
      </c>
      <c r="I43" s="3">
        <v>1.6778956474440762E-2</v>
      </c>
      <c r="J43" s="3">
        <v>-3.425827944945125E-3</v>
      </c>
      <c r="K43" s="1">
        <v>3.3091001948501696E-3</v>
      </c>
      <c r="L43" s="1">
        <v>-545.93357900544856</v>
      </c>
      <c r="M43" s="1">
        <v>-374.17061477423175</v>
      </c>
      <c r="N43" s="1">
        <v>-920.10419377968014</v>
      </c>
      <c r="O43" s="1">
        <v>-920.10419377968037</v>
      </c>
    </row>
    <row r="44" spans="2:15">
      <c r="B44">
        <v>36</v>
      </c>
      <c r="D44">
        <v>824.46270077372787</v>
      </c>
      <c r="E44">
        <v>1320.9853224676438</v>
      </c>
      <c r="F44">
        <v>0.69167852824528253</v>
      </c>
      <c r="G44">
        <v>0.72808632575624888</v>
      </c>
      <c r="H44" s="3">
        <v>420.40793938635301</v>
      </c>
      <c r="I44" s="3">
        <v>2.7083707691667184E-2</v>
      </c>
      <c r="J44" s="3">
        <v>6.0633107223495297E-3</v>
      </c>
      <c r="K44" s="1">
        <v>1.3070109712122082E-2</v>
      </c>
      <c r="L44" s="1">
        <v>-465.41800512435958</v>
      </c>
      <c r="M44" s="1">
        <v>-217.97824760966159</v>
      </c>
      <c r="N44" s="1">
        <v>-683.39625273402112</v>
      </c>
      <c r="O44" s="1">
        <v>-683.39625273402112</v>
      </c>
    </row>
    <row r="45" spans="2:15">
      <c r="B45">
        <v>37</v>
      </c>
      <c r="D45">
        <v>745.36658348621847</v>
      </c>
      <c r="E45">
        <v>1246.6027320424957</v>
      </c>
      <c r="F45">
        <v>0.69734318038209953</v>
      </c>
      <c r="G45">
        <v>0.72797663895463804</v>
      </c>
      <c r="H45" s="3">
        <v>411.91297230912733</v>
      </c>
      <c r="I45" s="3">
        <v>2.2084989062703307E-2</v>
      </c>
      <c r="J45" s="3">
        <v>1.4893404472469396E-3</v>
      </c>
      <c r="K45" s="1">
        <v>8.354556652399061E-3</v>
      </c>
      <c r="L45" s="1">
        <v>-159.82580557061436</v>
      </c>
      <c r="M45" s="1">
        <v>-311.68304478524914</v>
      </c>
      <c r="N45" s="1">
        <v>-471.5088503558635</v>
      </c>
      <c r="O45" s="1">
        <v>-471.5088503558635</v>
      </c>
    </row>
    <row r="46" spans="2:15">
      <c r="B46">
        <v>38</v>
      </c>
      <c r="D46">
        <v>929.46399841072946</v>
      </c>
      <c r="E46">
        <v>1407.4621420865574</v>
      </c>
      <c r="F46">
        <v>0.68787126536406129</v>
      </c>
      <c r="G46">
        <v>0.72006910325563434</v>
      </c>
      <c r="H46" s="3">
        <v>395.96946692648891</v>
      </c>
      <c r="I46" s="3">
        <v>2.3978899292654399E-2</v>
      </c>
      <c r="J46" s="3">
        <v>4.1804259463299534E-3</v>
      </c>
      <c r="K46" s="1">
        <v>1.0779917061771435E-2</v>
      </c>
      <c r="L46" s="1">
        <v>-154.66117628317718</v>
      </c>
      <c r="M46" s="1">
        <v>-370.38464624883881</v>
      </c>
      <c r="N46" s="1">
        <v>-525.04582253201602</v>
      </c>
      <c r="O46" s="1">
        <v>-525.04582253201602</v>
      </c>
    </row>
    <row r="47" spans="2:15">
      <c r="B47">
        <v>39</v>
      </c>
      <c r="D47">
        <v>747.85716460340041</v>
      </c>
      <c r="E47">
        <v>1235.7316270420768</v>
      </c>
      <c r="F47">
        <v>0.68116335421094154</v>
      </c>
      <c r="G47">
        <v>0.71131932137462606</v>
      </c>
      <c r="H47" s="3">
        <v>403.46530244441533</v>
      </c>
      <c r="I47" s="3">
        <v>2.234330741994859E-2</v>
      </c>
      <c r="J47" s="3">
        <v>2.1700422977278221E-3</v>
      </c>
      <c r="K47" s="1">
        <v>8.8944640051347446E-3</v>
      </c>
      <c r="L47" s="1">
        <v>-261.11115435062692</v>
      </c>
      <c r="M47" s="1">
        <v>-472.26876426563121</v>
      </c>
      <c r="N47" s="1">
        <v>-733.37991861625812</v>
      </c>
      <c r="O47" s="1">
        <v>-733.37991861625812</v>
      </c>
    </row>
    <row r="48" spans="2:15">
      <c r="B48">
        <v>40</v>
      </c>
      <c r="D48">
        <v>1035.2532736493993</v>
      </c>
      <c r="E48">
        <v>1567.434122714754</v>
      </c>
      <c r="F48">
        <v>0.70024378521727293</v>
      </c>
      <c r="G48">
        <v>0.72867522544389696</v>
      </c>
      <c r="H48" s="3">
        <v>419.65582130967636</v>
      </c>
      <c r="I48" s="3">
        <v>1.909146942209829E-2</v>
      </c>
      <c r="J48" s="3">
        <v>-1.8913216433855302E-3</v>
      </c>
      <c r="K48" s="1">
        <v>5.1029420451090771E-3</v>
      </c>
      <c r="L48" s="1">
        <v>-277.67468813885773</v>
      </c>
      <c r="M48" s="1">
        <v>-370.26932847723253</v>
      </c>
      <c r="N48" s="1">
        <v>-647.94401661609027</v>
      </c>
      <c r="O48" s="1">
        <v>-647.94401661609027</v>
      </c>
    </row>
    <row r="49" spans="2:15">
      <c r="B49">
        <v>41</v>
      </c>
      <c r="D49">
        <v>871.84345198743563</v>
      </c>
      <c r="E49">
        <v>1356.6415188137064</v>
      </c>
      <c r="F49">
        <v>0.6966797117813579</v>
      </c>
      <c r="G49">
        <v>0.72294156058557546</v>
      </c>
      <c r="H49" s="3">
        <v>404.23021830927439</v>
      </c>
      <c r="I49" s="3">
        <v>1.9577615648824435E-2</v>
      </c>
      <c r="J49" s="3">
        <v>-6.3389526663928247E-4</v>
      </c>
      <c r="K49" s="1">
        <v>6.1032750385152899E-3</v>
      </c>
      <c r="L49" s="1">
        <v>-353.04258227908508</v>
      </c>
      <c r="M49" s="1">
        <v>-312.43471834155463</v>
      </c>
      <c r="N49" s="1">
        <v>-665.47730062063977</v>
      </c>
      <c r="O49" s="1">
        <v>-665.47730062063965</v>
      </c>
    </row>
    <row r="50" spans="2:15">
      <c r="B50">
        <v>42</v>
      </c>
      <c r="D50">
        <v>818.33435514044129</v>
      </c>
      <c r="E50">
        <v>1313.3882073481077</v>
      </c>
      <c r="F50">
        <v>0.69011344903979266</v>
      </c>
      <c r="G50">
        <v>0.71995698580563039</v>
      </c>
      <c r="H50" s="3">
        <v>405.59741318712827</v>
      </c>
      <c r="I50" s="3">
        <v>2.1361272947009069E-2</v>
      </c>
      <c r="J50" s="3">
        <v>1.0814022876526573E-3</v>
      </c>
      <c r="K50" s="1">
        <v>7.841359174104794E-3</v>
      </c>
      <c r="L50" s="1">
        <v>-261.98642607109969</v>
      </c>
      <c r="M50" s="1">
        <v>-335.04542396135957</v>
      </c>
      <c r="N50" s="1">
        <v>-597.03185003245926</v>
      </c>
      <c r="O50" s="1">
        <v>-597.03185003245926</v>
      </c>
    </row>
    <row r="51" spans="2:15">
      <c r="B51">
        <v>43</v>
      </c>
      <c r="D51">
        <v>1092.9840609297587</v>
      </c>
      <c r="E51">
        <v>1581.516747578534</v>
      </c>
      <c r="F51">
        <v>0.69140954189851422</v>
      </c>
      <c r="G51">
        <v>0.7256872378485868</v>
      </c>
      <c r="H51" s="3">
        <v>395.36367082598929</v>
      </c>
      <c r="I51" s="3">
        <v>2.4128920698201207E-2</v>
      </c>
      <c r="J51" s="3">
        <v>4.360737156901745E-3</v>
      </c>
      <c r="K51" s="1">
        <v>1.0950131670668233E-2</v>
      </c>
      <c r="L51" s="1">
        <v>-171.02950599043265</v>
      </c>
      <c r="M51" s="1">
        <v>-356.6282157182527</v>
      </c>
      <c r="N51" s="1">
        <v>-527.65772170868524</v>
      </c>
      <c r="O51" s="1">
        <v>-527.65772170868536</v>
      </c>
    </row>
    <row r="52" spans="2:15">
      <c r="B52">
        <v>44</v>
      </c>
      <c r="D52">
        <v>1129.8860424370978</v>
      </c>
      <c r="E52">
        <v>1626.2394178236034</v>
      </c>
      <c r="F52">
        <v>0.69613602769954652</v>
      </c>
      <c r="G52">
        <v>0.73249959002250575</v>
      </c>
      <c r="H52" s="3">
        <v>410.28598990991702</v>
      </c>
      <c r="I52" s="3">
        <v>2.6062477504797645E-2</v>
      </c>
      <c r="J52" s="3">
        <v>5.5481780093017963E-3</v>
      </c>
      <c r="K52" s="1">
        <v>1.2386277841133747E-2</v>
      </c>
      <c r="L52" s="1">
        <v>-234.41834679842671</v>
      </c>
      <c r="M52" s="1">
        <v>-340.82272181048131</v>
      </c>
      <c r="N52" s="1">
        <v>-575.24106860890799</v>
      </c>
      <c r="O52" s="1">
        <v>-575.24106860890799</v>
      </c>
    </row>
    <row r="53" spans="2:15">
      <c r="B53">
        <v>45</v>
      </c>
      <c r="D53">
        <v>791.96287411884305</v>
      </c>
      <c r="E53">
        <v>1276.0397835947272</v>
      </c>
      <c r="F53">
        <v>0.68794250053422257</v>
      </c>
      <c r="G53">
        <v>0.72076898346378149</v>
      </c>
      <c r="H53" s="3">
        <v>398.98269726011364</v>
      </c>
      <c r="I53" s="3">
        <v>2.359372855813879E-2</v>
      </c>
      <c r="J53" s="3">
        <v>3.6445936951331089E-3</v>
      </c>
      <c r="K53" s="1">
        <v>1.0294305316135002E-2</v>
      </c>
      <c r="L53" s="1">
        <v>-364.73637764861019</v>
      </c>
      <c r="M53" s="1">
        <v>-255.92231713395603</v>
      </c>
      <c r="N53" s="1">
        <v>-620.65869478256627</v>
      </c>
      <c r="O53" s="1">
        <v>-620.65869478256627</v>
      </c>
    </row>
    <row r="54" spans="2:15">
      <c r="B54">
        <v>46</v>
      </c>
      <c r="D54">
        <v>978.23852948046624</v>
      </c>
      <c r="E54">
        <v>1444.1557662907323</v>
      </c>
      <c r="F54">
        <v>0.69472046684655298</v>
      </c>
      <c r="G54">
        <v>0.73472519566576744</v>
      </c>
      <c r="H54" s="3">
        <v>382.77782502480312</v>
      </c>
      <c r="I54" s="3">
        <v>2.8529166585538165E-2</v>
      </c>
      <c r="J54" s="3">
        <v>9.3902753342980094E-3</v>
      </c>
      <c r="K54" s="1">
        <v>1.5769905751378061E-2</v>
      </c>
      <c r="L54" s="1">
        <v>-118.83416669469507</v>
      </c>
      <c r="M54" s="1">
        <v>-342.98697824401739</v>
      </c>
      <c r="N54" s="1">
        <v>-461.82114493871251</v>
      </c>
      <c r="O54" s="1">
        <v>-461.82114493871245</v>
      </c>
    </row>
    <row r="55" spans="2:15">
      <c r="B55">
        <v>47</v>
      </c>
      <c r="D55">
        <v>839.48359553181172</v>
      </c>
      <c r="E55">
        <v>1334.3339200045295</v>
      </c>
      <c r="F55">
        <v>0.69952574049162453</v>
      </c>
      <c r="G55">
        <v>0.72277920598637135</v>
      </c>
      <c r="H55" s="3">
        <v>395.33525309178907</v>
      </c>
      <c r="I55" s="3">
        <v>1.6000301588311588E-2</v>
      </c>
      <c r="J55" s="3">
        <v>-3.7664610662778639E-3</v>
      </c>
      <c r="K55" s="1">
        <v>2.8224598185852857E-3</v>
      </c>
      <c r="L55" s="1">
        <v>-380.28753357621684</v>
      </c>
      <c r="M55" s="1">
        <v>-225.19534920504108</v>
      </c>
      <c r="N55" s="1">
        <v>-605.4828827812579</v>
      </c>
      <c r="O55" s="1">
        <v>-605.4828827812579</v>
      </c>
    </row>
    <row r="56" spans="2:15">
      <c r="B56">
        <v>48</v>
      </c>
      <c r="D56">
        <v>851.52002877562688</v>
      </c>
      <c r="E56">
        <v>1350.6017005554897</v>
      </c>
      <c r="F56">
        <v>0.68446803259982691</v>
      </c>
      <c r="G56">
        <v>0.71332278151187822</v>
      </c>
      <c r="H56" s="3">
        <v>402.2130101499119</v>
      </c>
      <c r="I56" s="3">
        <v>2.0164216973641919E-2</v>
      </c>
      <c r="J56" s="3">
        <v>5.3566466146324349E-5</v>
      </c>
      <c r="K56" s="1">
        <v>6.7571166353115227E-3</v>
      </c>
      <c r="L56" s="1">
        <v>-180.83251867311787</v>
      </c>
      <c r="M56" s="1">
        <v>-328.1218404456929</v>
      </c>
      <c r="N56" s="1">
        <v>-508.95435911881077</v>
      </c>
      <c r="O56" s="1">
        <v>-508.95435911881077</v>
      </c>
    </row>
    <row r="57" spans="2:15">
      <c r="B57">
        <v>49</v>
      </c>
      <c r="D57">
        <v>967.47584601486255</v>
      </c>
      <c r="E57">
        <v>1466.2683036933706</v>
      </c>
      <c r="F57">
        <v>0.69643646523924474</v>
      </c>
      <c r="G57">
        <v>0.72030931116616814</v>
      </c>
      <c r="H57" s="3">
        <v>399.50115766534833</v>
      </c>
      <c r="I57" s="3">
        <v>1.6364353261236326E-2</v>
      </c>
      <c r="J57" s="3">
        <v>-3.6107046220310891E-3</v>
      </c>
      <c r="K57" s="1">
        <v>3.0476480057247141E-3</v>
      </c>
      <c r="L57" s="1">
        <v>-215.45129890302792</v>
      </c>
      <c r="M57" s="1">
        <v>-253.12993922337611</v>
      </c>
      <c r="N57" s="1">
        <v>-468.58123812640406</v>
      </c>
      <c r="O57" s="1">
        <v>-468.58123812640406</v>
      </c>
    </row>
    <row r="58" spans="2:15">
      <c r="B58">
        <v>50</v>
      </c>
      <c r="D58">
        <v>819.9416958974482</v>
      </c>
      <c r="E58">
        <v>1295.1516703089069</v>
      </c>
      <c r="F58">
        <v>0.69736063278612825</v>
      </c>
      <c r="G58">
        <v>0.72647258689014038</v>
      </c>
      <c r="H58" s="3">
        <v>383.82258903082305</v>
      </c>
      <c r="I58" s="3">
        <v>2.0708194017037326E-2</v>
      </c>
      <c r="J58" s="3">
        <v>1.5170645654961727E-3</v>
      </c>
      <c r="K58" s="1">
        <v>7.9141077160098904E-3</v>
      </c>
      <c r="L58" s="1">
        <v>-220.04006614020261</v>
      </c>
      <c r="M58" s="1">
        <v>-424.80832525559299</v>
      </c>
      <c r="N58" s="1">
        <v>-644.8483913957956</v>
      </c>
      <c r="O58" s="1">
        <v>-644.8483913957956</v>
      </c>
    </row>
    <row r="59" spans="2:15">
      <c r="B59">
        <v>51</v>
      </c>
      <c r="D59">
        <v>887.34600547817035</v>
      </c>
      <c r="E59">
        <v>1343.9219671166559</v>
      </c>
      <c r="F59">
        <v>0.68256441694744385</v>
      </c>
      <c r="G59">
        <v>0.73058134154499055</v>
      </c>
      <c r="H59" s="3">
        <v>387.3248575018946</v>
      </c>
      <c r="I59" s="3">
        <v>3.576424101763033E-2</v>
      </c>
      <c r="J59" s="3">
        <v>1.6397998142535598E-2</v>
      </c>
      <c r="K59" s="1">
        <v>2.2853412434233843E-2</v>
      </c>
      <c r="L59" s="1">
        <v>-159.60230245346554</v>
      </c>
      <c r="M59" s="1">
        <v>-256.06571217532473</v>
      </c>
      <c r="N59" s="1">
        <v>-415.66801462879027</v>
      </c>
      <c r="O59" s="1">
        <v>-415.66801462879027</v>
      </c>
    </row>
    <row r="60" spans="2:15">
      <c r="B60">
        <v>52</v>
      </c>
      <c r="D60">
        <v>854.29713153814964</v>
      </c>
      <c r="E60">
        <v>1343.1102026935375</v>
      </c>
      <c r="F60">
        <v>0.6897646640361037</v>
      </c>
      <c r="G60">
        <v>0.72622599225305473</v>
      </c>
      <c r="H60" s="3">
        <v>411.92259687742109</v>
      </c>
      <c r="I60" s="3">
        <v>2.6989280393325876E-2</v>
      </c>
      <c r="J60" s="3">
        <v>6.3931505494548221E-3</v>
      </c>
      <c r="K60" s="1">
        <v>1.3258527164078507E-2</v>
      </c>
      <c r="L60" s="1">
        <v>-365.62701776942316</v>
      </c>
      <c r="M60" s="1">
        <v>-410.79555017564564</v>
      </c>
      <c r="N60" s="1">
        <v>-776.42256794506875</v>
      </c>
      <c r="O60" s="1">
        <v>-776.42256794506875</v>
      </c>
    </row>
    <row r="61" spans="2:15">
      <c r="B61">
        <v>53</v>
      </c>
      <c r="D61">
        <v>971.06818775234944</v>
      </c>
      <c r="E61">
        <v>1466.5009490810664</v>
      </c>
      <c r="F61">
        <v>0.69699129300550999</v>
      </c>
      <c r="G61">
        <v>0.72098505388878464</v>
      </c>
      <c r="H61" s="3">
        <v>404.25968575150785</v>
      </c>
      <c r="I61" s="3">
        <v>1.7571309131840115E-2</v>
      </c>
      <c r="J61" s="3">
        <v>-2.6416751557352784E-3</v>
      </c>
      <c r="K61" s="1">
        <v>4.095986273456519E-3</v>
      </c>
      <c r="L61" s="1">
        <v>-427.9377908909259</v>
      </c>
      <c r="M61" s="1">
        <v>-359.33146684296599</v>
      </c>
      <c r="N61" s="1">
        <v>-787.26925773389178</v>
      </c>
      <c r="O61" s="1">
        <v>-787.26925773389189</v>
      </c>
    </row>
    <row r="62" spans="2:15">
      <c r="B62">
        <v>54</v>
      </c>
      <c r="D62">
        <v>779.40165054000943</v>
      </c>
      <c r="E62">
        <v>1273.9503679933282</v>
      </c>
      <c r="F62">
        <v>0.68377319436533912</v>
      </c>
      <c r="G62">
        <v>0.73107724374623928</v>
      </c>
      <c r="H62" s="3">
        <v>408.4129760583624</v>
      </c>
      <c r="I62" s="3">
        <v>3.4339441288950452E-2</v>
      </c>
      <c r="J62" s="3">
        <v>1.3918792486032328E-2</v>
      </c>
      <c r="K62" s="1">
        <v>2.0725675420338371E-2</v>
      </c>
      <c r="L62" s="1">
        <v>-209.13587771149179</v>
      </c>
      <c r="M62" s="1">
        <v>-417.23174972138241</v>
      </c>
      <c r="N62" s="1">
        <v>-626.36762743287431</v>
      </c>
      <c r="O62" s="1">
        <v>-626.3676274328742</v>
      </c>
    </row>
    <row r="63" spans="2:15">
      <c r="B63">
        <v>55</v>
      </c>
      <c r="D63">
        <v>907.52719656013971</v>
      </c>
      <c r="E63">
        <v>1406.4901091440847</v>
      </c>
      <c r="F63">
        <v>0.69244583420544659</v>
      </c>
      <c r="G63">
        <v>0.74056731027988021</v>
      </c>
      <c r="H63" s="3">
        <v>407.5765462923398</v>
      </c>
      <c r="I63" s="3">
        <v>3.4399040044286511E-2</v>
      </c>
      <c r="J63" s="3">
        <v>1.4020212729669516E-2</v>
      </c>
      <c r="K63" s="1">
        <v>2.0813155167875182E-2</v>
      </c>
      <c r="L63" s="1">
        <v>-445.33554974232021</v>
      </c>
      <c r="M63" s="1">
        <v>-392.78971385114329</v>
      </c>
      <c r="N63" s="1">
        <v>-838.12526359346361</v>
      </c>
      <c r="O63" s="1">
        <v>-838.1252635934635</v>
      </c>
    </row>
    <row r="64" spans="2:15">
      <c r="B64">
        <v>56</v>
      </c>
      <c r="D64">
        <v>965.02892846345037</v>
      </c>
      <c r="E64">
        <v>1401.6538326603584</v>
      </c>
      <c r="F64">
        <v>0.68669991802682062</v>
      </c>
      <c r="G64">
        <v>0.72502841897979753</v>
      </c>
      <c r="H64" s="3">
        <v>355.68862025555325</v>
      </c>
      <c r="I64" s="3">
        <v>2.6769260139083303E-2</v>
      </c>
      <c r="J64" s="3">
        <v>8.9848291263056428E-3</v>
      </c>
      <c r="K64" s="1">
        <v>1.4912972797231531E-2</v>
      </c>
      <c r="L64" s="1">
        <v>-298.81370943504618</v>
      </c>
      <c r="M64" s="1">
        <v>-321.80085169095884</v>
      </c>
      <c r="N64" s="1">
        <v>-620.61456112600501</v>
      </c>
      <c r="O64" s="1">
        <v>-620.61456112600501</v>
      </c>
    </row>
    <row r="65" spans="2:15">
      <c r="B65">
        <v>57</v>
      </c>
      <c r="D65">
        <v>910.94147006330991</v>
      </c>
      <c r="E65">
        <v>1386.3123958805327</v>
      </c>
      <c r="F65">
        <v>0.68022338785956182</v>
      </c>
      <c r="G65">
        <v>0.71658307131673182</v>
      </c>
      <c r="H65" s="3">
        <v>401.88891757763417</v>
      </c>
      <c r="I65" s="3">
        <v>2.7339314760940554E-2</v>
      </c>
      <c r="J65" s="3">
        <v>7.2448688820588442E-3</v>
      </c>
      <c r="K65" s="1">
        <v>1.3943017508352747E-2</v>
      </c>
      <c r="L65" s="1">
        <v>-226.66982228525788</v>
      </c>
      <c r="M65" s="1">
        <v>-225.13826072120463</v>
      </c>
      <c r="N65" s="1">
        <v>-451.80808300646248</v>
      </c>
      <c r="O65" s="1">
        <v>-451.80808300646254</v>
      </c>
    </row>
    <row r="66" spans="2:15">
      <c r="B66">
        <v>58</v>
      </c>
      <c r="D66">
        <v>877.86749825609115</v>
      </c>
      <c r="E66">
        <v>1342.5025961513545</v>
      </c>
      <c r="F66">
        <v>0.68684887120805205</v>
      </c>
      <c r="G66">
        <v>0.72000759317514273</v>
      </c>
      <c r="H66" s="3">
        <v>389.90831701408922</v>
      </c>
      <c r="I66" s="3">
        <v>2.4684830177933232E-2</v>
      </c>
      <c r="J66" s="3">
        <v>5.1894143272287717E-3</v>
      </c>
      <c r="K66" s="1">
        <v>1.1687886277463592E-2</v>
      </c>
      <c r="L66" s="1">
        <v>-84.451026242285124</v>
      </c>
      <c r="M66" s="1">
        <v>-435.07931677233785</v>
      </c>
      <c r="N66" s="1">
        <v>-519.53034301462299</v>
      </c>
      <c r="O66" s="1">
        <v>-519.53034301462299</v>
      </c>
    </row>
    <row r="67" spans="2:15">
      <c r="B67">
        <v>59</v>
      </c>
      <c r="D67">
        <v>766.13858228833465</v>
      </c>
      <c r="E67">
        <v>1237.9054760377119</v>
      </c>
      <c r="F67">
        <v>0.69573483675338021</v>
      </c>
      <c r="G67">
        <v>0.73250973067448188</v>
      </c>
      <c r="H67" s="3">
        <v>394.66017224225027</v>
      </c>
      <c r="I67" s="3">
        <v>2.7398438458312285E-2</v>
      </c>
      <c r="J67" s="3">
        <v>7.6654298461997714E-3</v>
      </c>
      <c r="K67" s="1">
        <v>1.424309938357061E-2</v>
      </c>
      <c r="L67" s="1">
        <v>-44.815377220154865</v>
      </c>
      <c r="M67" s="1">
        <v>-415.2257550712016</v>
      </c>
      <c r="N67" s="1">
        <v>-460.04113229135646</v>
      </c>
      <c r="O67" s="1">
        <v>-460.04113229135646</v>
      </c>
    </row>
    <row r="68" spans="2:15">
      <c r="B68">
        <v>60</v>
      </c>
      <c r="D68">
        <v>918.87535953792303</v>
      </c>
      <c r="E68">
        <v>1426.1649742805753</v>
      </c>
      <c r="F68">
        <v>0.69878006833232353</v>
      </c>
      <c r="G68">
        <v>0.7319447033130424</v>
      </c>
      <c r="H68" s="3">
        <v>408.91009321480976</v>
      </c>
      <c r="I68" s="3">
        <v>2.3144635172829012E-2</v>
      </c>
      <c r="J68" s="3">
        <v>2.6991305120885219E-3</v>
      </c>
      <c r="K68" s="1">
        <v>9.514298732335353E-3</v>
      </c>
      <c r="L68" s="1">
        <v>-153.40543755627144</v>
      </c>
      <c r="M68" s="1">
        <v>-301.93320039444939</v>
      </c>
      <c r="N68" s="1">
        <v>-455.33863795072079</v>
      </c>
      <c r="O68" s="1">
        <v>-455.33863795072079</v>
      </c>
    </row>
    <row r="69" spans="2:15">
      <c r="B69">
        <v>61</v>
      </c>
      <c r="D69">
        <v>832.33017445687074</v>
      </c>
      <c r="E69">
        <v>1348.5798897974344</v>
      </c>
      <c r="F69">
        <v>0.69438553949984883</v>
      </c>
      <c r="G69">
        <v>0.72300764099958004</v>
      </c>
      <c r="H69" s="3">
        <v>421.95052312414578</v>
      </c>
      <c r="I69" s="3">
        <v>1.9839127694451633E-2</v>
      </c>
      <c r="J69" s="3">
        <v>-1.2583984617556519E-3</v>
      </c>
      <c r="K69" s="1">
        <v>5.7741102569801098E-3</v>
      </c>
      <c r="L69" s="1">
        <v>-93.855141402957926</v>
      </c>
      <c r="M69" s="1">
        <v>-393.9360920992786</v>
      </c>
      <c r="N69" s="1">
        <v>-487.79123350223654</v>
      </c>
      <c r="O69" s="1">
        <v>-487.79123350223654</v>
      </c>
    </row>
    <row r="70" spans="2:15">
      <c r="B70">
        <v>62</v>
      </c>
      <c r="D70">
        <v>801.5344223581684</v>
      </c>
      <c r="E70">
        <v>1305.9461667906846</v>
      </c>
      <c r="F70">
        <v>0.70088586843706591</v>
      </c>
      <c r="G70">
        <v>0.72653133439993878</v>
      </c>
      <c r="H70" s="3">
        <v>408.94252282596892</v>
      </c>
      <c r="I70" s="3">
        <v>1.8445030259112184E-2</v>
      </c>
      <c r="J70" s="3">
        <v>-2.0020958821862604E-3</v>
      </c>
      <c r="K70" s="1">
        <v>4.8136128315798866E-3</v>
      </c>
      <c r="L70" s="1">
        <v>-112.82096105031181</v>
      </c>
      <c r="M70" s="1">
        <v>-461.62648943533907</v>
      </c>
      <c r="N70" s="1">
        <v>-574.44745048565096</v>
      </c>
      <c r="O70" s="1">
        <v>-574.44745048565085</v>
      </c>
    </row>
    <row r="71" spans="2:15">
      <c r="B71">
        <v>63</v>
      </c>
      <c r="D71">
        <v>819.87992554048617</v>
      </c>
      <c r="E71">
        <v>1319.2851831639093</v>
      </c>
      <c r="F71">
        <v>0.68620460353016177</v>
      </c>
      <c r="G71">
        <v>0.71772872882407812</v>
      </c>
      <c r="H71" s="3">
        <v>410.90987019628574</v>
      </c>
      <c r="I71" s="3">
        <v>2.2431540798084251E-2</v>
      </c>
      <c r="J71" s="3">
        <v>1.8860472882699687E-3</v>
      </c>
      <c r="K71" s="1">
        <v>8.7345451248747284E-3</v>
      </c>
      <c r="L71" s="1">
        <v>-258.87222296992047</v>
      </c>
      <c r="M71" s="1">
        <v>-274.34174884148979</v>
      </c>
      <c r="N71" s="1">
        <v>-533.21397181141026</v>
      </c>
      <c r="O71" s="1">
        <v>-533.21397181141026</v>
      </c>
    </row>
    <row r="72" spans="2:15">
      <c r="B72">
        <v>64</v>
      </c>
      <c r="D72">
        <v>768.9647170030197</v>
      </c>
      <c r="E72">
        <v>1275.7702297356993</v>
      </c>
      <c r="F72">
        <v>0.69417869483040495</v>
      </c>
      <c r="G72">
        <v>0.72169758075346657</v>
      </c>
      <c r="H72" s="3">
        <v>421.15582149325178</v>
      </c>
      <c r="I72" s="3">
        <v>2.0543344962300127E-2</v>
      </c>
      <c r="J72" s="3">
        <v>-5.1444611236246135E-4</v>
      </c>
      <c r="K72" s="1">
        <v>6.504817579191734E-3</v>
      </c>
      <c r="L72" s="1">
        <v>-252.90069037607964</v>
      </c>
      <c r="M72" s="1">
        <v>-353.15068016626799</v>
      </c>
      <c r="N72" s="1">
        <v>-606.05137054234751</v>
      </c>
      <c r="O72" s="1">
        <v>-606.05137054234763</v>
      </c>
    </row>
    <row r="73" spans="2:15">
      <c r="B73">
        <v>65</v>
      </c>
      <c r="D73">
        <v>723.36979061521197</v>
      </c>
      <c r="E73">
        <v>1217.3232869653127</v>
      </c>
      <c r="F73">
        <v>0.68687600356441603</v>
      </c>
      <c r="G73">
        <v>0.7291743666608711</v>
      </c>
      <c r="H73" s="3">
        <v>400.08447891744504</v>
      </c>
      <c r="I73" s="3">
        <v>2.90745320143324E-2</v>
      </c>
      <c r="J73" s="3">
        <v>9.0703080684601464E-3</v>
      </c>
      <c r="K73" s="1">
        <v>1.5738382717084231E-2</v>
      </c>
      <c r="L73" s="1">
        <v>-239.94840294587041</v>
      </c>
      <c r="M73" s="1">
        <v>-327.12876276644636</v>
      </c>
      <c r="N73" s="1">
        <v>-567.07716571231674</v>
      </c>
      <c r="O73" s="1">
        <v>-567.07716571231674</v>
      </c>
    </row>
    <row r="74" spans="2:15">
      <c r="B74">
        <v>66</v>
      </c>
      <c r="D74">
        <v>975.4192246758688</v>
      </c>
      <c r="E74">
        <v>1472.8660162421672</v>
      </c>
      <c r="F74">
        <v>0.69416544270593916</v>
      </c>
      <c r="G74">
        <v>0.73309672770994627</v>
      </c>
      <c r="H74" s="3">
        <v>409.15462219174117</v>
      </c>
      <c r="I74" s="3">
        <v>2.8741378186167395E-2</v>
      </c>
      <c r="J74" s="3">
        <v>8.2836470765803409E-3</v>
      </c>
      <c r="K74" s="1">
        <v>1.5102890779776026E-2</v>
      </c>
      <c r="L74" s="1">
        <v>-238.98388156685598</v>
      </c>
      <c r="M74" s="1">
        <v>-338.88541977995249</v>
      </c>
      <c r="N74" s="1">
        <v>-577.86930134680847</v>
      </c>
      <c r="O74" s="1">
        <v>-577.86930134680847</v>
      </c>
    </row>
    <row r="75" spans="2:15">
      <c r="B75">
        <v>67</v>
      </c>
      <c r="D75">
        <v>1037.2367439692073</v>
      </c>
      <c r="E75">
        <v>1539.3320489773582</v>
      </c>
      <c r="F75">
        <v>0.68619762331090861</v>
      </c>
      <c r="G75">
        <v>0.71393999148063714</v>
      </c>
      <c r="H75" s="3">
        <v>419.81557889411278</v>
      </c>
      <c r="I75" s="3">
        <v>2.0519858219380568E-2</v>
      </c>
      <c r="J75" s="3">
        <v>-4.7092072532507051E-4</v>
      </c>
      <c r="K75" s="1">
        <v>6.5260055895768089E-3</v>
      </c>
      <c r="L75" s="1">
        <v>-290.59379952817648</v>
      </c>
      <c r="M75" s="1">
        <v>-449.53560595745427</v>
      </c>
      <c r="N75" s="1">
        <v>-740.12940548563074</v>
      </c>
      <c r="O75" s="1">
        <v>-740.12940548563074</v>
      </c>
    </row>
    <row r="76" spans="2:15">
      <c r="B76">
        <v>68</v>
      </c>
      <c r="D76">
        <v>775.20401750066117</v>
      </c>
      <c r="E76">
        <v>1256.4442763296795</v>
      </c>
      <c r="F76">
        <v>0.68473669999926168</v>
      </c>
      <c r="G76">
        <v>0.71889291796031829</v>
      </c>
      <c r="H76" s="3">
        <v>388.31845670930369</v>
      </c>
      <c r="I76" s="3">
        <v>2.3908170306813862E-2</v>
      </c>
      <c r="J76" s="3">
        <v>4.4922474713486732E-3</v>
      </c>
      <c r="K76" s="1">
        <v>1.0964221749837071E-2</v>
      </c>
      <c r="L76" s="1">
        <v>-194.01441293661642</v>
      </c>
      <c r="M76" s="1">
        <v>-315.66169762151185</v>
      </c>
      <c r="N76" s="1">
        <v>-509.67611055812824</v>
      </c>
      <c r="O76" s="1">
        <v>-509.67611055812824</v>
      </c>
    </row>
    <row r="77" spans="2:15">
      <c r="B77">
        <v>69</v>
      </c>
      <c r="D77">
        <v>938.37280184008318</v>
      </c>
      <c r="E77">
        <v>1407.0343050477154</v>
      </c>
      <c r="F77">
        <v>0.69557544687916728</v>
      </c>
      <c r="G77">
        <v>0.72762029779050252</v>
      </c>
      <c r="H77" s="3">
        <v>384.36931398630213</v>
      </c>
      <c r="I77" s="3">
        <v>2.2057976368981578E-2</v>
      </c>
      <c r="J77" s="3">
        <v>2.839510669666475E-3</v>
      </c>
      <c r="K77" s="1">
        <v>9.2456659027715087E-3</v>
      </c>
      <c r="L77" s="1">
        <v>-198.11713006749278</v>
      </c>
      <c r="M77" s="1">
        <v>-272.5907607547847</v>
      </c>
      <c r="N77" s="1">
        <v>-470.70789082227742</v>
      </c>
      <c r="O77" s="1">
        <v>-470.70789082227748</v>
      </c>
    </row>
    <row r="78" spans="2:15">
      <c r="B78">
        <v>70</v>
      </c>
      <c r="D78">
        <v>976.85159227790894</v>
      </c>
      <c r="E78">
        <v>1441.3742778495568</v>
      </c>
      <c r="F78">
        <v>0.69066364023696059</v>
      </c>
      <c r="G78">
        <v>0.72662840528070427</v>
      </c>
      <c r="H78" s="3">
        <v>370.87515585075198</v>
      </c>
      <c r="I78" s="3">
        <v>2.3967512604442392E-2</v>
      </c>
      <c r="J78" s="3">
        <v>5.4237548119047962E-3</v>
      </c>
      <c r="K78" s="1">
        <v>1.1605007409417327E-2</v>
      </c>
      <c r="L78" s="1">
        <v>-203.59124850471775</v>
      </c>
      <c r="M78" s="1">
        <v>-368.47089782540689</v>
      </c>
      <c r="N78" s="1">
        <v>-572.06214633012451</v>
      </c>
      <c r="O78" s="1">
        <v>-572.06214633012462</v>
      </c>
    </row>
    <row r="79" spans="2:15">
      <c r="B79">
        <v>71</v>
      </c>
      <c r="D79">
        <v>835.92093877607044</v>
      </c>
      <c r="E79">
        <v>1327.8230718355089</v>
      </c>
      <c r="F79">
        <v>0.69510128981797337</v>
      </c>
      <c r="G79">
        <v>0.72525931946868882</v>
      </c>
      <c r="H79" s="3">
        <v>403.29223268498379</v>
      </c>
      <c r="I79" s="3">
        <v>2.1554921931247285E-2</v>
      </c>
      <c r="J79" s="3">
        <v>1.3903102969980985E-3</v>
      </c>
      <c r="K79" s="1">
        <v>8.1118475084144947E-3</v>
      </c>
      <c r="L79" s="1">
        <v>-465.66360906983897</v>
      </c>
      <c r="M79" s="1">
        <v>-274.3180540958171</v>
      </c>
      <c r="N79" s="1">
        <v>-739.98166316565607</v>
      </c>
      <c r="O79" s="1">
        <v>-739.98166316565607</v>
      </c>
    </row>
    <row r="80" spans="2:15">
      <c r="B80">
        <v>72</v>
      </c>
      <c r="D80">
        <v>765.91434046866812</v>
      </c>
      <c r="E80">
        <v>1232.9162314138232</v>
      </c>
      <c r="F80">
        <v>0.68740007682379611</v>
      </c>
      <c r="G80">
        <v>0.73200777552536167</v>
      </c>
      <c r="H80" s="3">
        <v>387.82285973809991</v>
      </c>
      <c r="I80" s="3">
        <v>3.2762661832336899E-2</v>
      </c>
      <c r="J80" s="3">
        <v>1.3371518845431907E-2</v>
      </c>
      <c r="K80" s="1">
        <v>1.9835233174400238E-2</v>
      </c>
      <c r="L80" s="1">
        <v>-436.11439809786606</v>
      </c>
      <c r="M80" s="1">
        <v>-511.83603828100718</v>
      </c>
      <c r="N80" s="1">
        <v>-947.95043637887329</v>
      </c>
      <c r="O80" s="1">
        <v>-947.95043637887329</v>
      </c>
    </row>
    <row r="81" spans="2:15">
      <c r="B81">
        <v>73</v>
      </c>
      <c r="D81">
        <v>955.0962794602965</v>
      </c>
      <c r="E81">
        <v>1457.7299220376617</v>
      </c>
      <c r="F81">
        <v>0.69490268965297552</v>
      </c>
      <c r="G81">
        <v>0.71230146910088699</v>
      </c>
      <c r="H81" s="3">
        <v>414.57559297573169</v>
      </c>
      <c r="I81" s="3">
        <v>1.2896455306636011E-2</v>
      </c>
      <c r="J81" s="3">
        <v>-7.8323243421505751E-3</v>
      </c>
      <c r="K81" s="1">
        <v>-9.2273112588838087E-4</v>
      </c>
      <c r="L81" s="1">
        <v>-72.875622185985264</v>
      </c>
      <c r="M81" s="1">
        <v>-273.34096001669002</v>
      </c>
      <c r="N81" s="1">
        <v>-346.21658220267511</v>
      </c>
      <c r="O81" s="1">
        <v>-346.21658220267528</v>
      </c>
    </row>
    <row r="82" spans="2:15">
      <c r="B82">
        <v>74</v>
      </c>
      <c r="D82">
        <v>942.20548809218576</v>
      </c>
      <c r="E82">
        <v>1416.9879017188439</v>
      </c>
      <c r="F82">
        <v>0.6891869323602553</v>
      </c>
      <c r="G82">
        <v>0.72881352943093802</v>
      </c>
      <c r="H82" s="3">
        <v>398.27066081142675</v>
      </c>
      <c r="I82" s="3">
        <v>2.9665666631963655E-2</v>
      </c>
      <c r="J82" s="3">
        <v>9.7521335913923132E-3</v>
      </c>
      <c r="K82" s="1">
        <v>1.638997793824943E-2</v>
      </c>
      <c r="L82" s="1">
        <v>-352.78991951213902</v>
      </c>
      <c r="M82" s="1">
        <v>-347.82591759461616</v>
      </c>
      <c r="N82" s="1">
        <v>-700.61583710675518</v>
      </c>
      <c r="O82" s="1">
        <v>-700.61583710675518</v>
      </c>
    </row>
    <row r="83" spans="2:15">
      <c r="B83">
        <v>75</v>
      </c>
      <c r="D83">
        <v>831.94119124625286</v>
      </c>
      <c r="E83">
        <v>1344.4264289900452</v>
      </c>
      <c r="F83">
        <v>0.69419061731860321</v>
      </c>
      <c r="G83">
        <v>0.7163997285901802</v>
      </c>
      <c r="H83" s="3">
        <v>421.13818295725787</v>
      </c>
      <c r="I83" s="3">
        <v>1.5995824691703252E-2</v>
      </c>
      <c r="J83" s="3">
        <v>-5.0610844561596452E-3</v>
      </c>
      <c r="K83" s="1">
        <v>1.9578852597946558E-3</v>
      </c>
      <c r="L83" s="1">
        <v>80.923101087318514</v>
      </c>
      <c r="M83" s="1">
        <v>-341.53069731500705</v>
      </c>
      <c r="N83" s="1">
        <v>-260.60759622768853</v>
      </c>
      <c r="O83" s="1">
        <v>-260.60759622768853</v>
      </c>
    </row>
    <row r="84" spans="2:15">
      <c r="B84">
        <v>76</v>
      </c>
      <c r="D84">
        <v>859.52223757587103</v>
      </c>
      <c r="E84">
        <v>1349.7565830688384</v>
      </c>
      <c r="F84">
        <v>0.69235779447636359</v>
      </c>
      <c r="G84">
        <v>0.71446986698068138</v>
      </c>
      <c r="H84" s="3">
        <v>392.9062408283616</v>
      </c>
      <c r="I84" s="3">
        <v>1.6431362223748532E-2</v>
      </c>
      <c r="J84" s="3">
        <v>-3.2139498176695473E-3</v>
      </c>
      <c r="K84" s="1">
        <v>3.334487529469814E-3</v>
      </c>
      <c r="L84" s="1">
        <v>-406.58420600958709</v>
      </c>
      <c r="M84" s="1">
        <v>-429.37965349817114</v>
      </c>
      <c r="N84" s="1">
        <v>-835.96385950775834</v>
      </c>
      <c r="O84" s="1">
        <v>-835.96385950775823</v>
      </c>
    </row>
    <row r="85" spans="2:15">
      <c r="B85">
        <v>77</v>
      </c>
      <c r="D85">
        <v>614.62052299914092</v>
      </c>
      <c r="E85">
        <v>1131.4546094075604</v>
      </c>
      <c r="F85">
        <v>0.68723657404047367</v>
      </c>
      <c r="G85">
        <v>0.73258452474026547</v>
      </c>
      <c r="H85" s="3">
        <v>430.7645874413455</v>
      </c>
      <c r="I85" s="3">
        <v>3.28829990345227E-2</v>
      </c>
      <c r="J85" s="3">
        <v>1.1344769662455425E-2</v>
      </c>
      <c r="K85" s="1">
        <v>1.8524179453144517E-2</v>
      </c>
      <c r="L85" s="1">
        <v>-220.64672985309193</v>
      </c>
      <c r="M85" s="1">
        <v>-393.05572945192705</v>
      </c>
      <c r="N85" s="1">
        <v>-613.70245930501892</v>
      </c>
      <c r="O85" s="1">
        <v>-613.70245930501892</v>
      </c>
    </row>
    <row r="86" spans="2:15">
      <c r="B86">
        <v>78</v>
      </c>
      <c r="D86">
        <v>854.92245385745684</v>
      </c>
      <c r="E86">
        <v>1315.7479563424943</v>
      </c>
      <c r="F86">
        <v>0.69644903760353716</v>
      </c>
      <c r="G86">
        <v>0.72415975832894808</v>
      </c>
      <c r="H86" s="3">
        <v>375.51327641947501</v>
      </c>
      <c r="I86" s="3">
        <v>1.9607146289835894E-2</v>
      </c>
      <c r="J86" s="3">
        <v>8.31482468862145E-4</v>
      </c>
      <c r="K86" s="1">
        <v>7.0900370758533934E-3</v>
      </c>
      <c r="L86" s="1">
        <v>-218.97255449622062</v>
      </c>
      <c r="M86" s="1">
        <v>-374.94558279277254</v>
      </c>
      <c r="N86" s="1">
        <v>-593.91813728899319</v>
      </c>
      <c r="O86" s="1">
        <v>-593.91813728899319</v>
      </c>
    </row>
    <row r="87" spans="2:15">
      <c r="B87">
        <v>79</v>
      </c>
      <c r="D87">
        <v>842.43605234870472</v>
      </c>
      <c r="E87">
        <v>1328.8197214567442</v>
      </c>
      <c r="F87">
        <v>0.68604985600355417</v>
      </c>
      <c r="G87">
        <v>0.72615543048780573</v>
      </c>
      <c r="H87" s="3">
        <v>385.57884161581222</v>
      </c>
      <c r="I87" s="3">
        <v>2.8116184080364339E-2</v>
      </c>
      <c r="J87" s="3">
        <v>8.8372419995737285E-3</v>
      </c>
      <c r="K87" s="1">
        <v>1.5263556026503932E-2</v>
      </c>
      <c r="L87" s="1">
        <v>-85.251501962694661</v>
      </c>
      <c r="M87" s="1">
        <v>-308.91326391138614</v>
      </c>
      <c r="N87" s="1">
        <v>-394.16476587408073</v>
      </c>
      <c r="O87" s="1">
        <v>-394.16476587408079</v>
      </c>
    </row>
    <row r="88" spans="2:15">
      <c r="B88">
        <v>80</v>
      </c>
      <c r="D88">
        <v>995.81436194696948</v>
      </c>
      <c r="E88">
        <v>1490.3006846815824</v>
      </c>
      <c r="F88">
        <v>0.69277746475447444</v>
      </c>
      <c r="G88">
        <v>0.73502046680617139</v>
      </c>
      <c r="H88" s="3">
        <v>415.97877053071227</v>
      </c>
      <c r="I88" s="3">
        <v>3.1100950940571127E-2</v>
      </c>
      <c r="J88" s="3">
        <v>1.0302012414035513E-2</v>
      </c>
      <c r="K88" s="1">
        <v>1.7234991922880718E-2</v>
      </c>
      <c r="L88" s="1">
        <v>-273.24355781895599</v>
      </c>
      <c r="M88" s="1">
        <v>-320.69437095724692</v>
      </c>
      <c r="N88" s="1">
        <v>-593.93792877620297</v>
      </c>
      <c r="O88" s="1">
        <v>-593.93792877620285</v>
      </c>
    </row>
    <row r="89" spans="2:15">
      <c r="B89">
        <v>81</v>
      </c>
      <c r="D89">
        <v>931.64711702816123</v>
      </c>
      <c r="E89">
        <v>1422.6071935206526</v>
      </c>
      <c r="F89">
        <v>0.68775141321581701</v>
      </c>
      <c r="G89">
        <v>0.71695363648052535</v>
      </c>
      <c r="H89" s="3">
        <v>415.23935771908435</v>
      </c>
      <c r="I89" s="3">
        <v>2.2113817285488852E-2</v>
      </c>
      <c r="J89" s="3">
        <v>1.3518493995346333E-3</v>
      </c>
      <c r="K89" s="1">
        <v>8.2725053615193729E-3</v>
      </c>
      <c r="L89" s="1">
        <v>-235.06470929315145</v>
      </c>
      <c r="M89" s="1">
        <v>-470.9130463659958</v>
      </c>
      <c r="N89" s="1">
        <v>-705.97775565914731</v>
      </c>
      <c r="O89" s="1">
        <v>-705.97775565914731</v>
      </c>
    </row>
    <row r="90" spans="2:15">
      <c r="B90">
        <v>82</v>
      </c>
      <c r="D90">
        <v>747.32746521873969</v>
      </c>
      <c r="E90">
        <v>1254.7859837104363</v>
      </c>
      <c r="F90">
        <v>0.69106708145233131</v>
      </c>
      <c r="G90">
        <v>0.71235432373937591</v>
      </c>
      <c r="H90" s="3">
        <v>407.81081935644477</v>
      </c>
      <c r="I90" s="3">
        <v>1.4487699403795726E-2</v>
      </c>
      <c r="J90" s="3">
        <v>-5.9028415640265085E-3</v>
      </c>
      <c r="K90" s="1">
        <v>8.9400542524756786E-4</v>
      </c>
      <c r="L90" s="1">
        <v>-165.96837011622637</v>
      </c>
      <c r="M90" s="1">
        <v>-316.13933737891654</v>
      </c>
      <c r="N90" s="1">
        <v>-482.10770749514302</v>
      </c>
      <c r="O90" s="1">
        <v>-482.1077074951429</v>
      </c>
    </row>
    <row r="91" spans="2:15">
      <c r="B91">
        <v>83</v>
      </c>
      <c r="D91">
        <v>777.0438264087818</v>
      </c>
      <c r="E91">
        <v>1255.0985291325537</v>
      </c>
      <c r="F91">
        <v>0.67852087795412519</v>
      </c>
      <c r="G91">
        <v>0.71858367716738936</v>
      </c>
      <c r="H91" s="3">
        <v>395.20683330962436</v>
      </c>
      <c r="I91" s="3">
        <v>2.9374576478666856E-2</v>
      </c>
      <c r="J91" s="3">
        <v>9.6142348131856362E-3</v>
      </c>
      <c r="K91" s="1">
        <v>1.6201015368346044E-2</v>
      </c>
      <c r="L91" s="1">
        <v>-338.88418060530239</v>
      </c>
      <c r="M91" s="1">
        <v>-274.40681694417299</v>
      </c>
      <c r="N91" s="1">
        <v>-613.29099754947538</v>
      </c>
      <c r="O91" s="1">
        <v>-613.29099754947538</v>
      </c>
    </row>
    <row r="92" spans="2:15">
      <c r="B92">
        <v>84</v>
      </c>
      <c r="D92">
        <v>976.86123787588417</v>
      </c>
      <c r="E92">
        <v>1442.7653342319743</v>
      </c>
      <c r="F92">
        <v>0.691858144434638</v>
      </c>
      <c r="G92">
        <v>0.72295178273618665</v>
      </c>
      <c r="H92" s="3">
        <v>384.90139662343074</v>
      </c>
      <c r="I92" s="3">
        <v>2.1912633079318837E-2</v>
      </c>
      <c r="J92" s="3">
        <v>2.6675632481472991E-3</v>
      </c>
      <c r="K92" s="1">
        <v>9.082586525204479E-3</v>
      </c>
      <c r="L92" s="1">
        <v>-238.43042133828189</v>
      </c>
      <c r="M92" s="1">
        <v>-340.80693951733571</v>
      </c>
      <c r="N92" s="1">
        <v>-579.23736085561768</v>
      </c>
      <c r="O92" s="1">
        <v>-579.23736085561757</v>
      </c>
    </row>
    <row r="93" spans="2:15">
      <c r="B93">
        <v>85</v>
      </c>
      <c r="D93">
        <v>717.8096065854827</v>
      </c>
      <c r="E93">
        <v>1232.9852084696402</v>
      </c>
      <c r="F93">
        <v>0.69751207676761973</v>
      </c>
      <c r="G93">
        <v>0.73048812816489406</v>
      </c>
      <c r="H93" s="3">
        <v>418.06042034001922</v>
      </c>
      <c r="I93" s="3">
        <v>2.287646753824725E-2</v>
      </c>
      <c r="J93" s="3">
        <v>1.9734465212462894E-3</v>
      </c>
      <c r="K93" s="1">
        <v>8.9411201935799423E-3</v>
      </c>
      <c r="L93" s="1">
        <v>-383.18054170980292</v>
      </c>
      <c r="M93" s="1">
        <v>-209.31983786937192</v>
      </c>
      <c r="N93" s="1">
        <v>-592.50037957917493</v>
      </c>
      <c r="O93" s="1">
        <v>-592.50037957917482</v>
      </c>
    </row>
    <row r="94" spans="2:15">
      <c r="B94">
        <v>86</v>
      </c>
      <c r="D94">
        <v>891.75824911784673</v>
      </c>
      <c r="E94">
        <v>1367.3850189247198</v>
      </c>
      <c r="F94">
        <v>0.68493478010383502</v>
      </c>
      <c r="G94">
        <v>0.71774195527951656</v>
      </c>
      <c r="H94" s="3">
        <v>386.95134056324048</v>
      </c>
      <c r="I94" s="3">
        <v>2.3363346159616195E-2</v>
      </c>
      <c r="J94" s="3">
        <v>4.015779131454171E-3</v>
      </c>
      <c r="K94" s="1">
        <v>1.0464968140841512E-2</v>
      </c>
      <c r="L94" s="1">
        <v>-234.26845980249752</v>
      </c>
      <c r="M94" s="1">
        <v>-374.2859229337671</v>
      </c>
      <c r="N94" s="1">
        <v>-608.55438273626453</v>
      </c>
      <c r="O94" s="1">
        <v>-608.55438273626464</v>
      </c>
    </row>
    <row r="95" spans="2:15">
      <c r="B95">
        <v>87</v>
      </c>
      <c r="D95">
        <v>680.13317283026481</v>
      </c>
      <c r="E95">
        <v>1175.5617469219387</v>
      </c>
      <c r="F95">
        <v>0.69445646720813647</v>
      </c>
      <c r="G95">
        <v>0.7295047600605794</v>
      </c>
      <c r="H95" s="3">
        <v>412.43810940909589</v>
      </c>
      <c r="I95" s="3">
        <v>2.5821187886263055E-2</v>
      </c>
      <c r="J95" s="3">
        <v>5.1992824158082589E-3</v>
      </c>
      <c r="K95" s="1">
        <v>1.2073250905959856E-2</v>
      </c>
      <c r="L95" s="1">
        <v>-375.82785566117235</v>
      </c>
      <c r="M95" s="1">
        <v>-392.38924097499898</v>
      </c>
      <c r="N95" s="1">
        <v>-768.21709663617116</v>
      </c>
      <c r="O95" s="1">
        <v>-768.21709663617139</v>
      </c>
    </row>
    <row r="96" spans="2:15">
      <c r="B96">
        <v>88</v>
      </c>
      <c r="D96">
        <v>921.91709019768905</v>
      </c>
      <c r="E96">
        <v>1408.1005266227228</v>
      </c>
      <c r="F96">
        <v>0.69121166685776025</v>
      </c>
      <c r="G96">
        <v>0.72074525666769607</v>
      </c>
      <c r="H96" s="3">
        <v>390.01286941414423</v>
      </c>
      <c r="I96" s="3">
        <v>2.1073174608856576E-2</v>
      </c>
      <c r="J96" s="3">
        <v>1.572531138149362E-3</v>
      </c>
      <c r="K96" s="1">
        <v>8.0727456283851001E-3</v>
      </c>
      <c r="L96" s="1">
        <v>-248.02886228142364</v>
      </c>
      <c r="M96" s="1">
        <v>-392.27920160311146</v>
      </c>
      <c r="N96" s="1">
        <v>-640.30806388453516</v>
      </c>
      <c r="O96" s="1">
        <v>-640.30806388453516</v>
      </c>
    </row>
    <row r="97" spans="2:15">
      <c r="B97">
        <v>89</v>
      </c>
      <c r="D97">
        <v>713.42479449369</v>
      </c>
      <c r="E97">
        <v>1209.7359832605168</v>
      </c>
      <c r="F97">
        <v>0.69128064435904935</v>
      </c>
      <c r="G97">
        <v>0.72728631241611319</v>
      </c>
      <c r="H97" s="3">
        <v>421.31363155332417</v>
      </c>
      <c r="I97" s="3">
        <v>2.7619232160245196E-2</v>
      </c>
      <c r="J97" s="3">
        <v>6.5535505825789868E-3</v>
      </c>
      <c r="K97" s="1">
        <v>1.3575444441801057E-2</v>
      </c>
      <c r="L97" s="1">
        <v>-146.32339581173056</v>
      </c>
      <c r="M97" s="1">
        <v>-327.0514694322809</v>
      </c>
      <c r="N97" s="1">
        <v>-473.37486524401135</v>
      </c>
      <c r="O97" s="1">
        <v>-473.37486524401146</v>
      </c>
    </row>
    <row r="98" spans="2:15">
      <c r="B98">
        <v>90</v>
      </c>
      <c r="D98">
        <v>733.72172271029876</v>
      </c>
      <c r="E98">
        <v>1202.7538585437917</v>
      </c>
      <c r="F98">
        <v>0.69495336555785059</v>
      </c>
      <c r="G98">
        <v>0.72822916034487495</v>
      </c>
      <c r="H98" s="3">
        <v>386.62253153946574</v>
      </c>
      <c r="I98" s="3">
        <v>2.4398033067291425E-2</v>
      </c>
      <c r="J98" s="3">
        <v>5.0669064903181397E-3</v>
      </c>
      <c r="K98" s="1">
        <v>1.1510615349309234E-2</v>
      </c>
      <c r="L98" s="1">
        <v>-299.53552861818247</v>
      </c>
      <c r="M98" s="1">
        <v>-384.55553648758706</v>
      </c>
      <c r="N98" s="1">
        <v>-684.09106510576953</v>
      </c>
      <c r="O98" s="1">
        <v>-684.09106510576953</v>
      </c>
    </row>
    <row r="99" spans="2:15">
      <c r="B99">
        <v>91</v>
      </c>
      <c r="D99">
        <v>857.540194347127</v>
      </c>
      <c r="E99">
        <v>1367.2567324470383</v>
      </c>
      <c r="F99">
        <v>0.69039624657240362</v>
      </c>
      <c r="G99">
        <v>0.72353741989362208</v>
      </c>
      <c r="H99" s="3">
        <v>412.12608794572537</v>
      </c>
      <c r="I99" s="3">
        <v>2.3128314902039208E-2</v>
      </c>
      <c r="J99" s="3">
        <v>2.522010504752939E-3</v>
      </c>
      <c r="K99" s="1">
        <v>9.3907786371816952E-3</v>
      </c>
      <c r="L99" s="1">
        <v>-194.73630140327438</v>
      </c>
      <c r="M99" s="1">
        <v>-424.80845964268946</v>
      </c>
      <c r="N99" s="1">
        <v>-619.54476104596392</v>
      </c>
      <c r="O99" s="1">
        <v>-619.54476104596381</v>
      </c>
    </row>
    <row r="100" spans="2:15">
      <c r="B100">
        <v>92</v>
      </c>
      <c r="D100">
        <v>859.43369797962441</v>
      </c>
      <c r="E100">
        <v>1349.1835374209691</v>
      </c>
      <c r="F100">
        <v>0.68964885193851244</v>
      </c>
      <c r="G100">
        <v>0.72367710166180832</v>
      </c>
      <c r="H100" s="3">
        <v>395.99417713248624</v>
      </c>
      <c r="I100" s="3">
        <v>2.4283344871784102E-2</v>
      </c>
      <c r="J100" s="3">
        <v>4.4836360151597893E-3</v>
      </c>
      <c r="K100" s="1">
        <v>1.1083538967367893E-2</v>
      </c>
      <c r="L100" s="1">
        <v>-325.59292214387023</v>
      </c>
      <c r="M100" s="1">
        <v>-258.21717140382214</v>
      </c>
      <c r="N100" s="1">
        <v>-583.81009354769242</v>
      </c>
      <c r="O100" s="1">
        <v>-583.8100935476923</v>
      </c>
    </row>
    <row r="101" spans="2:15">
      <c r="B101">
        <v>93</v>
      </c>
      <c r="D101">
        <v>822.58503419507838</v>
      </c>
      <c r="E101">
        <v>1314.0941439728729</v>
      </c>
      <c r="F101">
        <v>0.69040105734441526</v>
      </c>
      <c r="G101">
        <v>0.71830252516793269</v>
      </c>
      <c r="H101" s="3">
        <v>406.12659887086323</v>
      </c>
      <c r="I101" s="3">
        <v>1.8935866345681576E-2</v>
      </c>
      <c r="J101" s="3">
        <v>-1.3704635978615855E-3</v>
      </c>
      <c r="K101" s="1">
        <v>5.3983130499861351E-3</v>
      </c>
      <c r="L101" s="1">
        <v>-393.39250691860781</v>
      </c>
      <c r="M101" s="1">
        <v>-321.77564294133418</v>
      </c>
      <c r="N101" s="1">
        <v>-715.16814985994188</v>
      </c>
      <c r="O101" s="1">
        <v>-715.16814985994199</v>
      </c>
    </row>
    <row r="102" spans="2:15">
      <c r="B102">
        <v>94</v>
      </c>
      <c r="D102">
        <v>1115.5892553568674</v>
      </c>
      <c r="E102">
        <v>1605.137782157823</v>
      </c>
      <c r="F102">
        <v>0.69147344605436212</v>
      </c>
      <c r="G102">
        <v>0.71966596324802967</v>
      </c>
      <c r="H102" s="3">
        <v>400.92073417471386</v>
      </c>
      <c r="I102" s="3">
        <v>2.0382172318983673E-2</v>
      </c>
      <c r="J102" s="3">
        <v>3.3613561024797844E-4</v>
      </c>
      <c r="K102" s="1">
        <v>7.0181478464932095E-3</v>
      </c>
      <c r="L102" s="1">
        <v>-196.25636313608661</v>
      </c>
      <c r="M102" s="1">
        <v>-438.881040592516</v>
      </c>
      <c r="N102" s="1">
        <v>-635.13740372860264</v>
      </c>
      <c r="O102" s="1">
        <v>-635.13740372860264</v>
      </c>
    </row>
    <row r="103" spans="2:15">
      <c r="B103">
        <v>95</v>
      </c>
      <c r="D103">
        <v>724.292786126907</v>
      </c>
      <c r="E103">
        <v>1204.3594729671893</v>
      </c>
      <c r="F103">
        <v>0.69306393600978211</v>
      </c>
      <c r="G103">
        <v>0.73109620409520171</v>
      </c>
      <c r="H103" s="3">
        <v>395.29608609860827</v>
      </c>
      <c r="I103" s="3">
        <v>2.6705644313296594E-2</v>
      </c>
      <c r="J103" s="3">
        <v>6.9408400083661795E-3</v>
      </c>
      <c r="K103" s="1">
        <v>1.352910811000965E-2</v>
      </c>
      <c r="L103" s="1">
        <v>-194.21249244303766</v>
      </c>
      <c r="M103" s="1">
        <v>-431.7012055087356</v>
      </c>
      <c r="N103" s="1">
        <v>-625.9136979517732</v>
      </c>
      <c r="O103" s="1">
        <v>-625.9136979517732</v>
      </c>
    </row>
    <row r="104" spans="2:15">
      <c r="B104">
        <v>96</v>
      </c>
      <c r="D104">
        <v>1138.2199991506159</v>
      </c>
      <c r="E104">
        <v>1642.8260802433638</v>
      </c>
      <c r="F104">
        <v>0.69831868197773783</v>
      </c>
      <c r="G104">
        <v>0.73453644906636872</v>
      </c>
      <c r="H104" s="3">
        <v>402.42400250667538</v>
      </c>
      <c r="I104" s="3">
        <v>2.5838320281586724E-2</v>
      </c>
      <c r="J104" s="3">
        <v>5.7171201562529576E-3</v>
      </c>
      <c r="K104" s="1">
        <v>1.2424186864697546E-2</v>
      </c>
      <c r="L104" s="1">
        <v>-215.071436449678</v>
      </c>
      <c r="M104" s="1">
        <v>-454.62210630319419</v>
      </c>
      <c r="N104" s="1">
        <v>-669.69354275287219</v>
      </c>
      <c r="O104" s="1">
        <v>-669.69354275287219</v>
      </c>
    </row>
    <row r="105" spans="2:15">
      <c r="B105">
        <v>97</v>
      </c>
      <c r="D105">
        <v>892.20879537961252</v>
      </c>
      <c r="E105">
        <v>1385.0954609797077</v>
      </c>
      <c r="F105">
        <v>0.68788383407763831</v>
      </c>
      <c r="G105">
        <v>0.72869928994704591</v>
      </c>
      <c r="H105" s="3">
        <v>417.8265839269834</v>
      </c>
      <c r="I105" s="3">
        <v>3.1139875139018922E-2</v>
      </c>
      <c r="J105" s="3">
        <v>1.0248545942669756E-2</v>
      </c>
      <c r="K105" s="1">
        <v>1.7212322341452813E-2</v>
      </c>
      <c r="L105" s="1">
        <v>-259.44982983440866</v>
      </c>
      <c r="M105" s="1">
        <v>-410.6452014456595</v>
      </c>
      <c r="N105" s="1">
        <v>-670.09503128006804</v>
      </c>
      <c r="O105" s="1">
        <v>-670.09503128006816</v>
      </c>
    </row>
    <row r="106" spans="2:15">
      <c r="B106">
        <v>98</v>
      </c>
      <c r="D106">
        <v>688.73057535283942</v>
      </c>
      <c r="E106">
        <v>1186.9164609492996</v>
      </c>
      <c r="F106">
        <v>0.67610019539382338</v>
      </c>
      <c r="G106">
        <v>0.71990885740924582</v>
      </c>
      <c r="H106" s="3">
        <v>409.89140690450193</v>
      </c>
      <c r="I106" s="3">
        <v>3.0797216520698664E-2</v>
      </c>
      <c r="J106" s="3">
        <v>1.0302646175473568E-2</v>
      </c>
      <c r="K106" s="1">
        <v>1.713416962388193E-2</v>
      </c>
      <c r="L106" s="1">
        <v>-91.967757482736744</v>
      </c>
      <c r="M106" s="1">
        <v>-329.64903818137316</v>
      </c>
      <c r="N106" s="1">
        <v>-421.61679566410982</v>
      </c>
      <c r="O106" s="1">
        <v>-421.61679566410987</v>
      </c>
    </row>
    <row r="107" spans="2:15">
      <c r="B107">
        <v>99</v>
      </c>
      <c r="D107">
        <v>811.164933155943</v>
      </c>
      <c r="E107">
        <v>1310.3388662943696</v>
      </c>
      <c r="F107">
        <v>0.68900283537278961</v>
      </c>
      <c r="G107">
        <v>0.71711714418022965</v>
      </c>
      <c r="H107" s="3">
        <v>395.92507351643644</v>
      </c>
      <c r="I107" s="3">
        <v>1.9218362390257336E-2</v>
      </c>
      <c r="J107" s="3">
        <v>-5.7789128556448924E-4</v>
      </c>
      <c r="K107" s="1">
        <v>6.0208599397094525E-3</v>
      </c>
      <c r="L107" s="1">
        <v>-330.0506147560987</v>
      </c>
      <c r="M107" s="1">
        <v>-361.54550353782162</v>
      </c>
      <c r="N107" s="1">
        <v>-691.59611829392043</v>
      </c>
      <c r="O107" s="1">
        <v>-691.59611829392031</v>
      </c>
    </row>
    <row r="108" spans="2:15">
      <c r="B108">
        <v>100</v>
      </c>
      <c r="D108">
        <v>851.8838813881149</v>
      </c>
      <c r="E108">
        <v>1373.1228738355121</v>
      </c>
      <c r="F108">
        <v>0.6937944633303933</v>
      </c>
      <c r="G108">
        <v>0.71836744549123088</v>
      </c>
      <c r="H108" s="3">
        <v>436.16855740529462</v>
      </c>
      <c r="I108" s="3">
        <v>1.780297227691412E-2</v>
      </c>
      <c r="J108" s="3">
        <v>-4.0054555933506063E-3</v>
      </c>
      <c r="K108" s="1">
        <v>3.2640203634043009E-3</v>
      </c>
      <c r="L108" s="1">
        <v>-332.74125904354094</v>
      </c>
      <c r="M108" s="1">
        <v>-303.29198951083811</v>
      </c>
      <c r="N108" s="1">
        <v>-636.03324855437904</v>
      </c>
      <c r="O108" s="1">
        <v>-636.03324855437904</v>
      </c>
    </row>
    <row r="109" spans="2:15">
      <c r="B109">
        <v>101</v>
      </c>
      <c r="D109">
        <v>892.36439570576783</v>
      </c>
      <c r="E109">
        <v>1347.1291569302541</v>
      </c>
      <c r="F109">
        <v>0.69056834068223605</v>
      </c>
      <c r="G109">
        <v>0.73420550730194756</v>
      </c>
      <c r="H109" s="3">
        <v>378.22348684404852</v>
      </c>
      <c r="I109" s="3">
        <v>3.2023834092120118E-2</v>
      </c>
      <c r="J109" s="3">
        <v>1.3112659749917693E-2</v>
      </c>
      <c r="K109" s="1">
        <v>1.9416384530651833E-2</v>
      </c>
      <c r="L109" s="1">
        <v>-325.79251775963826</v>
      </c>
      <c r="M109" s="1">
        <v>-297.30860134239919</v>
      </c>
      <c r="N109" s="1">
        <v>-623.1011191020375</v>
      </c>
      <c r="O109" s="1">
        <v>-623.1011191020375</v>
      </c>
    </row>
    <row r="110" spans="2:15">
      <c r="B110">
        <v>102</v>
      </c>
      <c r="D110">
        <v>772.564747884589</v>
      </c>
      <c r="E110">
        <v>1274.1668125187227</v>
      </c>
      <c r="F110">
        <v>0.69947495674298443</v>
      </c>
      <c r="G110">
        <v>0.71812327139871523</v>
      </c>
      <c r="H110" s="3">
        <v>424.13243953982123</v>
      </c>
      <c r="I110" s="3">
        <v>1.4025389764007218E-2</v>
      </c>
      <c r="J110" s="3">
        <v>-7.181232212983845E-3</v>
      </c>
      <c r="K110" s="1">
        <v>-1.1235822065349017E-4</v>
      </c>
      <c r="L110" s="1">
        <v>-211.19756827975809</v>
      </c>
      <c r="M110" s="1">
        <v>-299.02097605817528</v>
      </c>
      <c r="N110" s="1">
        <v>-510.21854433793328</v>
      </c>
      <c r="O110" s="1">
        <v>-510.21854433793339</v>
      </c>
    </row>
    <row r="111" spans="2:15">
      <c r="B111">
        <v>103</v>
      </c>
      <c r="D111">
        <v>881.70675243199605</v>
      </c>
      <c r="E111">
        <v>1379.8502942088521</v>
      </c>
      <c r="F111">
        <v>0.69067450772539019</v>
      </c>
      <c r="G111">
        <v>0.72251497987205904</v>
      </c>
      <c r="H111" s="3">
        <v>416.94047533522598</v>
      </c>
      <c r="I111" s="3">
        <v>2.3348208891851727E-2</v>
      </c>
      <c r="J111" s="3">
        <v>2.5011851250904271E-3</v>
      </c>
      <c r="K111" s="1">
        <v>9.4501930473441936E-3</v>
      </c>
      <c r="L111" s="1">
        <v>-85.787418109679791</v>
      </c>
      <c r="M111" s="1">
        <v>-401.0123623166761</v>
      </c>
      <c r="N111" s="1">
        <v>-486.79978042635594</v>
      </c>
      <c r="O111" s="1">
        <v>-486.79978042635588</v>
      </c>
    </row>
    <row r="112" spans="2:15">
      <c r="B112">
        <v>104</v>
      </c>
      <c r="D112">
        <v>899.29718016635479</v>
      </c>
      <c r="E112">
        <v>1410.9891718397419</v>
      </c>
      <c r="F112">
        <v>0.68696780707766569</v>
      </c>
      <c r="G112">
        <v>0.72335146815050888</v>
      </c>
      <c r="H112" s="3">
        <v>406.26761015938644</v>
      </c>
      <c r="I112" s="3">
        <v>2.4192957729729781E-2</v>
      </c>
      <c r="J112" s="3">
        <v>3.8795772217604593E-3</v>
      </c>
      <c r="K112" s="1">
        <v>1.0650704057750234E-2</v>
      </c>
      <c r="L112" s="1">
        <v>-487.96384404992466</v>
      </c>
      <c r="M112" s="1">
        <v>-307.51007263751853</v>
      </c>
      <c r="N112" s="1">
        <v>-795.47391668744331</v>
      </c>
      <c r="O112" s="1">
        <v>-795.47391668744319</v>
      </c>
    </row>
    <row r="113" spans="2:15">
      <c r="B113">
        <v>105</v>
      </c>
      <c r="D113">
        <v>1076.0440321028263</v>
      </c>
      <c r="E113">
        <v>1588.68624040741</v>
      </c>
      <c r="F113">
        <v>0.68670750644082568</v>
      </c>
      <c r="G113">
        <v>0.72713100859440094</v>
      </c>
      <c r="H113" s="3">
        <v>428.90990541965823</v>
      </c>
      <c r="I113" s="3">
        <v>2.99989973471942E-2</v>
      </c>
      <c r="J113" s="3">
        <v>8.5535020762112883E-3</v>
      </c>
      <c r="K113" s="1">
        <v>1.5702000499872259E-2</v>
      </c>
      <c r="L113" s="1">
        <v>-349.35141170996872</v>
      </c>
      <c r="M113" s="1">
        <v>-186.4316311048141</v>
      </c>
      <c r="N113" s="1">
        <v>-535.78304281478279</v>
      </c>
      <c r="O113" s="1">
        <v>-535.78304281478279</v>
      </c>
    </row>
    <row r="114" spans="2:15">
      <c r="B114">
        <v>106</v>
      </c>
      <c r="D114">
        <v>794.11351703167543</v>
      </c>
      <c r="E114">
        <v>1297.8761209715201</v>
      </c>
      <c r="F114">
        <v>0.69166354871130897</v>
      </c>
      <c r="G114">
        <v>0.72017229702612207</v>
      </c>
      <c r="H114" s="3">
        <v>396.5165303901033</v>
      </c>
      <c r="I114" s="3">
        <v>1.9270254457360907E-2</v>
      </c>
      <c r="J114" s="3">
        <v>-5.5557206214425572E-4</v>
      </c>
      <c r="K114" s="1">
        <v>6.0530367776907984E-3</v>
      </c>
      <c r="L114" s="1">
        <v>-259.80984032577163</v>
      </c>
      <c r="M114" s="1">
        <v>-299.65301035839946</v>
      </c>
      <c r="N114" s="1">
        <v>-559.46285068417114</v>
      </c>
      <c r="O114" s="1">
        <v>-559.46285068417114</v>
      </c>
    </row>
    <row r="115" spans="2:15">
      <c r="B115">
        <v>107</v>
      </c>
      <c r="D115">
        <v>930.21036530606989</v>
      </c>
      <c r="E115">
        <v>1426.5158924806519</v>
      </c>
      <c r="F115">
        <v>0.69004549326930775</v>
      </c>
      <c r="G115">
        <v>0.72562912614718156</v>
      </c>
      <c r="H115" s="3">
        <v>410.3214221428014</v>
      </c>
      <c r="I115" s="3">
        <v>2.5751655065319998E-2</v>
      </c>
      <c r="J115" s="3">
        <v>5.2355839581799263E-3</v>
      </c>
      <c r="K115" s="1">
        <v>1.2074274327226617E-2</v>
      </c>
      <c r="L115" s="1">
        <v>-382.70489070970382</v>
      </c>
      <c r="M115" s="1">
        <v>-385.43620700916188</v>
      </c>
      <c r="N115" s="1">
        <v>-768.14109771886569</v>
      </c>
      <c r="O115" s="1">
        <v>-768.14109771886569</v>
      </c>
    </row>
    <row r="116" spans="2:15">
      <c r="B116">
        <v>108</v>
      </c>
      <c r="D116">
        <v>854.50887682074983</v>
      </c>
      <c r="E116">
        <v>1351.9897655830184</v>
      </c>
      <c r="F116">
        <v>0.6965602363011304</v>
      </c>
      <c r="G116">
        <v>0.72179503391316657</v>
      </c>
      <c r="H116" s="3">
        <v>423.52955190417816</v>
      </c>
      <c r="I116" s="3">
        <v>1.8897654509172593E-2</v>
      </c>
      <c r="J116" s="3">
        <v>-2.2788230860363162E-3</v>
      </c>
      <c r="K116" s="1">
        <v>4.7800027790333207E-3</v>
      </c>
      <c r="L116" s="1">
        <v>-430.30774442049278</v>
      </c>
      <c r="M116" s="1">
        <v>-253.65313102955258</v>
      </c>
      <c r="N116" s="1">
        <v>-683.96087545004525</v>
      </c>
      <c r="O116" s="1">
        <v>-683.96087545004536</v>
      </c>
    </row>
    <row r="117" spans="2:15">
      <c r="B117">
        <v>109</v>
      </c>
      <c r="D117">
        <v>1406.7948110209884</v>
      </c>
      <c r="E117">
        <v>1891.3222663037261</v>
      </c>
      <c r="F117">
        <v>0.69686543411093038</v>
      </c>
      <c r="G117">
        <v>0.72777863904540108</v>
      </c>
      <c r="H117" s="3">
        <v>396.34062620484673</v>
      </c>
      <c r="I117" s="3">
        <v>2.182900851036219E-2</v>
      </c>
      <c r="J117" s="3">
        <v>2.0119772001198528E-3</v>
      </c>
      <c r="K117" s="1">
        <v>8.6176543035339642E-3</v>
      </c>
      <c r="L117" s="1">
        <v>-393.79494032691912</v>
      </c>
      <c r="M117" s="1">
        <v>-351.28034880235163</v>
      </c>
      <c r="N117" s="1">
        <v>-745.0752891292708</v>
      </c>
      <c r="O117" s="1">
        <v>-745.07528912927069</v>
      </c>
    </row>
    <row r="118" spans="2:15">
      <c r="B118">
        <v>110</v>
      </c>
      <c r="D118">
        <v>872.15670333683386</v>
      </c>
      <c r="E118">
        <v>1368.1851866822042</v>
      </c>
      <c r="F118">
        <v>0.69544774483186811</v>
      </c>
      <c r="G118">
        <v>0.72215918192348694</v>
      </c>
      <c r="H118" s="3">
        <v>406.1144428584289</v>
      </c>
      <c r="I118" s="3">
        <v>1.9371454049987046E-2</v>
      </c>
      <c r="J118" s="3">
        <v>-9.3426809293439828E-4</v>
      </c>
      <c r="K118" s="1">
        <v>5.834305954706083E-3</v>
      </c>
      <c r="L118" s="1">
        <v>-44.042163187131663</v>
      </c>
      <c r="M118" s="1">
        <v>-244.22361975996529</v>
      </c>
      <c r="N118" s="1">
        <v>-288.26578294709702</v>
      </c>
      <c r="O118" s="1">
        <v>-288.26578294709697</v>
      </c>
    </row>
    <row r="119" spans="2:15">
      <c r="B119">
        <v>111</v>
      </c>
      <c r="D119">
        <v>785.11716522817255</v>
      </c>
      <c r="E119">
        <v>1266.82377000765</v>
      </c>
      <c r="F119">
        <v>0.6894601661363593</v>
      </c>
      <c r="G119">
        <v>0.73050487372629025</v>
      </c>
      <c r="H119" s="3">
        <v>400.67112729768786</v>
      </c>
      <c r="I119" s="3">
        <v>2.963096984794255E-2</v>
      </c>
      <c r="J119" s="3">
        <v>9.5974134830581551E-3</v>
      </c>
      <c r="K119" s="1">
        <v>1.6275265604686288E-2</v>
      </c>
      <c r="L119" s="1">
        <v>-301.05345738034532</v>
      </c>
      <c r="M119" s="1">
        <v>-404.89159358911297</v>
      </c>
      <c r="N119" s="1">
        <v>-705.94505096945841</v>
      </c>
      <c r="O119" s="1">
        <v>-705.94505096945829</v>
      </c>
    </row>
    <row r="120" spans="2:15">
      <c r="B120">
        <v>112</v>
      </c>
      <c r="D120">
        <v>1018.0012313693624</v>
      </c>
      <c r="E120">
        <v>1517.4785249050087</v>
      </c>
      <c r="F120">
        <v>0.69670251338971934</v>
      </c>
      <c r="G120">
        <v>0.72193929112027566</v>
      </c>
      <c r="H120" s="3">
        <v>393.86426523724447</v>
      </c>
      <c r="I120" s="3">
        <v>1.7285881699095621E-2</v>
      </c>
      <c r="J120" s="3">
        <v>-2.4073315627666028E-3</v>
      </c>
      <c r="K120" s="1">
        <v>4.1570728578541397E-3</v>
      </c>
      <c r="L120" s="1">
        <v>-205.42446835845448</v>
      </c>
      <c r="M120" s="1">
        <v>-404.94828198805027</v>
      </c>
      <c r="N120" s="1">
        <v>-610.37275034650474</v>
      </c>
      <c r="O120" s="1">
        <v>-610.37275034650474</v>
      </c>
    </row>
    <row r="121" spans="2:15">
      <c r="B121">
        <v>113</v>
      </c>
      <c r="D121">
        <v>1166.1078149788689</v>
      </c>
      <c r="E121">
        <v>1610.4363160052485</v>
      </c>
      <c r="F121">
        <v>0.69846686030184735</v>
      </c>
      <c r="G121">
        <v>0.7321665293985804</v>
      </c>
      <c r="H121" s="3">
        <v>373.44134165091918</v>
      </c>
      <c r="I121" s="3">
        <v>2.5369948988252761E-2</v>
      </c>
      <c r="J121" s="3">
        <v>6.6978819057068005E-3</v>
      </c>
      <c r="K121" s="1">
        <v>1.2921904266555454E-2</v>
      </c>
      <c r="L121" s="1">
        <v>-217.47140171505498</v>
      </c>
      <c r="M121" s="1">
        <v>-395.42956338097531</v>
      </c>
      <c r="N121" s="1">
        <v>-612.90096509603018</v>
      </c>
      <c r="O121" s="1">
        <v>-612.90096509603029</v>
      </c>
    </row>
    <row r="122" spans="2:15">
      <c r="B122">
        <v>114</v>
      </c>
      <c r="D122">
        <v>868.35522820449023</v>
      </c>
      <c r="E122">
        <v>1342.3880378213319</v>
      </c>
      <c r="F122">
        <v>0.68465820918826181</v>
      </c>
      <c r="G122">
        <v>0.7192039484210363</v>
      </c>
      <c r="H122" s="3">
        <v>397.90099455188391</v>
      </c>
      <c r="I122" s="3">
        <v>2.5294503819866608E-2</v>
      </c>
      <c r="J122" s="3">
        <v>5.3994540922724134E-3</v>
      </c>
      <c r="K122" s="1">
        <v>1.203113733480381E-2</v>
      </c>
      <c r="L122" s="1">
        <v>-427.73733259781994</v>
      </c>
      <c r="M122" s="1">
        <v>-294.99498005313387</v>
      </c>
      <c r="N122" s="1">
        <v>-722.73231265095387</v>
      </c>
      <c r="O122" s="1">
        <v>-722.73231265095387</v>
      </c>
    </row>
    <row r="123" spans="2:15">
      <c r="B123">
        <v>115</v>
      </c>
      <c r="D123">
        <v>941.91615501656815</v>
      </c>
      <c r="E123">
        <v>1425.327572147178</v>
      </c>
      <c r="F123">
        <v>0.68326700053645251</v>
      </c>
      <c r="G123">
        <v>0.71580004768635952</v>
      </c>
      <c r="H123" s="3">
        <v>398.71390832056341</v>
      </c>
      <c r="I123" s="3">
        <v>2.2872996269222619E-2</v>
      </c>
      <c r="J123" s="3">
        <v>2.9373008531944494E-3</v>
      </c>
      <c r="K123" s="1">
        <v>9.5825326585371722E-3</v>
      </c>
      <c r="L123" s="1">
        <v>-320.35750451133509</v>
      </c>
      <c r="M123" s="1">
        <v>-457.47965609366588</v>
      </c>
      <c r="N123" s="1">
        <v>-777.83716060500092</v>
      </c>
      <c r="O123" s="1">
        <v>-777.83716060500092</v>
      </c>
    </row>
    <row r="124" spans="2:15">
      <c r="B124">
        <v>116</v>
      </c>
      <c r="D124">
        <v>967.20829501397202</v>
      </c>
      <c r="E124">
        <v>1466.1413991598333</v>
      </c>
      <c r="F124">
        <v>0.68536083455374364</v>
      </c>
      <c r="G124">
        <v>0.72709610856064177</v>
      </c>
      <c r="H124" s="3">
        <v>410.05165947789061</v>
      </c>
      <c r="I124" s="3">
        <v>3.0010798055916978E-2</v>
      </c>
      <c r="J124" s="3">
        <v>9.5082150820224448E-3</v>
      </c>
      <c r="K124" s="1">
        <v>1.6342409406653956E-2</v>
      </c>
      <c r="L124" s="1">
        <v>-138.84914062643594</v>
      </c>
      <c r="M124" s="1">
        <v>-356.217255300224</v>
      </c>
      <c r="N124" s="1">
        <v>-495.06639592665999</v>
      </c>
      <c r="O124" s="1">
        <v>-495.06639592665994</v>
      </c>
    </row>
    <row r="125" spans="2:15">
      <c r="B125">
        <v>117</v>
      </c>
      <c r="D125">
        <v>889.35333472470177</v>
      </c>
      <c r="E125">
        <v>1368.8547855525699</v>
      </c>
      <c r="F125">
        <v>0.68872947829444608</v>
      </c>
      <c r="G125">
        <v>0.72231496189517275</v>
      </c>
      <c r="H125" s="3">
        <v>397.89380514308976</v>
      </c>
      <c r="I125" s="3">
        <v>2.4281094571151591E-2</v>
      </c>
      <c r="J125" s="3">
        <v>4.3864043139971061E-3</v>
      </c>
      <c r="K125" s="1">
        <v>1.1017967733048601E-2</v>
      </c>
      <c r="L125" s="1">
        <v>-17.369025417747416</v>
      </c>
      <c r="M125" s="1">
        <v>-447.21218555908462</v>
      </c>
      <c r="N125" s="1">
        <v>-464.58121097683204</v>
      </c>
      <c r="O125" s="1">
        <v>-464.58121097683204</v>
      </c>
    </row>
    <row r="126" spans="2:15">
      <c r="B126">
        <v>118</v>
      </c>
      <c r="D126">
        <v>1006.4783390501866</v>
      </c>
      <c r="E126">
        <v>1487.6368888370841</v>
      </c>
      <c r="F126">
        <v>0.68742889170772048</v>
      </c>
      <c r="G126">
        <v>0.71826910925566567</v>
      </c>
      <c r="H126" s="3">
        <v>395.6864912343525</v>
      </c>
      <c r="I126" s="3">
        <v>2.2301712398283453E-2</v>
      </c>
      <c r="J126" s="3">
        <v>2.5173878365658264E-3</v>
      </c>
      <c r="K126" s="1">
        <v>9.1121626904717024E-3</v>
      </c>
      <c r="L126" s="1">
        <v>-381.28728856223177</v>
      </c>
      <c r="M126" s="1">
        <v>-259.93818955546698</v>
      </c>
      <c r="N126" s="1">
        <v>-641.22547811769869</v>
      </c>
      <c r="O126" s="1">
        <v>-641.22547811769869</v>
      </c>
    </row>
    <row r="127" spans="2:15">
      <c r="B127">
        <v>119</v>
      </c>
      <c r="D127">
        <v>969.96928336767564</v>
      </c>
      <c r="E127">
        <v>1456.1188041234511</v>
      </c>
      <c r="F127">
        <v>0.69722196546370796</v>
      </c>
      <c r="G127">
        <v>0.7228853654836106</v>
      </c>
      <c r="H127" s="3">
        <v>388.87509563601134</v>
      </c>
      <c r="I127" s="3">
        <v>1.7939703313878379E-2</v>
      </c>
      <c r="J127" s="3">
        <v>-1.5040514679221864E-3</v>
      </c>
      <c r="K127" s="1">
        <v>4.9772001260113344E-3</v>
      </c>
      <c r="L127" s="1">
        <v>-126.09549497657378</v>
      </c>
      <c r="M127" s="1">
        <v>-211.13004072200977</v>
      </c>
      <c r="N127" s="1">
        <v>-337.22553569858354</v>
      </c>
      <c r="O127" s="1">
        <v>-337.22553569858354</v>
      </c>
    </row>
    <row r="128" spans="2:15">
      <c r="B128">
        <v>120</v>
      </c>
      <c r="D128">
        <v>1044.773601663542</v>
      </c>
      <c r="E128">
        <v>1518.6866547416405</v>
      </c>
      <c r="F128">
        <v>0.69136108029666488</v>
      </c>
      <c r="G128">
        <v>0.72559504100414751</v>
      </c>
      <c r="H128" s="3">
        <v>391.20862478211779</v>
      </c>
      <c r="I128" s="3">
        <v>2.4967273029397243E-2</v>
      </c>
      <c r="J128" s="3">
        <v>5.4068417902913522E-3</v>
      </c>
      <c r="K128" s="1">
        <v>1.1926985536659983E-2</v>
      </c>
      <c r="L128" s="1">
        <v>-205.66033873957304</v>
      </c>
      <c r="M128" s="1">
        <v>-301.756474376347</v>
      </c>
      <c r="N128" s="1">
        <v>-507.41681311592004</v>
      </c>
      <c r="O128" s="1">
        <v>-507.41681311592004</v>
      </c>
    </row>
    <row r="129" spans="2:15">
      <c r="B129">
        <v>121</v>
      </c>
      <c r="D129">
        <v>978.4293972392062</v>
      </c>
      <c r="E129">
        <v>1503.7666537594259</v>
      </c>
      <c r="F129">
        <v>0.68817427716567037</v>
      </c>
      <c r="G129">
        <v>0.71684075544503711</v>
      </c>
      <c r="H129" s="3">
        <v>421.98579689579032</v>
      </c>
      <c r="I129" s="3">
        <v>1.9253098869351351E-2</v>
      </c>
      <c r="J129" s="3">
        <v>-1.8461909754381653E-3</v>
      </c>
      <c r="K129" s="1">
        <v>5.1869056394916735E-3</v>
      </c>
      <c r="L129" s="1">
        <v>-179.91947719077956</v>
      </c>
      <c r="M129" s="1">
        <v>-320.36537525178636</v>
      </c>
      <c r="N129" s="1">
        <v>-500.28485244256592</v>
      </c>
      <c r="O129" s="1">
        <v>-500.28485244256592</v>
      </c>
    </row>
    <row r="130" spans="2:15">
      <c r="B130">
        <v>122</v>
      </c>
      <c r="D130">
        <v>870.98360071708657</v>
      </c>
      <c r="E130">
        <v>1350.9793013219139</v>
      </c>
      <c r="F130">
        <v>0.68025241198196307</v>
      </c>
      <c r="G130">
        <v>0.72269565530638913</v>
      </c>
      <c r="H130" s="3">
        <v>418.58477114843731</v>
      </c>
      <c r="I130" s="3">
        <v>3.3069371121840704E-2</v>
      </c>
      <c r="J130" s="3">
        <v>1.2140132564418843E-2</v>
      </c>
      <c r="K130" s="1">
        <v>1.9116545416892797E-2</v>
      </c>
      <c r="L130" s="1">
        <v>-298.91015165173582</v>
      </c>
      <c r="M130" s="1">
        <v>-335.74588190987367</v>
      </c>
      <c r="N130" s="1">
        <v>-634.65603356160955</v>
      </c>
      <c r="O130" s="1">
        <v>-634.65603356160955</v>
      </c>
    </row>
    <row r="131" spans="2:15">
      <c r="B131">
        <v>123</v>
      </c>
      <c r="D131">
        <v>814.26724817483228</v>
      </c>
      <c r="E131">
        <v>1307.3584877084284</v>
      </c>
      <c r="F131">
        <v>0.69897999814739364</v>
      </c>
      <c r="G131">
        <v>0.72519689797923204</v>
      </c>
      <c r="H131" s="3">
        <v>410.086019612445</v>
      </c>
      <c r="I131" s="3">
        <v>1.9406123465392642E-2</v>
      </c>
      <c r="J131" s="3">
        <v>-1.0981775152296043E-3</v>
      </c>
      <c r="K131" s="1">
        <v>5.7365894783111444E-3</v>
      </c>
      <c r="L131" s="1">
        <v>-171.01557624226695</v>
      </c>
      <c r="M131" s="1">
        <v>-431.18285826982287</v>
      </c>
      <c r="N131" s="1">
        <v>-602.19843451208999</v>
      </c>
      <c r="O131" s="1">
        <v>-602.19843451208976</v>
      </c>
    </row>
    <row r="132" spans="2:15">
      <c r="B132">
        <v>124</v>
      </c>
      <c r="D132">
        <v>835.60643669162596</v>
      </c>
      <c r="E132">
        <v>1327.970470443606</v>
      </c>
      <c r="F132">
        <v>0.6978842962361802</v>
      </c>
      <c r="G132">
        <v>0.72959626211402751</v>
      </c>
      <c r="H132" s="3">
        <v>402.91493760912175</v>
      </c>
      <c r="I132" s="3">
        <v>2.2437736882301735E-2</v>
      </c>
      <c r="J132" s="3">
        <v>2.2919900018456459E-3</v>
      </c>
      <c r="K132" s="1">
        <v>9.0072389619976767E-3</v>
      </c>
      <c r="L132" s="1">
        <v>-391.00721757024758</v>
      </c>
      <c r="M132" s="1">
        <v>-369.1527348971461</v>
      </c>
      <c r="N132" s="1">
        <v>-760.15995246739362</v>
      </c>
      <c r="O132" s="1">
        <v>-760.15995246739362</v>
      </c>
    </row>
    <row r="133" spans="2:15">
      <c r="B133">
        <v>125</v>
      </c>
      <c r="D133">
        <v>839.09940109446893</v>
      </c>
      <c r="E133">
        <v>1340.2026954983721</v>
      </c>
      <c r="F133">
        <v>0.6954704006588649</v>
      </c>
      <c r="G133">
        <v>0.72257375606721164</v>
      </c>
      <c r="H133" s="3">
        <v>402.68894796194547</v>
      </c>
      <c r="I133" s="3">
        <v>1.8811558054257677E-2</v>
      </c>
      <c r="J133" s="3">
        <v>-1.3228893438395964E-3</v>
      </c>
      <c r="K133" s="1">
        <v>5.3885931221928276E-3</v>
      </c>
      <c r="L133" s="1">
        <v>-450.69371500650595</v>
      </c>
      <c r="M133" s="1">
        <v>-245.99882476728882</v>
      </c>
      <c r="N133" s="1">
        <v>-696.69253977379458</v>
      </c>
      <c r="O133" s="1">
        <v>-696.69253977379481</v>
      </c>
    </row>
    <row r="134" spans="2:15">
      <c r="B134">
        <v>126</v>
      </c>
      <c r="D134">
        <v>857.42984905013247</v>
      </c>
      <c r="E134">
        <v>1405.3672071290243</v>
      </c>
      <c r="F134">
        <v>0.68878489971972123</v>
      </c>
      <c r="G134">
        <v>0.7176522747759152</v>
      </c>
      <c r="H134" s="3">
        <v>468.83038239550626</v>
      </c>
      <c r="I134" s="3">
        <v>2.1539389457652089E-2</v>
      </c>
      <c r="J134" s="3">
        <v>-1.9021296621232267E-3</v>
      </c>
      <c r="K134" s="1">
        <v>5.911710044468544E-3</v>
      </c>
      <c r="L134" s="1">
        <v>-304.6123766201639</v>
      </c>
      <c r="M134" s="1">
        <v>-387.93695003465029</v>
      </c>
      <c r="N134" s="1">
        <v>-692.54932665481419</v>
      </c>
      <c r="O134" s="1">
        <v>-692.54932665481419</v>
      </c>
    </row>
    <row r="135" spans="2:15">
      <c r="B135">
        <v>127</v>
      </c>
      <c r="D135">
        <v>700.72478209843086</v>
      </c>
      <c r="E135">
        <v>1204.3866092402916</v>
      </c>
      <c r="F135">
        <v>0.68880684974531914</v>
      </c>
      <c r="G135">
        <v>0.72675741743837452</v>
      </c>
      <c r="H135" s="3">
        <v>423.32446219042612</v>
      </c>
      <c r="I135" s="3">
        <v>2.7988229759786893E-2</v>
      </c>
      <c r="J135" s="3">
        <v>6.8220066502655864E-3</v>
      </c>
      <c r="K135" s="1">
        <v>1.3877414353439355E-2</v>
      </c>
      <c r="L135" s="1">
        <v>74.979381773978844</v>
      </c>
      <c r="M135" s="1">
        <v>-415.22003493914281</v>
      </c>
      <c r="N135" s="1">
        <v>-340.24065316516396</v>
      </c>
      <c r="O135" s="1">
        <v>-340.24065316516396</v>
      </c>
    </row>
    <row r="136" spans="2:15">
      <c r="B136">
        <v>128</v>
      </c>
      <c r="D136">
        <v>910.53943586646733</v>
      </c>
      <c r="E136">
        <v>1396.0318858899225</v>
      </c>
      <c r="F136">
        <v>0.69894018624427123</v>
      </c>
      <c r="G136">
        <v>0.7412275420564528</v>
      </c>
      <c r="H136" s="3">
        <v>399.9626659051155</v>
      </c>
      <c r="I136" s="3">
        <v>2.9480674230848363E-2</v>
      </c>
      <c r="J136" s="3">
        <v>9.4825409355925906E-3</v>
      </c>
      <c r="K136" s="1">
        <v>1.6148585367344516E-2</v>
      </c>
      <c r="L136" s="1">
        <v>-146.28268014340813</v>
      </c>
      <c r="M136" s="1">
        <v>-436.10371718733637</v>
      </c>
      <c r="N136" s="1">
        <v>-582.38639733074456</v>
      </c>
      <c r="O136" s="1">
        <v>-582.38639733074456</v>
      </c>
    </row>
    <row r="137" spans="2:15">
      <c r="B137">
        <v>129</v>
      </c>
      <c r="D137">
        <v>845.92340664767278</v>
      </c>
      <c r="E137">
        <v>1322.4932487566093</v>
      </c>
      <c r="F137">
        <v>0.6791123810294718</v>
      </c>
      <c r="G137">
        <v>0.72149522241155073</v>
      </c>
      <c r="H137" s="3">
        <v>391.73841722415824</v>
      </c>
      <c r="I137" s="3">
        <v>3.09278102157775E-2</v>
      </c>
      <c r="J137" s="3">
        <v>1.1340889354569589E-2</v>
      </c>
      <c r="K137" s="1">
        <v>1.7869862974972225E-2</v>
      </c>
      <c r="L137" s="1">
        <v>-318.12773534364089</v>
      </c>
      <c r="M137" s="1">
        <v>-370.39392475292556</v>
      </c>
      <c r="N137" s="1">
        <v>-688.52166009656651</v>
      </c>
      <c r="O137" s="1">
        <v>-688.52166009656639</v>
      </c>
    </row>
    <row r="138" spans="2:15">
      <c r="B138">
        <v>130</v>
      </c>
      <c r="D138">
        <v>808.27826026974719</v>
      </c>
      <c r="E138">
        <v>1297.8329571613649</v>
      </c>
      <c r="F138">
        <v>0.68079193746355626</v>
      </c>
      <c r="G138">
        <v>0.73277280032534808</v>
      </c>
      <c r="H138" s="3">
        <v>407.84652742034422</v>
      </c>
      <c r="I138" s="3">
        <v>3.9756382454317132E-2</v>
      </c>
      <c r="J138" s="3">
        <v>1.936405608329992E-2</v>
      </c>
      <c r="K138" s="1">
        <v>2.6161498206972326E-2</v>
      </c>
      <c r="L138" s="1">
        <v>-267.13607784460663</v>
      </c>
      <c r="M138" s="1">
        <v>-237.39360631874416</v>
      </c>
      <c r="N138" s="1">
        <v>-504.52968416335079</v>
      </c>
      <c r="O138" s="1">
        <v>-504.52968416335079</v>
      </c>
    </row>
    <row r="139" spans="2:15">
      <c r="B139">
        <v>131</v>
      </c>
      <c r="D139">
        <v>883.36398334546334</v>
      </c>
      <c r="E139">
        <v>1377.4972596839057</v>
      </c>
      <c r="F139">
        <v>0.70393715202519425</v>
      </c>
      <c r="G139">
        <v>0.73422113314323978</v>
      </c>
      <c r="H139" s="3">
        <v>390.78193720482676</v>
      </c>
      <c r="I139" s="3">
        <v>1.966378229870892E-2</v>
      </c>
      <c r="J139" s="3">
        <v>1.2468543846758107E-4</v>
      </c>
      <c r="K139" s="1">
        <v>6.6377177252146952E-3</v>
      </c>
      <c r="L139" s="1">
        <v>-438.34130852122763</v>
      </c>
      <c r="M139" s="1">
        <v>-228.35024183311927</v>
      </c>
      <c r="N139" s="1">
        <v>-666.69155035434687</v>
      </c>
      <c r="O139" s="1">
        <v>-666.69155035434687</v>
      </c>
    </row>
    <row r="140" spans="2:15">
      <c r="B140">
        <v>132</v>
      </c>
      <c r="D140">
        <v>1287.1474861923884</v>
      </c>
      <c r="E140">
        <v>1752.6666052173068</v>
      </c>
      <c r="F140">
        <v>0.68477957814426216</v>
      </c>
      <c r="G140">
        <v>0.71577964608498024</v>
      </c>
      <c r="H140" s="3">
        <v>381.55582092456433</v>
      </c>
      <c r="I140" s="3">
        <v>2.1799608036390271E-2</v>
      </c>
      <c r="J140" s="3">
        <v>2.7218169901620515E-3</v>
      </c>
      <c r="K140" s="1">
        <v>9.0810806722381246E-3</v>
      </c>
      <c r="L140" s="1">
        <v>-209.61465713110204</v>
      </c>
      <c r="M140" s="1">
        <v>-339.58737978185144</v>
      </c>
      <c r="N140" s="1">
        <v>-549.20203691295353</v>
      </c>
      <c r="O140" s="1">
        <v>-549.20203691295342</v>
      </c>
    </row>
    <row r="141" spans="2:15">
      <c r="B141">
        <v>133</v>
      </c>
      <c r="D141">
        <v>1011.001875553504</v>
      </c>
      <c r="E141">
        <v>1498.3426974753354</v>
      </c>
      <c r="F141">
        <v>0.68818352795514748</v>
      </c>
      <c r="G141">
        <v>0.71750125215499272</v>
      </c>
      <c r="H141" s="3">
        <v>395.63160086687691</v>
      </c>
      <c r="I141" s="3">
        <v>2.1407404168310169E-2</v>
      </c>
      <c r="J141" s="3">
        <v>1.6258241249663269E-3</v>
      </c>
      <c r="K141" s="1">
        <v>8.2196841394142749E-3</v>
      </c>
      <c r="L141" s="1">
        <v>-108.28220021222793</v>
      </c>
      <c r="M141" s="1">
        <v>-361.71578402422199</v>
      </c>
      <c r="N141" s="1">
        <v>-469.99798423645001</v>
      </c>
      <c r="O141" s="1">
        <v>-469.99798423644995</v>
      </c>
    </row>
    <row r="142" spans="2:15">
      <c r="B142">
        <v>134</v>
      </c>
      <c r="D142">
        <v>1179.9672668806115</v>
      </c>
      <c r="E142">
        <v>1621.6017679593072</v>
      </c>
      <c r="F142">
        <v>0.6882687425727203</v>
      </c>
      <c r="G142">
        <v>0.73302331878668803</v>
      </c>
      <c r="H142" s="3">
        <v>370.02303252626297</v>
      </c>
      <c r="I142" s="3">
        <v>3.3135775476525464E-2</v>
      </c>
      <c r="J142" s="3">
        <v>1.4634623850212317E-2</v>
      </c>
      <c r="K142" s="1">
        <v>2.0801674392316699E-2</v>
      </c>
      <c r="L142" s="1">
        <v>-210.31848419157748</v>
      </c>
      <c r="M142" s="1">
        <v>-232.95379395451499</v>
      </c>
      <c r="N142" s="1">
        <v>-443.27227814609245</v>
      </c>
      <c r="O142" s="1">
        <v>-443.2722781460925</v>
      </c>
    </row>
    <row r="143" spans="2:15">
      <c r="B143">
        <v>135</v>
      </c>
      <c r="D143">
        <v>862.68128427180056</v>
      </c>
      <c r="E143">
        <v>1360.9737966374039</v>
      </c>
      <c r="F143">
        <v>0.69685973516257271</v>
      </c>
      <c r="G143">
        <v>0.73052657010484712</v>
      </c>
      <c r="H143" s="3">
        <v>414.01028979938997</v>
      </c>
      <c r="I143" s="3">
        <v>2.3915701283756301E-2</v>
      </c>
      <c r="J143" s="3">
        <v>3.215186793786802E-3</v>
      </c>
      <c r="K143" s="1">
        <v>1.0115358290443301E-2</v>
      </c>
      <c r="L143" s="1">
        <v>-148.71841441096791</v>
      </c>
      <c r="M143" s="1">
        <v>-330.1747948093024</v>
      </c>
      <c r="N143" s="1">
        <v>-478.89320922027025</v>
      </c>
      <c r="O143" s="1">
        <v>-478.89320922027031</v>
      </c>
    </row>
    <row r="144" spans="2:15">
      <c r="B144">
        <v>136</v>
      </c>
      <c r="D144">
        <v>1096.5345065887757</v>
      </c>
      <c r="E144">
        <v>1566.2372515802429</v>
      </c>
      <c r="F144">
        <v>0.70395243523410156</v>
      </c>
      <c r="G144">
        <v>0.73101451925104166</v>
      </c>
      <c r="H144" s="3">
        <v>384.65740171286615</v>
      </c>
      <c r="I144" s="3">
        <v>1.9400064789299971E-2</v>
      </c>
      <c r="J144" s="3">
        <v>1.6719470365666664E-4</v>
      </c>
      <c r="K144" s="1">
        <v>6.5781513988711019E-3</v>
      </c>
      <c r="L144" s="1">
        <v>-226.0548345283126</v>
      </c>
      <c r="M144" s="1">
        <v>-488.16761022618357</v>
      </c>
      <c r="N144" s="1">
        <v>-714.22244475449622</v>
      </c>
      <c r="O144" s="1">
        <v>-714.22244475449611</v>
      </c>
    </row>
    <row r="145" spans="2:15">
      <c r="B145">
        <v>137</v>
      </c>
      <c r="D145">
        <v>700.64315383003134</v>
      </c>
      <c r="E145">
        <v>1187.8458575362424</v>
      </c>
      <c r="F145">
        <v>0.70635770755883531</v>
      </c>
      <c r="G145">
        <v>0.74218028808940406</v>
      </c>
      <c r="H145" s="3">
        <v>386.39138262948751</v>
      </c>
      <c r="I145" s="3">
        <v>2.4097659164169987E-2</v>
      </c>
      <c r="J145" s="3">
        <v>4.7780900326956123E-3</v>
      </c>
      <c r="K145" s="1">
        <v>1.1217946409853737E-2</v>
      </c>
      <c r="L145" s="1">
        <v>-460.5031907299533</v>
      </c>
      <c r="M145" s="1">
        <v>-324.76494000098342</v>
      </c>
      <c r="N145" s="1">
        <v>-785.26813073093672</v>
      </c>
      <c r="O145" s="1">
        <v>-785.26813073093672</v>
      </c>
    </row>
    <row r="146" spans="2:15">
      <c r="B146">
        <v>138</v>
      </c>
      <c r="D146">
        <v>778.41775045992279</v>
      </c>
      <c r="E146">
        <v>1273.3961318614008</v>
      </c>
      <c r="F146">
        <v>0.6811444894403802</v>
      </c>
      <c r="G146">
        <v>0.72940996566861749</v>
      </c>
      <c r="H146" s="3">
        <v>405.16171367708858</v>
      </c>
      <c r="I146" s="3">
        <v>3.5400734664706487E-2</v>
      </c>
      <c r="J146" s="3">
        <v>1.5142648980852057E-2</v>
      </c>
      <c r="K146" s="1">
        <v>2.1895344208803534E-2</v>
      </c>
      <c r="L146" s="1">
        <v>-222.40894230360286</v>
      </c>
      <c r="M146" s="1">
        <v>-298.48008446924621</v>
      </c>
      <c r="N146" s="1">
        <v>-520.88902677284887</v>
      </c>
      <c r="O146" s="1">
        <v>-520.88902677284909</v>
      </c>
    </row>
    <row r="147" spans="2:15">
      <c r="B147">
        <v>139</v>
      </c>
      <c r="D147">
        <v>1052.8295561534851</v>
      </c>
      <c r="E147">
        <v>1522.2648881591308</v>
      </c>
      <c r="F147">
        <v>0.67698673980515989</v>
      </c>
      <c r="G147">
        <v>0.71593913219347949</v>
      </c>
      <c r="H147" s="3">
        <v>376.39560514154647</v>
      </c>
      <c r="I147" s="3">
        <v>2.6340307934404287E-2</v>
      </c>
      <c r="J147" s="3">
        <v>7.520527677326961E-3</v>
      </c>
      <c r="K147" s="1">
        <v>1.3793787763019403E-2</v>
      </c>
      <c r="L147" s="1">
        <v>-319.53890334489802</v>
      </c>
      <c r="M147" s="1">
        <v>-307.94525212715752</v>
      </c>
      <c r="N147" s="1">
        <v>-627.48415547205548</v>
      </c>
      <c r="O147" s="1">
        <v>-627.48415547205559</v>
      </c>
    </row>
    <row r="148" spans="2:15">
      <c r="B148">
        <v>140</v>
      </c>
      <c r="D148">
        <v>845.13455566914195</v>
      </c>
      <c r="E148">
        <v>1342.1232535374536</v>
      </c>
      <c r="F148">
        <v>0.69989059452996638</v>
      </c>
      <c r="G148">
        <v>0.73196081303104676</v>
      </c>
      <c r="H148" s="3">
        <v>403.23159385808793</v>
      </c>
      <c r="I148" s="3">
        <v>2.2640115755874147E-2</v>
      </c>
      <c r="J148" s="3">
        <v>2.4785360629697509E-3</v>
      </c>
      <c r="K148" s="1">
        <v>9.199062627271215E-3</v>
      </c>
      <c r="L148" s="1">
        <v>-168.59173685898691</v>
      </c>
      <c r="M148" s="1">
        <v>-366.40813651500685</v>
      </c>
      <c r="N148" s="1">
        <v>-534.99987337399375</v>
      </c>
      <c r="O148" s="1">
        <v>-534.99987337399375</v>
      </c>
    </row>
    <row r="149" spans="2:15">
      <c r="B149">
        <v>141</v>
      </c>
      <c r="D149">
        <v>904.03284778705461</v>
      </c>
      <c r="E149">
        <v>1383.1446455691066</v>
      </c>
      <c r="F149">
        <v>0.68853870305837561</v>
      </c>
      <c r="G149">
        <v>0.72115243617960934</v>
      </c>
      <c r="H149" s="3">
        <v>404.30227030551384</v>
      </c>
      <c r="I149" s="3">
        <v>2.4807944143195142E-2</v>
      </c>
      <c r="J149" s="3">
        <v>4.5928306279194482E-3</v>
      </c>
      <c r="K149" s="1">
        <v>1.1331201799678014E-2</v>
      </c>
      <c r="L149" s="1">
        <v>-300.59494537297314</v>
      </c>
      <c r="M149" s="1">
        <v>-393.7473299520222</v>
      </c>
      <c r="N149" s="1">
        <v>-694.34227532499528</v>
      </c>
      <c r="O149" s="1">
        <v>-694.3422753249954</v>
      </c>
    </row>
    <row r="150" spans="2:15">
      <c r="B150">
        <v>142</v>
      </c>
      <c r="D150">
        <v>931.75665774324318</v>
      </c>
      <c r="E150">
        <v>1408.763402407078</v>
      </c>
      <c r="F150">
        <v>0.69098216685407488</v>
      </c>
      <c r="G150">
        <v>0.72972997363134284</v>
      </c>
      <c r="H150" s="3">
        <v>391.50159737569976</v>
      </c>
      <c r="I150" s="3">
        <v>2.8478288332764463E-2</v>
      </c>
      <c r="J150" s="3">
        <v>8.9032084639794756E-3</v>
      </c>
      <c r="K150" s="1">
        <v>1.5428235086907804E-2</v>
      </c>
      <c r="L150" s="1">
        <v>-118.73446763174771</v>
      </c>
      <c r="M150" s="1">
        <v>-319.30906997350343</v>
      </c>
      <c r="N150" s="1">
        <v>-438.04353760525123</v>
      </c>
      <c r="O150" s="1">
        <v>-438.04353760525112</v>
      </c>
    </row>
    <row r="151" spans="2:15">
      <c r="B151">
        <v>143</v>
      </c>
      <c r="D151">
        <v>977.93527966852423</v>
      </c>
      <c r="E151">
        <v>1468.2326315759581</v>
      </c>
      <c r="F151">
        <v>0.69423565961760314</v>
      </c>
      <c r="G151">
        <v>0.72425498091367446</v>
      </c>
      <c r="H151" s="3">
        <v>393.47248637631935</v>
      </c>
      <c r="I151" s="3">
        <v>2.1193455224086076E-2</v>
      </c>
      <c r="J151" s="3">
        <v>1.5198309052701087E-3</v>
      </c>
      <c r="K151" s="1">
        <v>8.0777056782087645E-3</v>
      </c>
      <c r="L151" s="1">
        <v>-167.12218926815893</v>
      </c>
      <c r="M151" s="1">
        <v>-376.18928296007789</v>
      </c>
      <c r="N151" s="1">
        <v>-543.31147222823688</v>
      </c>
      <c r="O151" s="1">
        <v>-543.31147222823688</v>
      </c>
    </row>
    <row r="152" spans="2:15">
      <c r="B152">
        <v>144</v>
      </c>
      <c r="D152">
        <v>1130.8560049586231</v>
      </c>
      <c r="E152">
        <v>1604.2819634236291</v>
      </c>
      <c r="F152">
        <v>0.70393874212536944</v>
      </c>
      <c r="G152">
        <v>0.73163471782085687</v>
      </c>
      <c r="H152" s="3">
        <v>384.23789176907081</v>
      </c>
      <c r="I152" s="3">
        <v>1.9551718968980308E-2</v>
      </c>
      <c r="J152" s="3">
        <v>3.398243805267688E-4</v>
      </c>
      <c r="K152" s="1">
        <v>6.7437892433446153E-3</v>
      </c>
      <c r="L152" s="1">
        <v>-209.13029003783356</v>
      </c>
      <c r="M152" s="1">
        <v>-375.61646073907741</v>
      </c>
      <c r="N152" s="1">
        <v>-584.74675077691097</v>
      </c>
      <c r="O152" s="1">
        <v>-584.74675077691097</v>
      </c>
    </row>
    <row r="153" spans="2:15">
      <c r="B153">
        <v>145</v>
      </c>
      <c r="D153">
        <v>728.56809690750788</v>
      </c>
      <c r="E153">
        <v>1221.3534506664635</v>
      </c>
      <c r="F153">
        <v>0.68736734238776631</v>
      </c>
      <c r="G153">
        <v>0.72571814874484486</v>
      </c>
      <c r="H153" s="3">
        <v>398.88816577862269</v>
      </c>
      <c r="I153" s="3">
        <v>2.7787162892263805E-2</v>
      </c>
      <c r="J153" s="3">
        <v>7.8427546033326689E-3</v>
      </c>
      <c r="K153" s="1">
        <v>1.4490890699643049E-2</v>
      </c>
      <c r="L153" s="1">
        <v>-423.52328267814846</v>
      </c>
      <c r="M153" s="1">
        <v>-356.01002534959741</v>
      </c>
      <c r="N153" s="1">
        <v>-779.53330802774599</v>
      </c>
      <c r="O153" s="1">
        <v>-779.53330802774587</v>
      </c>
    </row>
    <row r="154" spans="2:15">
      <c r="B154">
        <v>146</v>
      </c>
      <c r="D154">
        <v>826.6288158834908</v>
      </c>
      <c r="E154">
        <v>1302.9707544106773</v>
      </c>
      <c r="F154">
        <v>0.68590938092428155</v>
      </c>
      <c r="G154">
        <v>0.72795973786830026</v>
      </c>
      <c r="H154" s="3">
        <v>384.4252862844196</v>
      </c>
      <c r="I154" s="3">
        <v>2.9173309473352955E-2</v>
      </c>
      <c r="J154" s="3">
        <v>9.9520451591319746E-3</v>
      </c>
      <c r="K154" s="1">
        <v>1.6359133263872304E-2</v>
      </c>
      <c r="L154" s="1">
        <v>-215.00168827976205</v>
      </c>
      <c r="M154" s="1">
        <v>-401.57514644692441</v>
      </c>
      <c r="N154" s="1">
        <v>-616.57683472668646</v>
      </c>
      <c r="O154" s="1">
        <v>-616.57683472668646</v>
      </c>
    </row>
    <row r="155" spans="2:15">
      <c r="B155">
        <v>147</v>
      </c>
      <c r="D155">
        <v>827.4863460473448</v>
      </c>
      <c r="E155">
        <v>1313.9041673678171</v>
      </c>
      <c r="F155">
        <v>0.69056640801037161</v>
      </c>
      <c r="G155">
        <v>0.72617671954106444</v>
      </c>
      <c r="H155" s="3">
        <v>393.59364364694352</v>
      </c>
      <c r="I155" s="3">
        <v>2.4721767808868141E-2</v>
      </c>
      <c r="J155" s="3">
        <v>5.0420856265209653E-3</v>
      </c>
      <c r="K155" s="1">
        <v>1.1601979687303357E-2</v>
      </c>
      <c r="L155" s="1">
        <v>-321.94107951104098</v>
      </c>
      <c r="M155" s="1">
        <v>-304.08488280826481</v>
      </c>
      <c r="N155" s="1">
        <v>-626.02596231930579</v>
      </c>
      <c r="O155" s="1">
        <v>-626.02596231930579</v>
      </c>
    </row>
    <row r="156" spans="2:15">
      <c r="B156">
        <v>148</v>
      </c>
      <c r="D156">
        <v>856.94501644204183</v>
      </c>
      <c r="E156">
        <v>1326.2150201517745</v>
      </c>
      <c r="F156">
        <v>0.68755511174928352</v>
      </c>
      <c r="G156">
        <v>0.72642781714543803</v>
      </c>
      <c r="H156" s="3">
        <v>391.09489287472115</v>
      </c>
      <c r="I156" s="3">
        <v>2.9323594713370739E-2</v>
      </c>
      <c r="J156" s="3">
        <v>9.768850069634679E-3</v>
      </c>
      <c r="K156" s="1">
        <v>1.6287098284213365E-2</v>
      </c>
      <c r="L156" s="1">
        <v>-10.204562561027842</v>
      </c>
      <c r="M156" s="1">
        <v>-287.81498804722031</v>
      </c>
      <c r="N156" s="1">
        <v>-298.01955060824815</v>
      </c>
      <c r="O156" s="1">
        <v>-298.01955060824815</v>
      </c>
    </row>
    <row r="157" spans="2:15">
      <c r="B157">
        <v>149</v>
      </c>
      <c r="D157">
        <v>779.16818384754924</v>
      </c>
      <c r="E157">
        <v>1266.0282267350754</v>
      </c>
      <c r="F157">
        <v>0.69323560381960936</v>
      </c>
      <c r="G157">
        <v>0.72276664867316331</v>
      </c>
      <c r="H157" s="3">
        <v>404.83514881103252</v>
      </c>
      <c r="I157" s="3">
        <v>2.1669230954433554E-2</v>
      </c>
      <c r="J157" s="3">
        <v>1.4274735138819286E-3</v>
      </c>
      <c r="K157" s="1">
        <v>8.1747259940658026E-3</v>
      </c>
      <c r="L157" s="1">
        <v>-203.56362993063601</v>
      </c>
      <c r="M157" s="1">
        <v>-373.6500481620368</v>
      </c>
      <c r="N157" s="1">
        <v>-577.21367809267292</v>
      </c>
      <c r="O157" s="1">
        <v>-577.21367809267281</v>
      </c>
    </row>
    <row r="158" spans="2:15">
      <c r="B158">
        <v>150</v>
      </c>
      <c r="D158">
        <v>1372.20608101876</v>
      </c>
      <c r="E158">
        <v>1896.0802185779116</v>
      </c>
      <c r="F158">
        <v>0.69438989302008836</v>
      </c>
      <c r="G158">
        <v>0.72008307442866704</v>
      </c>
      <c r="H158" s="3">
        <v>437.57606602827167</v>
      </c>
      <c r="I158" s="3">
        <v>1.950970529643287E-2</v>
      </c>
      <c r="J158" s="3">
        <v>-2.3690980049807173E-3</v>
      </c>
      <c r="K158" s="1">
        <v>4.9238364288238124E-3</v>
      </c>
      <c r="L158" s="1">
        <v>-308.17450897758465</v>
      </c>
      <c r="M158" s="1">
        <v>-406.12071738725729</v>
      </c>
      <c r="N158" s="1">
        <v>-714.29522636484194</v>
      </c>
      <c r="O158" s="1">
        <v>-714.29522636484194</v>
      </c>
    </row>
    <row r="159" spans="2:15">
      <c r="B159">
        <v>151</v>
      </c>
      <c r="D159">
        <v>1001.9339447122929</v>
      </c>
      <c r="E159">
        <v>1496.2815803314136</v>
      </c>
      <c r="F159">
        <v>0.69641689129432849</v>
      </c>
      <c r="G159">
        <v>0.72625149528989141</v>
      </c>
      <c r="H159" s="3">
        <v>413.0744498731334</v>
      </c>
      <c r="I159" s="3">
        <v>2.2427459843929597E-2</v>
      </c>
      <c r="J159" s="3">
        <v>1.7737373502729262E-3</v>
      </c>
      <c r="K159" s="1">
        <v>8.6583115148251497E-3</v>
      </c>
      <c r="L159" s="1">
        <v>-135.11166171610597</v>
      </c>
      <c r="M159" s="1">
        <v>-261.13528490907385</v>
      </c>
      <c r="N159" s="1">
        <v>-396.24694662517982</v>
      </c>
      <c r="O159" s="1">
        <v>-396.24694662517982</v>
      </c>
    </row>
    <row r="160" spans="2:15">
      <c r="B160">
        <v>152</v>
      </c>
      <c r="D160">
        <v>766.92948597730924</v>
      </c>
      <c r="E160">
        <v>1280.6958476390114</v>
      </c>
      <c r="F160">
        <v>0.68569803538241658</v>
      </c>
      <c r="G160">
        <v>0.72192757139283226</v>
      </c>
      <c r="H160" s="3">
        <v>406.65532478278385</v>
      </c>
      <c r="I160" s="3">
        <v>2.4452984964294246E-2</v>
      </c>
      <c r="J160" s="3">
        <v>4.1202187251550525E-3</v>
      </c>
      <c r="K160" s="1">
        <v>1.0897807471534784E-2</v>
      </c>
      <c r="L160" s="1">
        <v>-312.86044746558707</v>
      </c>
      <c r="M160" s="1">
        <v>-462.70427299628261</v>
      </c>
      <c r="N160" s="1">
        <v>-775.56472046186957</v>
      </c>
      <c r="O160" s="1">
        <v>-775.56472046186968</v>
      </c>
    </row>
    <row r="161" spans="2:15">
      <c r="B161">
        <v>153</v>
      </c>
      <c r="D161">
        <v>1058.6571317475773</v>
      </c>
      <c r="E161">
        <v>1497.6705246637964</v>
      </c>
      <c r="F161">
        <v>0.67903878962461439</v>
      </c>
      <c r="G161">
        <v>0.71626500130032766</v>
      </c>
      <c r="H161" s="3">
        <v>363.11854917478456</v>
      </c>
      <c r="I161" s="3">
        <v>2.6294236999212947E-2</v>
      </c>
      <c r="J161" s="3">
        <v>8.1383095404737177E-3</v>
      </c>
      <c r="K161" s="1">
        <v>1.4190285360053461E-2</v>
      </c>
      <c r="L161" s="1">
        <v>-285.20900971074013</v>
      </c>
      <c r="M161" s="1">
        <v>-364.54876711080084</v>
      </c>
      <c r="N161" s="1">
        <v>-649.75777682154103</v>
      </c>
      <c r="O161" s="1">
        <v>-649.75777682154103</v>
      </c>
    </row>
    <row r="162" spans="2:15">
      <c r="B162">
        <v>154</v>
      </c>
      <c r="D162">
        <v>892.42141749697441</v>
      </c>
      <c r="E162">
        <v>1385.2294564219162</v>
      </c>
      <c r="F162">
        <v>0.68967449833952332</v>
      </c>
      <c r="G162">
        <v>0.72512783783115875</v>
      </c>
      <c r="H162" s="3">
        <v>386.46751451570594</v>
      </c>
      <c r="I162" s="3">
        <v>2.4687335822608306E-2</v>
      </c>
      <c r="J162" s="3">
        <v>5.3639600968230124E-3</v>
      </c>
      <c r="K162" s="1">
        <v>1.1805085338751443E-2</v>
      </c>
      <c r="L162" s="1">
        <v>-191.12274577448534</v>
      </c>
      <c r="M162" s="1">
        <v>-322.22675068722259</v>
      </c>
      <c r="N162" s="1">
        <v>-513.34949646170799</v>
      </c>
      <c r="O162" s="1">
        <v>-513.34949646170799</v>
      </c>
    </row>
    <row r="163" spans="2:15">
      <c r="B163">
        <v>155</v>
      </c>
      <c r="D163">
        <v>1133.9735398807059</v>
      </c>
      <c r="E163">
        <v>1608.2904689424033</v>
      </c>
      <c r="F163">
        <v>0.69102165742724098</v>
      </c>
      <c r="G163">
        <v>0.71324672497292607</v>
      </c>
      <c r="H163" s="3">
        <v>388.46698395467655</v>
      </c>
      <c r="I163" s="3">
        <v>1.5619762153466664E-2</v>
      </c>
      <c r="J163" s="3">
        <v>-3.8035870442671652E-3</v>
      </c>
      <c r="K163" s="1">
        <v>2.6708626883107777E-3</v>
      </c>
      <c r="L163" s="1">
        <v>-98.442832236070331</v>
      </c>
      <c r="M163" s="1">
        <v>-400.75592389465402</v>
      </c>
      <c r="N163" s="1">
        <v>-499.19875613072435</v>
      </c>
      <c r="O163" s="1">
        <v>-499.19875613072435</v>
      </c>
    </row>
    <row r="164" spans="2:15">
      <c r="B164">
        <v>156</v>
      </c>
      <c r="D164">
        <v>762.73536941261182</v>
      </c>
      <c r="E164">
        <v>1231.2062589882582</v>
      </c>
      <c r="F164">
        <v>0.68756206621275462</v>
      </c>
      <c r="G164">
        <v>0.72735520737660897</v>
      </c>
      <c r="H164" s="3">
        <v>387.2043994061313</v>
      </c>
      <c r="I164" s="3">
        <v>2.8502819499069465E-2</v>
      </c>
      <c r="J164" s="3">
        <v>9.1425995287628993E-3</v>
      </c>
      <c r="K164" s="1">
        <v>1.5596006185531756E-2</v>
      </c>
      <c r="L164" s="1">
        <v>-234.40938518718616</v>
      </c>
      <c r="M164" s="1">
        <v>-370.6925076096602</v>
      </c>
      <c r="N164" s="1">
        <v>-605.10189279684641</v>
      </c>
      <c r="O164" s="1">
        <v>-605.10189279684641</v>
      </c>
    </row>
    <row r="165" spans="2:15">
      <c r="B165">
        <v>157</v>
      </c>
      <c r="D165">
        <v>1087.6231851908078</v>
      </c>
      <c r="E165">
        <v>1603.2901305560074</v>
      </c>
      <c r="F165">
        <v>0.69687791353887663</v>
      </c>
      <c r="G165">
        <v>0.7134728998034191</v>
      </c>
      <c r="H165" s="3">
        <v>420.22455679145855</v>
      </c>
      <c r="I165" s="3">
        <v>1.1789890299514327E-2</v>
      </c>
      <c r="J165" s="3">
        <v>-9.2213375400586016E-3</v>
      </c>
      <c r="K165" s="1">
        <v>-2.2175949268676241E-3</v>
      </c>
      <c r="L165" s="1">
        <v>-10.043438639548953</v>
      </c>
      <c r="M165" s="1">
        <v>-403.26189695785274</v>
      </c>
      <c r="N165" s="1">
        <v>-413.30533559740167</v>
      </c>
      <c r="O165" s="1">
        <v>-413.30533559740172</v>
      </c>
    </row>
    <row r="166" spans="2:15">
      <c r="B166">
        <v>158</v>
      </c>
      <c r="D166">
        <v>748.56784301722746</v>
      </c>
      <c r="E166">
        <v>1226.4134128409723</v>
      </c>
      <c r="F166">
        <v>0.68711749067912187</v>
      </c>
      <c r="G166">
        <v>0.72121460579143204</v>
      </c>
      <c r="H166" s="3">
        <v>396.42095636184638</v>
      </c>
      <c r="I166" s="3">
        <v>2.5009325203519474E-2</v>
      </c>
      <c r="J166" s="3">
        <v>5.188277385427157E-3</v>
      </c>
      <c r="K166" s="1">
        <v>1.1795293324791262E-2</v>
      </c>
      <c r="L166" s="1">
        <v>-289.91513156854825</v>
      </c>
      <c r="M166" s="1">
        <v>-457.08543621865351</v>
      </c>
      <c r="N166" s="1">
        <v>-747.00056778720182</v>
      </c>
      <c r="O166" s="1">
        <v>-747.00056778720182</v>
      </c>
    </row>
    <row r="167" spans="2:15">
      <c r="B167">
        <v>159</v>
      </c>
      <c r="D167">
        <v>1239.5693715396653</v>
      </c>
      <c r="E167">
        <v>1671.7420038829089</v>
      </c>
      <c r="F167">
        <v>0.68946954612962486</v>
      </c>
      <c r="G167">
        <v>0.72776896563757554</v>
      </c>
      <c r="H167" s="3">
        <v>358.30530359796387</v>
      </c>
      <c r="I167" s="3">
        <v>2.7923747378842532E-2</v>
      </c>
      <c r="J167" s="3">
        <v>1.0008482198944339E-2</v>
      </c>
      <c r="K167" s="1">
        <v>1.5980237258910401E-2</v>
      </c>
      <c r="L167" s="1">
        <v>-341.41684242295548</v>
      </c>
      <c r="M167" s="1">
        <v>-222.27978739279871</v>
      </c>
      <c r="N167" s="1">
        <v>-563.69662981575414</v>
      </c>
      <c r="O167" s="1">
        <v>-563.69662981575425</v>
      </c>
    </row>
    <row r="168" spans="2:15">
      <c r="B168">
        <v>160</v>
      </c>
      <c r="D168">
        <v>793.47425660394856</v>
      </c>
      <c r="E168">
        <v>1308.9109788164212</v>
      </c>
      <c r="F168">
        <v>0.69972137867769502</v>
      </c>
      <c r="G168">
        <v>0.72384310423875686</v>
      </c>
      <c r="H168" s="3">
        <v>436.88883860311836</v>
      </c>
      <c r="I168" s="3">
        <v>1.8535091254125585E-2</v>
      </c>
      <c r="J168" s="3">
        <v>-3.3093506760303315E-3</v>
      </c>
      <c r="K168" s="1">
        <v>3.9721299673549752E-3</v>
      </c>
      <c r="L168" s="1">
        <v>-252.89843877768521</v>
      </c>
      <c r="M168" s="1">
        <v>-385.31969094818186</v>
      </c>
      <c r="N168" s="1">
        <v>-638.21812972586713</v>
      </c>
      <c r="O168" s="1">
        <v>-638.21812972586713</v>
      </c>
    </row>
    <row r="169" spans="2:15">
      <c r="B169">
        <v>161</v>
      </c>
      <c r="D169">
        <v>855.87950957841997</v>
      </c>
      <c r="E169">
        <v>1337.6034856960771</v>
      </c>
      <c r="F169">
        <v>0.6983863260882095</v>
      </c>
      <c r="G169">
        <v>0.73106447791439289</v>
      </c>
      <c r="H169" s="3">
        <v>394.5233598909748</v>
      </c>
      <c r="I169" s="3">
        <v>2.375367323905302E-2</v>
      </c>
      <c r="J169" s="3">
        <v>4.0275052445042786E-3</v>
      </c>
      <c r="K169" s="1">
        <v>1.0602894576020526E-2</v>
      </c>
      <c r="L169" s="1">
        <v>-268.43524454011015</v>
      </c>
      <c r="M169" s="1">
        <v>-317.38385752737412</v>
      </c>
      <c r="N169" s="1">
        <v>-585.81910206748432</v>
      </c>
      <c r="O169" s="1">
        <v>-585.81910206748421</v>
      </c>
    </row>
    <row r="170" spans="2:15">
      <c r="B170">
        <v>162</v>
      </c>
      <c r="D170">
        <v>782.95853616526165</v>
      </c>
      <c r="E170">
        <v>1282.9220685094276</v>
      </c>
      <c r="F170">
        <v>0.68923754002979676</v>
      </c>
      <c r="G170">
        <v>0.72787544958806127</v>
      </c>
      <c r="H170" s="3">
        <v>414.72163123219451</v>
      </c>
      <c r="I170" s="3">
        <v>2.8566539472734371E-2</v>
      </c>
      <c r="J170" s="3">
        <v>7.830457911124647E-3</v>
      </c>
      <c r="K170" s="1">
        <v>1.4742485098327887E-2</v>
      </c>
      <c r="L170" s="1">
        <v>-180.66521908006746</v>
      </c>
      <c r="M170" s="1">
        <v>-374.09384014262776</v>
      </c>
      <c r="N170" s="1">
        <v>-554.7590592226951</v>
      </c>
      <c r="O170" s="1">
        <v>-554.75905922269521</v>
      </c>
    </row>
    <row r="171" spans="2:15">
      <c r="B171">
        <v>163</v>
      </c>
      <c r="D171">
        <v>872.82422641029791</v>
      </c>
      <c r="E171">
        <v>1383.8994236061292</v>
      </c>
      <c r="F171">
        <v>0.69736251356936019</v>
      </c>
      <c r="G171">
        <v>0.72124790060091304</v>
      </c>
      <c r="H171" s="3">
        <v>421.25116236955068</v>
      </c>
      <c r="I171" s="3">
        <v>1.709289589427879E-2</v>
      </c>
      <c r="J171" s="3">
        <v>-3.9696622241987417E-3</v>
      </c>
      <c r="K171" s="1">
        <v>3.0511904819604356E-3</v>
      </c>
      <c r="L171" s="1">
        <v>-348.77235012485409</v>
      </c>
      <c r="M171" s="1">
        <v>-384.67398013683919</v>
      </c>
      <c r="N171" s="1">
        <v>-733.44633026169311</v>
      </c>
      <c r="O171" s="1">
        <v>-733.44633026169322</v>
      </c>
    </row>
    <row r="172" spans="2:15">
      <c r="B172">
        <v>164</v>
      </c>
      <c r="D172">
        <v>823.88054726214648</v>
      </c>
      <c r="E172">
        <v>1299.2488949618519</v>
      </c>
      <c r="F172">
        <v>0.69629104682352361</v>
      </c>
      <c r="G172">
        <v>0.72747925644584832</v>
      </c>
      <c r="H172" s="3">
        <v>395.08317872521042</v>
      </c>
      <c r="I172" s="3">
        <v>2.2464356765218605E-2</v>
      </c>
      <c r="J172" s="3">
        <v>2.7101978289580837E-3</v>
      </c>
      <c r="K172" s="1">
        <v>9.2949174743782587E-3</v>
      </c>
      <c r="L172" s="1">
        <v>-266.8333910128124</v>
      </c>
      <c r="M172" s="1">
        <v>-379.18499559397566</v>
      </c>
      <c r="N172" s="1">
        <v>-646.018386606788</v>
      </c>
      <c r="O172" s="1">
        <v>-646.018386606788</v>
      </c>
    </row>
    <row r="173" spans="2:15">
      <c r="B173">
        <v>165</v>
      </c>
      <c r="D173">
        <v>816.476079773273</v>
      </c>
      <c r="E173">
        <v>1339.8884604493057</v>
      </c>
      <c r="F173">
        <v>0.69647616394586154</v>
      </c>
      <c r="G173">
        <v>0.73020686125176693</v>
      </c>
      <c r="H173" s="3">
        <v>431.21741959537911</v>
      </c>
      <c r="I173" s="3">
        <v>2.4018159926045321E-2</v>
      </c>
      <c r="J173" s="3">
        <v>2.4572889462763613E-3</v>
      </c>
      <c r="K173" s="1">
        <v>9.6442459395326818E-3</v>
      </c>
      <c r="L173" s="1">
        <v>-231.51243240467838</v>
      </c>
      <c r="M173" s="1">
        <v>-251.53720260994515</v>
      </c>
      <c r="N173" s="1">
        <v>-483.0496350146235</v>
      </c>
      <c r="O173" s="1">
        <v>-483.0496350146235</v>
      </c>
    </row>
    <row r="174" spans="2:15">
      <c r="B174">
        <v>166</v>
      </c>
      <c r="D174">
        <v>915.37282047764734</v>
      </c>
      <c r="E174">
        <v>1432.0378332051182</v>
      </c>
      <c r="F174">
        <v>0.69860174241738549</v>
      </c>
      <c r="G174">
        <v>0.73170631710769274</v>
      </c>
      <c r="H174" s="3">
        <v>424.12918258929835</v>
      </c>
      <c r="I174" s="3">
        <v>2.4051610977366817E-2</v>
      </c>
      <c r="J174" s="3">
        <v>2.8451518479018986E-3</v>
      </c>
      <c r="K174" s="1">
        <v>9.9139715577235381E-3</v>
      </c>
      <c r="L174" s="1">
        <v>-223.4782422008027</v>
      </c>
      <c r="M174" s="1">
        <v>-380.42087420902044</v>
      </c>
      <c r="N174" s="1">
        <v>-603.89911640982302</v>
      </c>
      <c r="O174" s="1">
        <v>-603.89911640982314</v>
      </c>
    </row>
    <row r="175" spans="2:15">
      <c r="B175">
        <v>167</v>
      </c>
      <c r="D175">
        <v>973.72021318812347</v>
      </c>
      <c r="E175">
        <v>1486.5232141013466</v>
      </c>
      <c r="F175">
        <v>0.67771004963009829</v>
      </c>
      <c r="G175">
        <v>0.70738069788516955</v>
      </c>
      <c r="H175" s="3">
        <v>417.41947318624619</v>
      </c>
      <c r="I175" s="3">
        <v>2.2181952005528933E-2</v>
      </c>
      <c r="J175" s="3">
        <v>1.3109783462166222E-3</v>
      </c>
      <c r="K175" s="1">
        <v>8.2679695659873924E-3</v>
      </c>
      <c r="L175" s="1">
        <v>-316.91577617403095</v>
      </c>
      <c r="M175" s="1">
        <v>-273.80368406732066</v>
      </c>
      <c r="N175" s="1">
        <v>-590.71946024135161</v>
      </c>
      <c r="O175" s="1">
        <v>-590.71946024135161</v>
      </c>
    </row>
    <row r="176" spans="2:15">
      <c r="B176">
        <v>168</v>
      </c>
      <c r="D176">
        <v>1051.9230632926924</v>
      </c>
      <c r="E176">
        <v>1542.6879406838154</v>
      </c>
      <c r="F176">
        <v>0.69494050802255214</v>
      </c>
      <c r="G176">
        <v>0.72774514292046444</v>
      </c>
      <c r="H176" s="3">
        <v>404.12605858691319</v>
      </c>
      <c r="I176" s="3">
        <v>2.3428733666196504E-2</v>
      </c>
      <c r="J176" s="3">
        <v>3.2224307368508461E-3</v>
      </c>
      <c r="K176" s="1">
        <v>9.9578650466327322E-3</v>
      </c>
      <c r="L176" s="1">
        <v>-403.04145779161337</v>
      </c>
      <c r="M176" s="1">
        <v>-285.73289848991396</v>
      </c>
      <c r="N176" s="1">
        <v>-688.77435628152728</v>
      </c>
      <c r="O176" s="1">
        <v>-688.77435628152739</v>
      </c>
    </row>
    <row r="177" spans="2:15">
      <c r="B177">
        <v>169</v>
      </c>
      <c r="D177">
        <v>896.9706407165022</v>
      </c>
      <c r="E177">
        <v>1375.675841879272</v>
      </c>
      <c r="F177">
        <v>0.69662821151903509</v>
      </c>
      <c r="G177">
        <v>0.7342352693509141</v>
      </c>
      <c r="H177" s="3">
        <v>390.49129733453032</v>
      </c>
      <c r="I177" s="3">
        <v>2.6718616874060182E-2</v>
      </c>
      <c r="J177" s="3">
        <v>7.1940520073336678E-3</v>
      </c>
      <c r="K177" s="1">
        <v>1.3702240296242507E-2</v>
      </c>
      <c r="L177" s="1">
        <v>-230.63133993708351</v>
      </c>
      <c r="M177" s="1">
        <v>-192.91721596337061</v>
      </c>
      <c r="N177" s="1">
        <v>-423.54855590045406</v>
      </c>
      <c r="O177" s="1">
        <v>-423.54855590045412</v>
      </c>
    </row>
    <row r="178" spans="2:15">
      <c r="B178">
        <v>170</v>
      </c>
      <c r="D178">
        <v>848.61930076060571</v>
      </c>
      <c r="E178">
        <v>1326.2738628649383</v>
      </c>
      <c r="F178">
        <v>0.68542269523245791</v>
      </c>
      <c r="G178">
        <v>0.7292661529844503</v>
      </c>
      <c r="H178" s="3">
        <v>377.86158695114574</v>
      </c>
      <c r="I178" s="3">
        <v>2.9596780292071592E-2</v>
      </c>
      <c r="J178" s="3">
        <v>1.0703700944514307E-2</v>
      </c>
      <c r="K178" s="1">
        <v>1.7001394060366735E-2</v>
      </c>
      <c r="L178" s="1">
        <v>-44.475609817638187</v>
      </c>
      <c r="M178" s="1">
        <v>-336.55168547357061</v>
      </c>
      <c r="N178" s="1">
        <v>-381.02729529120882</v>
      </c>
      <c r="O178" s="1">
        <v>-381.02729529120882</v>
      </c>
    </row>
    <row r="179" spans="2:15">
      <c r="B179">
        <v>171</v>
      </c>
      <c r="D179">
        <v>1065.4622633872405</v>
      </c>
      <c r="E179">
        <v>1552.3194158499482</v>
      </c>
      <c r="F179">
        <v>0.69297408399703153</v>
      </c>
      <c r="G179">
        <v>0.72459968406610054</v>
      </c>
      <c r="H179" s="3">
        <v>404.16917383231856</v>
      </c>
      <c r="I179" s="3">
        <v>2.29991559098419E-2</v>
      </c>
      <c r="J179" s="3">
        <v>2.7906972182259702E-3</v>
      </c>
      <c r="K179" s="1">
        <v>9.5268501154312808E-3</v>
      </c>
      <c r="L179" s="1">
        <v>-317.11951002718308</v>
      </c>
      <c r="M179" s="1">
        <v>-327.00776246319288</v>
      </c>
      <c r="N179" s="1">
        <v>-644.12727249037596</v>
      </c>
      <c r="O179" s="1">
        <v>-644.12727249037596</v>
      </c>
    </row>
    <row r="180" spans="2:15">
      <c r="B180">
        <v>172</v>
      </c>
      <c r="D180">
        <v>964.11582384252074</v>
      </c>
      <c r="E180">
        <v>1483.5859212294517</v>
      </c>
      <c r="F180">
        <v>0.69610989307614157</v>
      </c>
      <c r="G180">
        <v>0.71185227784971605</v>
      </c>
      <c r="H180" s="3">
        <v>426.51665411644996</v>
      </c>
      <c r="I180" s="3">
        <v>1.0845762748861721E-2</v>
      </c>
      <c r="J180" s="3">
        <v>-1.0480069956960776E-2</v>
      </c>
      <c r="K180" s="1">
        <v>-3.3714590550199437E-3</v>
      </c>
      <c r="L180" s="1">
        <v>-251.44651416444145</v>
      </c>
      <c r="M180" s="1">
        <v>-401.77430562600625</v>
      </c>
      <c r="N180" s="1">
        <v>-653.22081979044765</v>
      </c>
      <c r="O180" s="1">
        <v>-653.22081979044765</v>
      </c>
    </row>
    <row r="181" spans="2:15">
      <c r="B181">
        <v>173</v>
      </c>
      <c r="D181">
        <v>905.52598572465274</v>
      </c>
      <c r="E181">
        <v>1376.7447919195406</v>
      </c>
      <c r="F181">
        <v>0.69640668701116226</v>
      </c>
      <c r="G181">
        <v>0.73697555355019295</v>
      </c>
      <c r="H181" s="3">
        <v>387.63040908155222</v>
      </c>
      <c r="I181" s="3">
        <v>2.9650667155005389E-2</v>
      </c>
      <c r="J181" s="3">
        <v>1.0269146700927777E-2</v>
      </c>
      <c r="K181" s="1">
        <v>1.6729653518953648E-2</v>
      </c>
      <c r="L181" s="1">
        <v>-214.33016296212958</v>
      </c>
      <c r="M181" s="1">
        <v>-362.72902403574642</v>
      </c>
      <c r="N181" s="1">
        <v>-577.05918699787594</v>
      </c>
      <c r="O181" s="1">
        <v>-577.05918699787594</v>
      </c>
    </row>
    <row r="182" spans="2:15">
      <c r="B182">
        <v>174</v>
      </c>
      <c r="D182">
        <v>914.03422375089588</v>
      </c>
      <c r="E182">
        <v>1434.9088389916596</v>
      </c>
      <c r="F182">
        <v>0.6963142037231842</v>
      </c>
      <c r="G182">
        <v>0.72521129396446637</v>
      </c>
      <c r="H182" s="3">
        <v>418.18963432496685</v>
      </c>
      <c r="I182" s="3">
        <v>2.0481497640461255E-2</v>
      </c>
      <c r="J182" s="3">
        <v>-4.2798407578708772E-4</v>
      </c>
      <c r="K182" s="1">
        <v>6.5418431629623592E-3</v>
      </c>
      <c r="L182" s="1">
        <v>-40.487097344035277</v>
      </c>
      <c r="M182" s="1">
        <v>-297.45974464873046</v>
      </c>
      <c r="N182" s="1">
        <v>-337.94684199276571</v>
      </c>
      <c r="O182" s="1">
        <v>-337.94684199276571</v>
      </c>
    </row>
    <row r="183" spans="2:15">
      <c r="B183">
        <v>175</v>
      </c>
      <c r="D183">
        <v>959.14352688061194</v>
      </c>
      <c r="E183">
        <v>1452.9998026850226</v>
      </c>
      <c r="F183">
        <v>0.69004269574836352</v>
      </c>
      <c r="G183">
        <v>0.72789496635369733</v>
      </c>
      <c r="H183" s="3">
        <v>392.9714620253734</v>
      </c>
      <c r="I183" s="3">
        <v>2.5825311529496457E-2</v>
      </c>
      <c r="J183" s="3">
        <v>6.1767384282277842E-3</v>
      </c>
      <c r="K183" s="1">
        <v>1.2726262795317342E-2</v>
      </c>
      <c r="L183" s="1">
        <v>-163.2400520618755</v>
      </c>
      <c r="M183" s="1">
        <v>-276.24673413116545</v>
      </c>
      <c r="N183" s="1">
        <v>-439.48678619304104</v>
      </c>
      <c r="O183" s="1">
        <v>-439.48678619304098</v>
      </c>
    </row>
    <row r="184" spans="2:15">
      <c r="B184">
        <v>176</v>
      </c>
      <c r="D184">
        <v>857.96334997673216</v>
      </c>
      <c r="E184">
        <v>1359.8384634934316</v>
      </c>
      <c r="F184">
        <v>0.6904989709935716</v>
      </c>
      <c r="G184">
        <v>0.72920414605477635</v>
      </c>
      <c r="H184" s="3">
        <v>418.71958732841063</v>
      </c>
      <c r="I184" s="3">
        <v>2.8757491026696412E-2</v>
      </c>
      <c r="J184" s="3">
        <v>7.8215116602758823E-3</v>
      </c>
      <c r="K184" s="1">
        <v>1.4800171449082725E-2</v>
      </c>
      <c r="L184" s="1">
        <v>-236.58284643657078</v>
      </c>
      <c r="M184" s="1">
        <v>-213.71406822854581</v>
      </c>
      <c r="N184" s="1">
        <v>-450.29691466511656</v>
      </c>
      <c r="O184" s="1">
        <v>-450.29691466511656</v>
      </c>
    </row>
    <row r="185" spans="2:15">
      <c r="B185">
        <v>177</v>
      </c>
      <c r="D185">
        <v>823.78081115228281</v>
      </c>
      <c r="E185">
        <v>1305.4682684312568</v>
      </c>
      <c r="F185">
        <v>0.70026393354477123</v>
      </c>
      <c r="G185">
        <v>0.7336060878378593</v>
      </c>
      <c r="H185" s="3">
        <v>387.64430550116595</v>
      </c>
      <c r="I185" s="3">
        <v>2.2826760410076537E-2</v>
      </c>
      <c r="J185" s="3">
        <v>3.4445451350182364E-3</v>
      </c>
      <c r="K185" s="1">
        <v>9.9052835600376699E-3</v>
      </c>
      <c r="L185" s="1">
        <v>-80.59912335791563</v>
      </c>
      <c r="M185" s="1">
        <v>-368.76741832454638</v>
      </c>
      <c r="N185" s="1">
        <v>-449.36654168246207</v>
      </c>
      <c r="O185" s="1">
        <v>-449.36654168246201</v>
      </c>
    </row>
    <row r="186" spans="2:15">
      <c r="B186">
        <v>178</v>
      </c>
      <c r="D186">
        <v>826.4575558033448</v>
      </c>
      <c r="E186">
        <v>1336.3726344125721</v>
      </c>
      <c r="F186">
        <v>0.70295723051664005</v>
      </c>
      <c r="G186">
        <v>0.73751149675156646</v>
      </c>
      <c r="H186" s="3">
        <v>434.35788318217783</v>
      </c>
      <c r="I186" s="3">
        <v>2.6454861715710098E-2</v>
      </c>
      <c r="J186" s="3">
        <v>4.7369675566012077E-3</v>
      </c>
      <c r="K186" s="1">
        <v>1.1976265609637504E-2</v>
      </c>
      <c r="L186" s="1">
        <v>-141.1518355990176</v>
      </c>
      <c r="M186" s="1">
        <v>-282.22782305328894</v>
      </c>
      <c r="N186" s="1">
        <v>-423.3796586523066</v>
      </c>
      <c r="O186" s="1">
        <v>-423.37965865230655</v>
      </c>
    </row>
    <row r="187" spans="2:15">
      <c r="B187">
        <v>179</v>
      </c>
      <c r="D187">
        <v>728.57972917965469</v>
      </c>
      <c r="E187">
        <v>1220.1433737396715</v>
      </c>
      <c r="F187">
        <v>0.68414458001345446</v>
      </c>
      <c r="G187">
        <v>0.73418913469992531</v>
      </c>
      <c r="H187" s="3">
        <v>396.60775700993474</v>
      </c>
      <c r="I187" s="3">
        <v>3.5345838922636541E-2</v>
      </c>
      <c r="J187" s="3">
        <v>1.5515451072139801E-2</v>
      </c>
      <c r="K187" s="1">
        <v>2.2125580355638712E-2</v>
      </c>
      <c r="L187" s="1">
        <v>-242.65099886750093</v>
      </c>
      <c r="M187" s="1">
        <v>-207.11556452949225</v>
      </c>
      <c r="N187" s="1">
        <v>-449.76656339699321</v>
      </c>
      <c r="O187" s="1">
        <v>-449.76656339699321</v>
      </c>
    </row>
    <row r="188" spans="2:15">
      <c r="B188">
        <v>180</v>
      </c>
      <c r="D188">
        <v>793.18931613889242</v>
      </c>
      <c r="E188">
        <v>1314.5071591632686</v>
      </c>
      <c r="F188">
        <v>0.68834621086468573</v>
      </c>
      <c r="G188">
        <v>0.72860397089060935</v>
      </c>
      <c r="H188" s="3">
        <v>419.11254669496782</v>
      </c>
      <c r="I188" s="3">
        <v>2.7997410720789356E-2</v>
      </c>
      <c r="J188" s="3">
        <v>7.0417833860409659E-3</v>
      </c>
      <c r="K188" s="1">
        <v>1.4026992497623762E-2</v>
      </c>
      <c r="L188" s="1">
        <v>-321.93267404720257</v>
      </c>
      <c r="M188" s="1">
        <v>-313.28213506042124</v>
      </c>
      <c r="N188" s="1">
        <v>-635.21480910762375</v>
      </c>
      <c r="O188" s="1">
        <v>-635.21480910762375</v>
      </c>
    </row>
    <row r="189" spans="2:15">
      <c r="B189">
        <v>181</v>
      </c>
      <c r="D189">
        <v>768.97001638368158</v>
      </c>
      <c r="E189">
        <v>1235.3581341078625</v>
      </c>
      <c r="F189">
        <v>0.6859841987629226</v>
      </c>
      <c r="G189">
        <v>0.72369329490092105</v>
      </c>
      <c r="H189" s="3">
        <v>388.88844400863786</v>
      </c>
      <c r="I189" s="3">
        <v>2.7542206389456914E-2</v>
      </c>
      <c r="J189" s="3">
        <v>8.0977841890250216E-3</v>
      </c>
      <c r="K189" s="1">
        <v>1.4579258255835652E-2</v>
      </c>
      <c r="L189" s="1">
        <v>-433.53173369375259</v>
      </c>
      <c r="M189" s="1">
        <v>-360.7664624422062</v>
      </c>
      <c r="N189" s="1">
        <v>-794.29819613595873</v>
      </c>
      <c r="O189" s="1">
        <v>-794.29819613595873</v>
      </c>
    </row>
    <row r="190" spans="2:15">
      <c r="B190">
        <v>182</v>
      </c>
      <c r="D190">
        <v>889.05588687557872</v>
      </c>
      <c r="E190">
        <v>1358.1688828815654</v>
      </c>
      <c r="F190">
        <v>0.69466899357141609</v>
      </c>
      <c r="G190">
        <v>0.74018357379414179</v>
      </c>
      <c r="H190" s="3">
        <v>389.83089582820452</v>
      </c>
      <c r="I190" s="3">
        <v>3.2955240681329809E-2</v>
      </c>
      <c r="J190" s="3">
        <v>1.3463695889919584E-2</v>
      </c>
      <c r="K190" s="1">
        <v>1.9960877487056324E-2</v>
      </c>
      <c r="L190" s="1">
        <v>-25.240996867660069</v>
      </c>
      <c r="M190" s="1">
        <v>-353.27839814202719</v>
      </c>
      <c r="N190" s="1">
        <v>-378.51939500968723</v>
      </c>
      <c r="O190" s="1">
        <v>-378.51939500968723</v>
      </c>
    </row>
    <row r="191" spans="2:15">
      <c r="B191">
        <v>183</v>
      </c>
      <c r="D191">
        <v>977.832331325106</v>
      </c>
      <c r="E191">
        <v>1460.9679577479153</v>
      </c>
      <c r="F191">
        <v>0.69164870970390746</v>
      </c>
      <c r="G191">
        <v>0.7342991717039643</v>
      </c>
      <c r="H191" s="3">
        <v>392.02677747502793</v>
      </c>
      <c r="I191" s="3">
        <v>3.0368841318472391E-2</v>
      </c>
      <c r="J191" s="3">
        <v>1.0767502444720998E-2</v>
      </c>
      <c r="K191" s="1">
        <v>1.7301282069304796E-2</v>
      </c>
      <c r="L191" s="1">
        <v>-170.24054179772597</v>
      </c>
      <c r="M191" s="1">
        <v>-190.46580593111219</v>
      </c>
      <c r="N191" s="1">
        <v>-360.70634772883813</v>
      </c>
      <c r="O191" s="1">
        <v>-360.70634772883818</v>
      </c>
    </row>
    <row r="192" spans="2:15">
      <c r="B192">
        <v>184</v>
      </c>
      <c r="D192">
        <v>688.0385730665846</v>
      </c>
      <c r="E192">
        <v>1191.0297798899478</v>
      </c>
      <c r="F192">
        <v>0.69379487659287498</v>
      </c>
      <c r="G192">
        <v>0.72897704894179205</v>
      </c>
      <c r="H192" s="3">
        <v>413.20164357884005</v>
      </c>
      <c r="I192" s="3">
        <v>2.504455084009365E-2</v>
      </c>
      <c r="J192" s="3">
        <v>4.3844686611516498E-3</v>
      </c>
      <c r="K192" s="1">
        <v>1.1271162720798983E-2</v>
      </c>
      <c r="L192" s="1">
        <v>-567.88777361148493</v>
      </c>
      <c r="M192" s="1">
        <v>-311.5266754193612</v>
      </c>
      <c r="N192" s="1">
        <v>-879.41444903084619</v>
      </c>
      <c r="O192" s="1">
        <v>-879.41444903084607</v>
      </c>
    </row>
    <row r="193" spans="2:15">
      <c r="B193">
        <v>185</v>
      </c>
      <c r="D193">
        <v>815.61428140104192</v>
      </c>
      <c r="E193">
        <v>1310.6219718239231</v>
      </c>
      <c r="F193">
        <v>0.6940757793153014</v>
      </c>
      <c r="G193">
        <v>0.72633707552767091</v>
      </c>
      <c r="H193" s="3">
        <v>390.86041902841771</v>
      </c>
      <c r="I193" s="3">
        <v>2.1545057965314297E-2</v>
      </c>
      <c r="J193" s="3">
        <v>2.0020370138934124E-3</v>
      </c>
      <c r="K193" s="1">
        <v>8.516377331033706E-3</v>
      </c>
      <c r="L193" s="1">
        <v>-395.48098856189074</v>
      </c>
      <c r="M193" s="1">
        <v>-416.98361528441887</v>
      </c>
      <c r="N193" s="1">
        <v>-812.46460384630961</v>
      </c>
      <c r="O193" s="1">
        <v>-812.46460384630961</v>
      </c>
    </row>
    <row r="194" spans="2:15">
      <c r="B194">
        <v>186</v>
      </c>
      <c r="D194">
        <v>835.20156079518745</v>
      </c>
      <c r="E194">
        <v>1309.2799505433022</v>
      </c>
      <c r="F194">
        <v>0.69452898162029086</v>
      </c>
      <c r="G194">
        <v>0.72236683456161188</v>
      </c>
      <c r="H194" s="3">
        <v>386.55659419179119</v>
      </c>
      <c r="I194" s="3">
        <v>2.0042283933069505E-2</v>
      </c>
      <c r="J194" s="3">
        <v>7.1445422347994614E-4</v>
      </c>
      <c r="K194" s="1">
        <v>7.1570641266764656E-3</v>
      </c>
      <c r="L194" s="1">
        <v>-335.20160671975566</v>
      </c>
      <c r="M194" s="1">
        <v>-418.09861304091226</v>
      </c>
      <c r="N194" s="1">
        <v>-753.30021976066791</v>
      </c>
      <c r="O194" s="1">
        <v>-753.30021976066791</v>
      </c>
    </row>
    <row r="195" spans="2:15">
      <c r="B195">
        <v>187</v>
      </c>
      <c r="D195">
        <v>838.38863136384578</v>
      </c>
      <c r="E195">
        <v>1319.7961374254712</v>
      </c>
      <c r="F195">
        <v>0.69873890459621812</v>
      </c>
      <c r="G195">
        <v>0.73068770068412947</v>
      </c>
      <c r="H195" s="3">
        <v>401.98318086557975</v>
      </c>
      <c r="I195" s="3">
        <v>2.3580241975012788E-2</v>
      </c>
      <c r="J195" s="3">
        <v>3.4810829317338012E-3</v>
      </c>
      <c r="K195" s="1">
        <v>1.0180802612826795E-2</v>
      </c>
      <c r="L195" s="1">
        <v>-286.3113434942216</v>
      </c>
      <c r="M195" s="1">
        <v>-379.55496569198033</v>
      </c>
      <c r="N195" s="1">
        <v>-665.86630918620199</v>
      </c>
      <c r="O195" s="1">
        <v>-665.86630918620199</v>
      </c>
    </row>
    <row r="196" spans="2:15">
      <c r="B196">
        <v>188</v>
      </c>
      <c r="D196">
        <v>778.86313369046286</v>
      </c>
      <c r="E196">
        <v>1264.5896498919608</v>
      </c>
      <c r="F196">
        <v>0.68226637808036639</v>
      </c>
      <c r="G196">
        <v>0.71364428873917085</v>
      </c>
      <c r="H196" s="3">
        <v>389.45498676152192</v>
      </c>
      <c r="I196" s="3">
        <v>2.2185269664029294E-2</v>
      </c>
      <c r="J196" s="3">
        <v>2.712520325953198E-3</v>
      </c>
      <c r="K196" s="1">
        <v>9.2034367719785633E-3</v>
      </c>
      <c r="L196" s="1">
        <v>-193.4956760321634</v>
      </c>
      <c r="M196" s="1">
        <v>-369.0623242731038</v>
      </c>
      <c r="N196" s="1">
        <v>-562.55800030526723</v>
      </c>
      <c r="O196" s="1">
        <v>-562.55800030526723</v>
      </c>
    </row>
    <row r="197" spans="2:15">
      <c r="B197">
        <v>189</v>
      </c>
      <c r="D197">
        <v>892.3506666978883</v>
      </c>
      <c r="E197">
        <v>1369.2761785844752</v>
      </c>
      <c r="F197">
        <v>0.68838896034902242</v>
      </c>
      <c r="G197">
        <v>0.72095014906416488</v>
      </c>
      <c r="H197" s="3">
        <v>393.36124003477028</v>
      </c>
      <c r="I197" s="3">
        <v>2.3533440708406888E-2</v>
      </c>
      <c r="J197" s="3">
        <v>3.8653787066683758E-3</v>
      </c>
      <c r="K197" s="1">
        <v>1.0421399373914545E-2</v>
      </c>
      <c r="L197" s="1">
        <v>-393.19765103474776</v>
      </c>
      <c r="M197" s="1">
        <v>-259.29563964537351</v>
      </c>
      <c r="N197" s="1">
        <v>-652.49329068012139</v>
      </c>
      <c r="O197" s="1">
        <v>-652.49329068012128</v>
      </c>
    </row>
    <row r="198" spans="2:15">
      <c r="B198">
        <v>190</v>
      </c>
      <c r="D198">
        <v>893.83570099512383</v>
      </c>
      <c r="E198">
        <v>1394.4940418058879</v>
      </c>
      <c r="F198">
        <v>0.68750830006693697</v>
      </c>
      <c r="G198">
        <v>0.72013312492244119</v>
      </c>
      <c r="H198" s="3">
        <v>411.24885731838589</v>
      </c>
      <c r="I198" s="3">
        <v>2.3939989342708797E-2</v>
      </c>
      <c r="J198" s="3">
        <v>3.3775464767895023E-3</v>
      </c>
      <c r="K198" s="1">
        <v>1.0231694098762602E-2</v>
      </c>
      <c r="L198" s="1">
        <v>-191.38330851229159</v>
      </c>
      <c r="M198" s="1">
        <v>-324.38479383353507</v>
      </c>
      <c r="N198" s="1">
        <v>-515.76810234582661</v>
      </c>
      <c r="O198" s="1">
        <v>-515.76810234582672</v>
      </c>
    </row>
    <row r="199" spans="2:15">
      <c r="B199">
        <v>191</v>
      </c>
      <c r="D199">
        <v>1034.0799914553509</v>
      </c>
      <c r="E199">
        <v>1537.7919706683683</v>
      </c>
      <c r="F199">
        <v>0.70208402048015528</v>
      </c>
      <c r="G199">
        <v>0.72075240121470574</v>
      </c>
      <c r="H199" s="3">
        <v>419.99558907616569</v>
      </c>
      <c r="I199" s="3">
        <v>1.3616125834719784E-2</v>
      </c>
      <c r="J199" s="3">
        <v>-7.3836536190885014E-3</v>
      </c>
      <c r="K199" s="1">
        <v>-3.8372713448573889E-4</v>
      </c>
      <c r="L199" s="1">
        <v>-535.91615875917262</v>
      </c>
      <c r="M199" s="1">
        <v>-282.76922292832427</v>
      </c>
      <c r="N199" s="1">
        <v>-818.68538168749683</v>
      </c>
      <c r="O199" s="1">
        <v>-818.68538168749683</v>
      </c>
    </row>
    <row r="200" spans="2:15">
      <c r="B200">
        <v>192</v>
      </c>
      <c r="D200">
        <v>876.0548326677723</v>
      </c>
      <c r="E200">
        <v>1373.4837225054257</v>
      </c>
      <c r="F200">
        <v>0.70036148803017373</v>
      </c>
      <c r="G200">
        <v>0.72906242291994683</v>
      </c>
      <c r="H200" s="3">
        <v>412.26853586896726</v>
      </c>
      <c r="I200" s="3">
        <v>2.0895498126789498E-2</v>
      </c>
      <c r="J200" s="3">
        <v>2.8207133334113427E-4</v>
      </c>
      <c r="K200" s="1">
        <v>7.1532135978239226E-3</v>
      </c>
      <c r="L200" s="1">
        <v>-422.1858130694643</v>
      </c>
      <c r="M200" s="1">
        <v>-410.37223793216083</v>
      </c>
      <c r="N200" s="1">
        <v>-832.55805100162524</v>
      </c>
      <c r="O200" s="1">
        <v>-832.55805100162513</v>
      </c>
    </row>
    <row r="201" spans="2:15">
      <c r="B201">
        <v>193</v>
      </c>
      <c r="D201">
        <v>797.30827788881743</v>
      </c>
      <c r="E201">
        <v>1263.6038957079465</v>
      </c>
      <c r="F201">
        <v>0.68354530384237022</v>
      </c>
      <c r="G201">
        <v>0.72916192225106169</v>
      </c>
      <c r="H201" s="3">
        <v>384.18945758529782</v>
      </c>
      <c r="I201" s="3">
        <v>3.2778616771773114E-2</v>
      </c>
      <c r="J201" s="3">
        <v>1.3569143892508226E-2</v>
      </c>
      <c r="K201" s="1">
        <v>1.9972301518929855E-2</v>
      </c>
      <c r="L201" s="1">
        <v>-513.65399770131489</v>
      </c>
      <c r="M201" s="1">
        <v>-484.93973389439776</v>
      </c>
      <c r="N201" s="1">
        <v>-998.59373159571282</v>
      </c>
      <c r="O201" s="1">
        <v>-998.5937315957126</v>
      </c>
    </row>
    <row r="202" spans="2:15">
      <c r="B202">
        <v>194</v>
      </c>
      <c r="D202">
        <v>861.72442787656098</v>
      </c>
      <c r="E202">
        <v>1351.886517892274</v>
      </c>
      <c r="F202">
        <v>0.67674295057179878</v>
      </c>
      <c r="G202">
        <v>0.7081590478256311</v>
      </c>
      <c r="H202" s="3">
        <v>399.68240842176391</v>
      </c>
      <c r="I202" s="3">
        <v>2.2752943088840977E-2</v>
      </c>
      <c r="J202" s="3">
        <v>2.7688226677527808E-3</v>
      </c>
      <c r="K202" s="1">
        <v>9.4301961414488475E-3</v>
      </c>
      <c r="L202" s="1">
        <v>-383.0893868364094</v>
      </c>
      <c r="M202" s="1">
        <v>-254.05446669709534</v>
      </c>
      <c r="N202" s="1">
        <v>-637.14385353350474</v>
      </c>
      <c r="O202" s="1">
        <v>-637.14385353350474</v>
      </c>
    </row>
    <row r="203" spans="2:15">
      <c r="B203">
        <v>195</v>
      </c>
      <c r="D203">
        <v>767.19426470447661</v>
      </c>
      <c r="E203">
        <v>1247.2050711074671</v>
      </c>
      <c r="F203">
        <v>0.69203759699577994</v>
      </c>
      <c r="G203">
        <v>0.73015235959023161</v>
      </c>
      <c r="H203" s="3">
        <v>396.97932355892374</v>
      </c>
      <c r="I203" s="3">
        <v>2.7474927403184902E-2</v>
      </c>
      <c r="J203" s="3">
        <v>7.6259612252387136E-3</v>
      </c>
      <c r="K203" s="1">
        <v>1.4242283284554111E-2</v>
      </c>
      <c r="L203" s="1">
        <v>-99.347784708433537</v>
      </c>
      <c r="M203" s="1">
        <v>-210.68477936223297</v>
      </c>
      <c r="N203" s="1">
        <v>-310.03256407066652</v>
      </c>
      <c r="O203" s="1">
        <v>-310.03256407066652</v>
      </c>
    </row>
    <row r="204" spans="2:15">
      <c r="B204">
        <v>196</v>
      </c>
      <c r="D204">
        <v>831.99403777597536</v>
      </c>
      <c r="E204">
        <v>1293.091864527737</v>
      </c>
      <c r="F204">
        <v>0.68608401600712898</v>
      </c>
      <c r="G204">
        <v>0.73167751692760707</v>
      </c>
      <c r="H204" s="3">
        <v>370.9087378468829</v>
      </c>
      <c r="I204" s="3">
        <v>3.1129843250015221E-2</v>
      </c>
      <c r="J204" s="3">
        <v>1.258440635767108E-2</v>
      </c>
      <c r="K204" s="1">
        <v>1.8766218655119127E-2</v>
      </c>
      <c r="L204" s="1">
        <v>-431.2280771027763</v>
      </c>
      <c r="M204" s="1">
        <v>-336.61380154077801</v>
      </c>
      <c r="N204" s="1">
        <v>-767.84187864355431</v>
      </c>
      <c r="O204" s="1">
        <v>-767.84187864355431</v>
      </c>
    </row>
    <row r="205" spans="2:15">
      <c r="B205">
        <v>197</v>
      </c>
      <c r="D205">
        <v>1007.512181986408</v>
      </c>
      <c r="E205">
        <v>1453.6826955945851</v>
      </c>
      <c r="F205">
        <v>0.6929036292039028</v>
      </c>
      <c r="G205">
        <v>0.73334587774228333</v>
      </c>
      <c r="H205" s="3">
        <v>377.18599483126445</v>
      </c>
      <c r="I205" s="3">
        <v>2.9949874068327706E-2</v>
      </c>
      <c r="J205" s="3">
        <v>1.1090574326764482E-2</v>
      </c>
      <c r="K205" s="1">
        <v>1.7377007573952226E-2</v>
      </c>
      <c r="L205" s="1">
        <v>-93.863423861818092</v>
      </c>
      <c r="M205" s="1">
        <v>-317.5397286547007</v>
      </c>
      <c r="N205" s="1">
        <v>-411.40315251651884</v>
      </c>
      <c r="O205" s="1">
        <v>-411.40315251651879</v>
      </c>
    </row>
    <row r="206" spans="2:15">
      <c r="B206">
        <v>198</v>
      </c>
      <c r="D206">
        <v>831.05546456566515</v>
      </c>
      <c r="E206">
        <v>1330.5483538418696</v>
      </c>
      <c r="F206">
        <v>0.68990245517948456</v>
      </c>
      <c r="G206">
        <v>0.72860151548762753</v>
      </c>
      <c r="H206" s="3">
        <v>399.11811864820328</v>
      </c>
      <c r="I206" s="3">
        <v>2.6675417816283686E-2</v>
      </c>
      <c r="J206" s="3">
        <v>6.7195118838735204E-3</v>
      </c>
      <c r="K206" s="1">
        <v>1.3371480528010241E-2</v>
      </c>
      <c r="L206" s="1">
        <v>-341.37813227145193</v>
      </c>
      <c r="M206" s="1">
        <v>-436.43160785942985</v>
      </c>
      <c r="N206" s="1">
        <v>-777.80974013088166</v>
      </c>
      <c r="O206" s="1">
        <v>-777.80974013088178</v>
      </c>
    </row>
    <row r="207" spans="2:15">
      <c r="B207">
        <v>199</v>
      </c>
      <c r="D207">
        <v>1084.8932261601726</v>
      </c>
      <c r="E207">
        <v>1557.9437317108759</v>
      </c>
      <c r="F207">
        <v>0.68460471436331571</v>
      </c>
      <c r="G207">
        <v>0.72434213132178904</v>
      </c>
      <c r="H207" s="3">
        <v>390.30441403004085</v>
      </c>
      <c r="I207" s="3">
        <v>2.9227887089877717E-2</v>
      </c>
      <c r="J207" s="3">
        <v>9.7126663883756736E-3</v>
      </c>
      <c r="K207" s="1">
        <v>1.6217739955543022E-2</v>
      </c>
      <c r="L207" s="1">
        <v>-216.48579208893639</v>
      </c>
      <c r="M207" s="1">
        <v>-420.53737784996713</v>
      </c>
      <c r="N207" s="1">
        <v>-637.02316993890349</v>
      </c>
      <c r="O207" s="1">
        <v>-637.02316993890349</v>
      </c>
    </row>
    <row r="208" spans="2:15">
      <c r="B208">
        <v>200</v>
      </c>
      <c r="D208">
        <v>671.12384529394376</v>
      </c>
      <c r="E208">
        <v>1191.2894867049549</v>
      </c>
      <c r="F208">
        <v>0.68899388372705983</v>
      </c>
      <c r="G208">
        <v>0.71444863764728606</v>
      </c>
      <c r="H208" s="3">
        <v>432.62544021853012</v>
      </c>
      <c r="I208" s="3">
        <v>1.8900821865348905E-2</v>
      </c>
      <c r="J208" s="3">
        <v>-2.7304501455776044E-3</v>
      </c>
      <c r="K208" s="1">
        <v>4.4799738580645655E-3</v>
      </c>
      <c r="L208" s="1">
        <v>-361.21130494804061</v>
      </c>
      <c r="M208" s="1">
        <v>-301.67078505950201</v>
      </c>
      <c r="N208" s="1">
        <v>-662.88209000754262</v>
      </c>
      <c r="O208" s="1">
        <v>-662.88209000754262</v>
      </c>
    </row>
    <row r="209" spans="2:15">
      <c r="B209">
        <v>201</v>
      </c>
      <c r="D209">
        <v>778.70254343187241</v>
      </c>
      <c r="E209">
        <v>1296.2689115606559</v>
      </c>
      <c r="F209">
        <v>0.7008621600081435</v>
      </c>
      <c r="G209">
        <v>0.72506927442919378</v>
      </c>
      <c r="H209" s="3">
        <v>396.22772993608896</v>
      </c>
      <c r="I209" s="3">
        <v>1.5698165345024957E-2</v>
      </c>
      <c r="J209" s="3">
        <v>-4.1132211517794885E-3</v>
      </c>
      <c r="K209" s="1">
        <v>2.4905743471553259E-3</v>
      </c>
      <c r="L209" s="1">
        <v>-128.61582077763003</v>
      </c>
      <c r="M209" s="1">
        <v>-311.30152080425495</v>
      </c>
      <c r="N209" s="1">
        <v>-439.91734158188501</v>
      </c>
      <c r="O209" s="1">
        <v>-439.91734158188501</v>
      </c>
    </row>
    <row r="210" spans="2:15">
      <c r="B210">
        <v>202</v>
      </c>
      <c r="D210">
        <v>871.6314515065327</v>
      </c>
      <c r="E210">
        <v>1370.7484513346469</v>
      </c>
      <c r="F210">
        <v>0.68274928439452176</v>
      </c>
      <c r="G210">
        <v>0.73071770293048799</v>
      </c>
      <c r="H210" s="3">
        <v>405.21953561530631</v>
      </c>
      <c r="I210" s="3">
        <v>3.2742318414931401E-2</v>
      </c>
      <c r="J210" s="3">
        <v>1.2481341634166084E-2</v>
      </c>
      <c r="K210" s="1">
        <v>1.9235000561087859E-2</v>
      </c>
      <c r="L210" s="1">
        <v>-129.20893349969569</v>
      </c>
      <c r="M210" s="1">
        <v>-250.45787099209161</v>
      </c>
      <c r="N210" s="1">
        <v>-379.66680449178727</v>
      </c>
      <c r="O210" s="1">
        <v>-379.66680449178727</v>
      </c>
    </row>
    <row r="211" spans="2:15">
      <c r="B211">
        <v>203</v>
      </c>
      <c r="D211">
        <v>730.75304713470814</v>
      </c>
      <c r="E211">
        <v>1224.443953062256</v>
      </c>
      <c r="F211">
        <v>0.70027533602909675</v>
      </c>
      <c r="G211">
        <v>0.73456065646702462</v>
      </c>
      <c r="H211" s="3">
        <v>408.36107836705804</v>
      </c>
      <c r="I211" s="3">
        <v>2.4331071785036046E-2</v>
      </c>
      <c r="J211" s="3">
        <v>3.9130178666831467E-3</v>
      </c>
      <c r="K211" s="1">
        <v>1.0719035839467447E-2</v>
      </c>
      <c r="L211" s="1">
        <v>-212.84990932972471</v>
      </c>
      <c r="M211" s="1">
        <v>-343.62081382777001</v>
      </c>
      <c r="N211" s="1">
        <v>-556.4707231574946</v>
      </c>
      <c r="O211" s="1">
        <v>-556.47072315749472</v>
      </c>
    </row>
    <row r="212" spans="2:15">
      <c r="B212">
        <v>204</v>
      </c>
      <c r="D212">
        <v>1138.9440021470837</v>
      </c>
      <c r="E212">
        <v>1619.3654209894933</v>
      </c>
      <c r="F212">
        <v>0.69594975072427601</v>
      </c>
      <c r="G212">
        <v>0.7274056957226458</v>
      </c>
      <c r="H212" s="3">
        <v>391.52760300282807</v>
      </c>
      <c r="I212" s="3">
        <v>2.2128435083855431E-2</v>
      </c>
      <c r="J212" s="3">
        <v>2.5520549337140278E-3</v>
      </c>
      <c r="K212" s="1">
        <v>9.0775149837611629E-3</v>
      </c>
      <c r="L212" s="1">
        <v>-38.644146693808452</v>
      </c>
      <c r="M212" s="1">
        <v>-263.67559624021334</v>
      </c>
      <c r="N212" s="1">
        <v>-302.31974293402186</v>
      </c>
      <c r="O212" s="1">
        <v>-302.3197429340218</v>
      </c>
    </row>
    <row r="213" spans="2:15">
      <c r="B213">
        <v>205</v>
      </c>
      <c r="D213">
        <v>837.85987736896163</v>
      </c>
      <c r="E213">
        <v>1361.5274234430744</v>
      </c>
      <c r="F213">
        <v>0.68915835374812762</v>
      </c>
      <c r="G213">
        <v>0.7226396668555285</v>
      </c>
      <c r="H213" s="3">
        <v>423.05864266784977</v>
      </c>
      <c r="I213" s="3">
        <v>2.2845801564802124E-2</v>
      </c>
      <c r="J213" s="3">
        <v>1.6928694314096368E-3</v>
      </c>
      <c r="K213" s="1">
        <v>8.7438468092071314E-3</v>
      </c>
      <c r="L213" s="1">
        <v>-162.87246241424049</v>
      </c>
      <c r="M213" s="1">
        <v>-333.25781415796547</v>
      </c>
      <c r="N213" s="1">
        <v>-496.13027657220601</v>
      </c>
      <c r="O213" s="1">
        <v>-496.13027657220596</v>
      </c>
    </row>
    <row r="214" spans="2:15">
      <c r="B214">
        <v>206</v>
      </c>
      <c r="D214">
        <v>1014.516707678138</v>
      </c>
      <c r="E214">
        <v>1526.2120705738516</v>
      </c>
      <c r="F214">
        <v>0.6909477330483077</v>
      </c>
      <c r="G214">
        <v>0.71399236211878836</v>
      </c>
      <c r="H214" s="3">
        <v>422.01293708884839</v>
      </c>
      <c r="I214" s="3">
        <v>1.6157853762088246E-2</v>
      </c>
      <c r="J214" s="3">
        <v>-4.9427930923541703E-3</v>
      </c>
      <c r="K214" s="1">
        <v>2.0907558591266358E-3</v>
      </c>
      <c r="L214" s="1">
        <v>-204.74046356959704</v>
      </c>
      <c r="M214" s="1">
        <v>-321.08237000191065</v>
      </c>
      <c r="N214" s="1">
        <v>-525.82283357150766</v>
      </c>
      <c r="O214" s="1">
        <v>-525.82283357150766</v>
      </c>
    </row>
    <row r="215" spans="2:15">
      <c r="B215">
        <v>207</v>
      </c>
      <c r="D215">
        <v>887.85656312883259</v>
      </c>
      <c r="E215">
        <v>1380.1894846122875</v>
      </c>
      <c r="F215">
        <v>0.67988134216827834</v>
      </c>
      <c r="G215">
        <v>0.72053319078364109</v>
      </c>
      <c r="H215" s="3">
        <v>389.821450718449</v>
      </c>
      <c r="I215" s="3">
        <v>2.7626451782012708E-2</v>
      </c>
      <c r="J215" s="3">
        <v>8.1353792460902574E-3</v>
      </c>
      <c r="K215" s="1">
        <v>1.4632403424731074E-2</v>
      </c>
      <c r="L215" s="1">
        <v>-224.21971547171893</v>
      </c>
      <c r="M215" s="1">
        <v>-248.52072069083249</v>
      </c>
      <c r="N215" s="1">
        <v>-472.74043616255148</v>
      </c>
      <c r="O215" s="1">
        <v>-472.74043616255142</v>
      </c>
    </row>
    <row r="216" spans="2:15">
      <c r="B216">
        <v>208</v>
      </c>
      <c r="D216">
        <v>1034.7730199541556</v>
      </c>
      <c r="E216">
        <v>1516.0769527945222</v>
      </c>
      <c r="F216">
        <v>0.68182238409502416</v>
      </c>
      <c r="G216">
        <v>0.71927002997448541</v>
      </c>
      <c r="H216" s="3">
        <v>396.84989797260926</v>
      </c>
      <c r="I216" s="3">
        <v>2.7622158206808557E-2</v>
      </c>
      <c r="J216" s="3">
        <v>7.7796633081780933E-3</v>
      </c>
      <c r="K216" s="1">
        <v>1.4393828274388247E-2</v>
      </c>
      <c r="L216" s="1">
        <v>-343.0812676479602</v>
      </c>
      <c r="M216" s="1">
        <v>-346.07505313748783</v>
      </c>
      <c r="N216" s="1">
        <v>-689.15632078544797</v>
      </c>
      <c r="O216" s="1">
        <v>-689.15632078544809</v>
      </c>
    </row>
    <row r="217" spans="2:15">
      <c r="B217">
        <v>209</v>
      </c>
      <c r="D217">
        <v>821.05181281813702</v>
      </c>
      <c r="E217">
        <v>1340.3993914115324</v>
      </c>
      <c r="F217">
        <v>0.70465445761563672</v>
      </c>
      <c r="G217">
        <v>0.72762700129961511</v>
      </c>
      <c r="H217" s="3">
        <v>403.80513948685604</v>
      </c>
      <c r="I217" s="3">
        <v>1.5840195767447596E-2</v>
      </c>
      <c r="J217" s="3">
        <v>-4.3500612068952046E-3</v>
      </c>
      <c r="K217" s="1">
        <v>2.3800244512190618E-3</v>
      </c>
      <c r="L217" s="1">
        <v>-287.33041778407846</v>
      </c>
      <c r="M217" s="1">
        <v>-323.21138834185405</v>
      </c>
      <c r="N217" s="1">
        <v>-610.54180612593257</v>
      </c>
      <c r="O217" s="1">
        <v>-610.54180612593245</v>
      </c>
    </row>
    <row r="218" spans="2:15">
      <c r="B218">
        <v>210</v>
      </c>
      <c r="D218">
        <v>740.68368729747681</v>
      </c>
      <c r="E218">
        <v>1241.6199428169441</v>
      </c>
      <c r="F218">
        <v>0.69804208697754944</v>
      </c>
      <c r="G218">
        <v>0.73110922092117747</v>
      </c>
      <c r="H218" s="3">
        <v>419.46367699764011</v>
      </c>
      <c r="I218" s="3">
        <v>2.3449518601203666E-2</v>
      </c>
      <c r="J218" s="3">
        <v>2.4763347513216613E-3</v>
      </c>
      <c r="K218" s="1">
        <v>9.4673960346156622E-3</v>
      </c>
      <c r="L218" s="1">
        <v>-475.47485259363344</v>
      </c>
      <c r="M218" s="1">
        <v>-399.39048338516852</v>
      </c>
      <c r="N218" s="1">
        <v>-874.86533597880202</v>
      </c>
      <c r="O218" s="1">
        <v>-874.86533597880202</v>
      </c>
    </row>
    <row r="219" spans="2:15">
      <c r="B219">
        <v>211</v>
      </c>
      <c r="D219">
        <v>1069.3378091582395</v>
      </c>
      <c r="E219">
        <v>1556.3198085797537</v>
      </c>
      <c r="F219">
        <v>0.69663700062757294</v>
      </c>
      <c r="G219">
        <v>0.73054735305428375</v>
      </c>
      <c r="H219" s="3">
        <v>401.05052765332221</v>
      </c>
      <c r="I219" s="3">
        <v>2.4609867308048577E-2</v>
      </c>
      <c r="J219" s="3">
        <v>4.5573409253824651E-3</v>
      </c>
      <c r="K219" s="1">
        <v>1.124151638627117E-2</v>
      </c>
      <c r="L219" s="1">
        <v>-451.79200584932687</v>
      </c>
      <c r="M219" s="1">
        <v>-423.26817241132301</v>
      </c>
      <c r="N219" s="1">
        <v>-875.06017826064999</v>
      </c>
      <c r="O219" s="1">
        <v>-875.06017826064988</v>
      </c>
    </row>
    <row r="220" spans="2:15">
      <c r="B220">
        <v>212</v>
      </c>
      <c r="D220">
        <v>925.33238131311509</v>
      </c>
      <c r="E220">
        <v>1378.5876020481433</v>
      </c>
      <c r="F220">
        <v>0.6915265918430139</v>
      </c>
      <c r="G220">
        <v>0.72758407856077767</v>
      </c>
      <c r="H220" s="3">
        <v>375.95365774180465</v>
      </c>
      <c r="I220" s="3">
        <v>2.5331095468377831E-2</v>
      </c>
      <c r="J220" s="3">
        <v>6.5334125812876002E-3</v>
      </c>
      <c r="K220" s="1">
        <v>1.2799306876984344E-2</v>
      </c>
      <c r="L220" s="1">
        <v>-378.54262877416221</v>
      </c>
      <c r="M220" s="1">
        <v>-187.82671404180894</v>
      </c>
      <c r="N220" s="1">
        <v>-566.36934281597109</v>
      </c>
      <c r="O220" s="1">
        <v>-566.36934281597109</v>
      </c>
    </row>
    <row r="221" spans="2:15">
      <c r="B221">
        <v>213</v>
      </c>
      <c r="D221">
        <v>713.55870992745122</v>
      </c>
      <c r="E221">
        <v>1194.6161048673584</v>
      </c>
      <c r="F221">
        <v>0.68939876138740075</v>
      </c>
      <c r="G221">
        <v>0.7302585749485585</v>
      </c>
      <c r="H221" s="3">
        <v>405.59212344940261</v>
      </c>
      <c r="I221" s="3">
        <v>3.0303981809434773E-2</v>
      </c>
      <c r="J221" s="3">
        <v>1.0024375636964643E-2</v>
      </c>
      <c r="K221" s="1">
        <v>1.6784244361121352E-2</v>
      </c>
      <c r="L221" s="1">
        <v>-243.83127754467534</v>
      </c>
      <c r="M221" s="1">
        <v>-446.54216941188173</v>
      </c>
      <c r="N221" s="1">
        <v>-690.37344695655725</v>
      </c>
      <c r="O221" s="1">
        <v>-690.37344695655702</v>
      </c>
    </row>
    <row r="222" spans="2:15">
      <c r="B222">
        <v>214</v>
      </c>
      <c r="D222">
        <v>921.47287820176143</v>
      </c>
      <c r="E222">
        <v>1390.7813808993303</v>
      </c>
      <c r="F222">
        <v>0.69456879458394627</v>
      </c>
      <c r="G222">
        <v>0.73633620551273538</v>
      </c>
      <c r="H222" s="3">
        <v>407.61998332096738</v>
      </c>
      <c r="I222" s="3">
        <v>3.2287498917965438E-2</v>
      </c>
      <c r="J222" s="3">
        <v>1.1906499751917068E-2</v>
      </c>
      <c r="K222" s="1">
        <v>1.8700166140599859E-2</v>
      </c>
      <c r="L222" s="1">
        <v>-196.94159990831136</v>
      </c>
      <c r="M222" s="1">
        <v>-384.4612701555684</v>
      </c>
      <c r="N222" s="1">
        <v>-581.40287006387973</v>
      </c>
      <c r="O222" s="1">
        <v>-581.40287006387973</v>
      </c>
    </row>
    <row r="223" spans="2:15">
      <c r="B223">
        <v>215</v>
      </c>
      <c r="D223">
        <v>891.43046033939231</v>
      </c>
      <c r="E223">
        <v>1380.3487765907298</v>
      </c>
      <c r="F223">
        <v>0.68905822308944453</v>
      </c>
      <c r="G223">
        <v>0.71680452638304726</v>
      </c>
      <c r="H223" s="3">
        <v>395.51200155550532</v>
      </c>
      <c r="I223" s="3">
        <v>1.9811503183883587E-2</v>
      </c>
      <c r="J223" s="3">
        <v>3.5903106108320371E-5</v>
      </c>
      <c r="K223" s="1">
        <v>6.6277697987000752E-3</v>
      </c>
      <c r="L223" s="1">
        <v>-167.32118534144814</v>
      </c>
      <c r="M223" s="1">
        <v>-379.65999851336676</v>
      </c>
      <c r="N223" s="1">
        <v>-546.98118385481484</v>
      </c>
      <c r="O223" s="1">
        <v>-546.98118385481484</v>
      </c>
    </row>
    <row r="224" spans="2:15">
      <c r="B224">
        <v>216</v>
      </c>
      <c r="D224">
        <v>935.57308450049231</v>
      </c>
      <c r="E224">
        <v>1423.8907778971632</v>
      </c>
      <c r="F224">
        <v>0.67673996814892157</v>
      </c>
      <c r="G224">
        <v>0.72343131423621954</v>
      </c>
      <c r="H224" s="3">
        <v>393.07817187562205</v>
      </c>
      <c r="I224" s="3">
        <v>3.1842906055780544E-2</v>
      </c>
      <c r="J224" s="3">
        <v>1.2188997461999442E-2</v>
      </c>
      <c r="K224" s="1">
        <v>1.8740300326593143E-2</v>
      </c>
      <c r="L224" s="1">
        <v>-194.91513075871515</v>
      </c>
      <c r="M224" s="1">
        <v>-285.34461028772779</v>
      </c>
      <c r="N224" s="1">
        <v>-480.25974104644297</v>
      </c>
      <c r="O224" s="1">
        <v>-480.25974104644297</v>
      </c>
    </row>
    <row r="225" spans="2:15">
      <c r="B225">
        <v>217</v>
      </c>
      <c r="D225">
        <v>873.95044000216808</v>
      </c>
      <c r="E225">
        <v>1345.76731948478</v>
      </c>
      <c r="F225">
        <v>0.68927761887630634</v>
      </c>
      <c r="G225">
        <v>0.73231584895363233</v>
      </c>
      <c r="H225" s="3">
        <v>385.58389362373435</v>
      </c>
      <c r="I225" s="3">
        <v>3.0961559012638164E-2</v>
      </c>
      <c r="J225" s="3">
        <v>1.1682364331451443E-2</v>
      </c>
      <c r="K225" s="1">
        <v>1.8108762558513684E-2</v>
      </c>
      <c r="L225" s="1">
        <v>-276.04351004978139</v>
      </c>
      <c r="M225" s="1">
        <v>-389.05612588129787</v>
      </c>
      <c r="N225" s="1">
        <v>-665.09963593107932</v>
      </c>
      <c r="O225" s="1">
        <v>-665.09963593107932</v>
      </c>
    </row>
    <row r="226" spans="2:15">
      <c r="B226">
        <v>218</v>
      </c>
      <c r="D226">
        <v>889.39963249257619</v>
      </c>
      <c r="E226">
        <v>1375.0959642122516</v>
      </c>
      <c r="F226">
        <v>0.68313470253045527</v>
      </c>
      <c r="G226">
        <v>0.72641595370575984</v>
      </c>
      <c r="H226" s="3">
        <v>390.86981494839932</v>
      </c>
      <c r="I226" s="3">
        <v>2.9653575331169444E-2</v>
      </c>
      <c r="J226" s="3">
        <v>1.0110084583749478E-2</v>
      </c>
      <c r="K226" s="1">
        <v>1.6624581499556132E-2</v>
      </c>
      <c r="L226" s="1">
        <v>-216.30509553571622</v>
      </c>
      <c r="M226" s="1">
        <v>-351.23634913157355</v>
      </c>
      <c r="N226" s="1">
        <v>-567.54144466728985</v>
      </c>
      <c r="O226" s="1">
        <v>-567.54144466728974</v>
      </c>
    </row>
    <row r="227" spans="2:15">
      <c r="B227">
        <v>219</v>
      </c>
      <c r="D227">
        <v>699.03611202399713</v>
      </c>
      <c r="E227">
        <v>1192.7246769942271</v>
      </c>
      <c r="F227">
        <v>0.69059804955268267</v>
      </c>
      <c r="G227">
        <v>0.73380860742314435</v>
      </c>
      <c r="H227" s="3">
        <v>402.3921197252983</v>
      </c>
      <c r="I227" s="3">
        <v>3.0203550942422521E-2</v>
      </c>
      <c r="J227" s="3">
        <v>1.0083944956157605E-2</v>
      </c>
      <c r="K227" s="1">
        <v>1.6790480284912576E-2</v>
      </c>
      <c r="L227" s="1">
        <v>-257.5472704928552</v>
      </c>
      <c r="M227" s="1">
        <v>-255.20674712617659</v>
      </c>
      <c r="N227" s="1">
        <v>-512.75401761903186</v>
      </c>
      <c r="O227" s="1">
        <v>-512.75401761903186</v>
      </c>
    </row>
    <row r="228" spans="2:15">
      <c r="B228">
        <v>220</v>
      </c>
      <c r="D228">
        <v>649.24418459181993</v>
      </c>
      <c r="E228">
        <v>1144.3923691461739</v>
      </c>
      <c r="F228">
        <v>0.69461985876506083</v>
      </c>
      <c r="G228">
        <v>0.72515703071363558</v>
      </c>
      <c r="H228" s="3">
        <v>399.80796287438244</v>
      </c>
      <c r="I228" s="3">
        <v>2.1383888877529636E-2</v>
      </c>
      <c r="J228" s="3">
        <v>1.3934907338105165E-3</v>
      </c>
      <c r="K228" s="1">
        <v>8.0569567817168897E-3</v>
      </c>
      <c r="L228" s="1">
        <v>-373.03341489006203</v>
      </c>
      <c r="M228" s="1">
        <v>-316.6516393582603</v>
      </c>
      <c r="N228" s="1">
        <v>-689.68505424832233</v>
      </c>
      <c r="O228" s="1">
        <v>-689.68505424832233</v>
      </c>
    </row>
    <row r="229" spans="2:15">
      <c r="B229">
        <v>221</v>
      </c>
      <c r="D229">
        <v>732.49791222326178</v>
      </c>
      <c r="E229">
        <v>1259.889763392682</v>
      </c>
      <c r="F229">
        <v>0.69174655660621986</v>
      </c>
      <c r="G229">
        <v>0.72428287827584392</v>
      </c>
      <c r="H229" s="3">
        <v>430.8611055379622</v>
      </c>
      <c r="I229" s="3">
        <v>2.1895632273468031E-2</v>
      </c>
      <c r="J229" s="3">
        <v>3.5257699656991714E-4</v>
      </c>
      <c r="K229" s="1">
        <v>7.5335954222026224E-3</v>
      </c>
      <c r="L229" s="1">
        <v>-216.55452685168848</v>
      </c>
      <c r="M229" s="1">
        <v>-421.87640137377451</v>
      </c>
      <c r="N229" s="1">
        <v>-638.43092822546305</v>
      </c>
      <c r="O229" s="1">
        <v>-638.43092822546305</v>
      </c>
    </row>
    <row r="230" spans="2:15">
      <c r="B230">
        <v>222</v>
      </c>
      <c r="D230">
        <v>906.41984671117768</v>
      </c>
      <c r="E230">
        <v>1378.2809671358436</v>
      </c>
      <c r="F230">
        <v>0.67962031133324796</v>
      </c>
      <c r="G230">
        <v>0.7148665706666385</v>
      </c>
      <c r="H230" s="3">
        <v>382.19325689288752</v>
      </c>
      <c r="I230" s="3">
        <v>2.4023160393791224E-2</v>
      </c>
      <c r="J230" s="3">
        <v>4.9134975491468488E-3</v>
      </c>
      <c r="K230" s="1">
        <v>1.1283385164028308E-2</v>
      </c>
      <c r="L230" s="1">
        <v>-460.45264608719719</v>
      </c>
      <c r="M230" s="1">
        <v>-422.90315758165673</v>
      </c>
      <c r="N230" s="1">
        <v>-883.35580366885392</v>
      </c>
      <c r="O230" s="1">
        <v>-883.35580366885392</v>
      </c>
    </row>
    <row r="231" spans="2:15">
      <c r="B231">
        <v>223</v>
      </c>
      <c r="D231">
        <v>960.78369389424938</v>
      </c>
      <c r="E231">
        <v>1430.8445162556893</v>
      </c>
      <c r="F231">
        <v>0.6912464009542465</v>
      </c>
      <c r="G231">
        <v>0.72328852628895846</v>
      </c>
      <c r="H231" s="3">
        <v>369.49716320097656</v>
      </c>
      <c r="I231" s="3">
        <v>2.2124653328644717E-2</v>
      </c>
      <c r="J231" s="3">
        <v>3.6497951685958881E-3</v>
      </c>
      <c r="K231" s="1">
        <v>9.8080812219454982E-3</v>
      </c>
      <c r="L231" s="1">
        <v>-140.68076534225355</v>
      </c>
      <c r="M231" s="1">
        <v>-390.78830438827526</v>
      </c>
      <c r="N231" s="1">
        <v>-531.46906973052887</v>
      </c>
      <c r="O231" s="1">
        <v>-531.46906973052887</v>
      </c>
    </row>
    <row r="232" spans="2:15">
      <c r="B232">
        <v>224</v>
      </c>
      <c r="D232">
        <v>971.83332777490273</v>
      </c>
      <c r="E232">
        <v>1503.0639813792184</v>
      </c>
      <c r="F232">
        <v>0.69719159264062025</v>
      </c>
      <c r="G232">
        <v>0.72424792633653112</v>
      </c>
      <c r="H232" s="3">
        <v>429.88648278529155</v>
      </c>
      <c r="I232" s="3">
        <v>1.9561561901295346E-2</v>
      </c>
      <c r="J232" s="3">
        <v>-1.9327622379692357E-3</v>
      </c>
      <c r="K232" s="1">
        <v>5.2320124751189592E-3</v>
      </c>
      <c r="L232" s="1">
        <v>-45.877675602872834</v>
      </c>
      <c r="M232" s="1">
        <v>-375.15838901606469</v>
      </c>
      <c r="N232" s="1">
        <v>-421.03606461893764</v>
      </c>
      <c r="O232" s="1">
        <v>-421.03606461893753</v>
      </c>
    </row>
    <row r="233" spans="2:15">
      <c r="B233">
        <v>225</v>
      </c>
      <c r="D233">
        <v>863.68157781115838</v>
      </c>
      <c r="E233">
        <v>1381.6286834180648</v>
      </c>
      <c r="F233">
        <v>0.69101085044456212</v>
      </c>
      <c r="G233">
        <v>0.72198234350160306</v>
      </c>
      <c r="H233" s="3">
        <v>409.86506826061179</v>
      </c>
      <c r="I233" s="3">
        <v>2.0347827602210516E-2</v>
      </c>
      <c r="J233" s="3">
        <v>-1.4542581082007192E-4</v>
      </c>
      <c r="K233" s="1">
        <v>6.6856586601901254E-3</v>
      </c>
      <c r="L233" s="1">
        <v>-122.06429206548333</v>
      </c>
      <c r="M233" s="1">
        <v>-243.24571382658769</v>
      </c>
      <c r="N233" s="1">
        <v>-365.31000589207099</v>
      </c>
      <c r="O233" s="1">
        <v>-365.31000589207099</v>
      </c>
    </row>
    <row r="234" spans="2:15">
      <c r="B234">
        <v>226</v>
      </c>
      <c r="D234">
        <v>759.94437830541983</v>
      </c>
      <c r="E234">
        <v>1270.816176761004</v>
      </c>
      <c r="F234">
        <v>0.69580362630617276</v>
      </c>
      <c r="G234">
        <v>0.7262357855203363</v>
      </c>
      <c r="H234" s="3">
        <v>413.86955711137961</v>
      </c>
      <c r="I234" s="3">
        <v>2.089216755022669E-2</v>
      </c>
      <c r="J234" s="3">
        <v>1.9868969465770825E-4</v>
      </c>
      <c r="K234" s="1">
        <v>7.0965156465140362E-3</v>
      </c>
      <c r="L234" s="1">
        <v>-89.130346556747583</v>
      </c>
      <c r="M234" s="1">
        <v>-477.34007937395927</v>
      </c>
      <c r="N234" s="1">
        <v>-566.47042593070682</v>
      </c>
      <c r="O234" s="1">
        <v>-566.47042593070682</v>
      </c>
    </row>
    <row r="235" spans="2:15">
      <c r="B235">
        <v>227</v>
      </c>
      <c r="D235">
        <v>884.79672894307737</v>
      </c>
      <c r="E235">
        <v>1374.3440863125129</v>
      </c>
      <c r="F235">
        <v>0.69533668186640873</v>
      </c>
      <c r="G235">
        <v>0.72437635995486838</v>
      </c>
      <c r="H235" s="3">
        <v>393.32250955339947</v>
      </c>
      <c r="I235" s="3">
        <v>1.9999574284120546E-2</v>
      </c>
      <c r="J235" s="3">
        <v>3.3344880645057307E-4</v>
      </c>
      <c r="K235" s="1">
        <v>6.8888239656738973E-3</v>
      </c>
      <c r="L235" s="1">
        <v>-443.52517760109203</v>
      </c>
      <c r="M235" s="1">
        <v>-251.48139251971551</v>
      </c>
      <c r="N235" s="1">
        <v>-695.00657012080751</v>
      </c>
      <c r="O235" s="1">
        <v>-695.00657012080751</v>
      </c>
    </row>
    <row r="236" spans="2:15">
      <c r="B236">
        <v>228</v>
      </c>
      <c r="D236">
        <v>946.1583984240624</v>
      </c>
      <c r="E236">
        <v>1432.1753650501125</v>
      </c>
      <c r="F236">
        <v>0.68100045395260855</v>
      </c>
      <c r="G236">
        <v>0.72527908798456675</v>
      </c>
      <c r="H236" s="3">
        <v>402.43782649507358</v>
      </c>
      <c r="I236" s="3">
        <v>3.1252205226001799E-2</v>
      </c>
      <c r="J236" s="3">
        <v>1.1130313901248121E-2</v>
      </c>
      <c r="K236" s="1">
        <v>1.7837611009499345E-2</v>
      </c>
      <c r="L236" s="1">
        <v>-355.05219116532783</v>
      </c>
      <c r="M236" s="1">
        <v>-223.64205493883276</v>
      </c>
      <c r="N236" s="1">
        <v>-578.69424610416058</v>
      </c>
      <c r="O236" s="1">
        <v>-578.69424610416058</v>
      </c>
    </row>
    <row r="237" spans="2:15">
      <c r="B237">
        <v>229</v>
      </c>
      <c r="D237">
        <v>971.28310318856143</v>
      </c>
      <c r="E237">
        <v>1470.1068088738448</v>
      </c>
      <c r="F237">
        <v>0.69814052389045589</v>
      </c>
      <c r="G237">
        <v>0.72187099947198186</v>
      </c>
      <c r="H237" s="3">
        <v>402.76311024025404</v>
      </c>
      <c r="I237" s="3">
        <v>1.6524029776211029E-2</v>
      </c>
      <c r="J237" s="3">
        <v>-3.6141257358016758E-3</v>
      </c>
      <c r="K237" s="1">
        <v>3.0985927682025596E-3</v>
      </c>
      <c r="L237" s="1">
        <v>-144.09467554349297</v>
      </c>
      <c r="M237" s="1">
        <v>-271.50950330382102</v>
      </c>
      <c r="N237" s="1">
        <v>-415.60417884731402</v>
      </c>
      <c r="O237" s="1">
        <v>-415.60417884731396</v>
      </c>
    </row>
    <row r="238" spans="2:15">
      <c r="B238">
        <v>230</v>
      </c>
      <c r="D238">
        <v>859.89352434929776</v>
      </c>
      <c r="E238">
        <v>1369.1527773010062</v>
      </c>
      <c r="F238">
        <v>0.6901949353995589</v>
      </c>
      <c r="G238">
        <v>0.71982530172668002</v>
      </c>
      <c r="H238" s="3">
        <v>415.39679997052093</v>
      </c>
      <c r="I238" s="3">
        <v>2.1222008028703325E-2</v>
      </c>
      <c r="J238" s="3">
        <v>4.5216803017728013E-4</v>
      </c>
      <c r="K238" s="1">
        <v>7.37544802968596E-3</v>
      </c>
      <c r="L238" s="1">
        <v>22.196028402895607</v>
      </c>
      <c r="M238" s="1">
        <v>-329.77078446045584</v>
      </c>
      <c r="N238" s="1">
        <v>-307.57475605756025</v>
      </c>
      <c r="O238" s="1">
        <v>-307.57475605756025</v>
      </c>
    </row>
    <row r="239" spans="2:15">
      <c r="B239">
        <v>231</v>
      </c>
      <c r="D239">
        <v>935.25239134761318</v>
      </c>
      <c r="E239">
        <v>1471.4194646495284</v>
      </c>
      <c r="F239">
        <v>0.68432315658551035</v>
      </c>
      <c r="G239">
        <v>0.70431830401895923</v>
      </c>
      <c r="H239" s="3">
        <v>455.3721675602925</v>
      </c>
      <c r="I239" s="3">
        <v>1.4967331339186601E-2</v>
      </c>
      <c r="J239" s="3">
        <v>-7.8012770388280247E-3</v>
      </c>
      <c r="K239" s="1">
        <v>-2.1174091282314886E-4</v>
      </c>
      <c r="L239" s="1">
        <v>-261.18069078557164</v>
      </c>
      <c r="M239" s="1">
        <v>-328.39177008143525</v>
      </c>
      <c r="N239" s="1">
        <v>-589.57246086700684</v>
      </c>
      <c r="O239" s="1">
        <v>-589.57246086700684</v>
      </c>
    </row>
    <row r="240" spans="2:15">
      <c r="B240">
        <v>232</v>
      </c>
      <c r="D240">
        <v>931.46321939785798</v>
      </c>
      <c r="E240">
        <v>1403.6766378854327</v>
      </c>
      <c r="F240">
        <v>0.69214414691398862</v>
      </c>
      <c r="G240">
        <v>0.73460627278158386</v>
      </c>
      <c r="H240" s="3">
        <v>387.47720810102317</v>
      </c>
      <c r="I240" s="3">
        <v>2.9753307776873419E-2</v>
      </c>
      <c r="J240" s="3">
        <v>1.037944737182226E-2</v>
      </c>
      <c r="K240" s="1">
        <v>1.6837400840172649E-2</v>
      </c>
      <c r="L240" s="1">
        <v>-365.06414565340265</v>
      </c>
      <c r="M240" s="1">
        <v>-355.62991299392218</v>
      </c>
      <c r="N240" s="1">
        <v>-720.69405864732494</v>
      </c>
      <c r="O240" s="1">
        <v>-720.69405864732482</v>
      </c>
    </row>
    <row r="241" spans="2:15">
      <c r="B241">
        <v>233</v>
      </c>
      <c r="D241">
        <v>783.52465333042881</v>
      </c>
      <c r="E241">
        <v>1272.4350989431073</v>
      </c>
      <c r="F241">
        <v>0.70445974806223699</v>
      </c>
      <c r="G241">
        <v>0.7379096327314566</v>
      </c>
      <c r="H241" s="3">
        <v>415.0726077210947</v>
      </c>
      <c r="I241" s="3">
        <v>2.5287380637627341E-2</v>
      </c>
      <c r="J241" s="3">
        <v>4.5337502515726096E-3</v>
      </c>
      <c r="K241" s="1">
        <v>1.1451627046924187E-2</v>
      </c>
      <c r="L241" s="1">
        <v>-156.12815584112332</v>
      </c>
      <c r="M241" s="1">
        <v>-314.15833296382976</v>
      </c>
      <c r="N241" s="1">
        <v>-470.28648880495308</v>
      </c>
      <c r="O241" s="1">
        <v>-470.28648880495308</v>
      </c>
    </row>
    <row r="242" spans="2:15">
      <c r="B242">
        <v>234</v>
      </c>
      <c r="D242">
        <v>742.91193202050283</v>
      </c>
      <c r="E242">
        <v>1219.8852583188468</v>
      </c>
      <c r="F242">
        <v>0.68005619459984068</v>
      </c>
      <c r="G242">
        <v>0.72073000447949764</v>
      </c>
      <c r="H242" s="3">
        <v>394.50753206148022</v>
      </c>
      <c r="I242" s="3">
        <v>3.0644896122741114E-2</v>
      </c>
      <c r="J242" s="3">
        <v>1.0919519519667104E-2</v>
      </c>
      <c r="K242" s="1">
        <v>1.7494645054025107E-2</v>
      </c>
      <c r="L242" s="1">
        <v>-320.56957374847553</v>
      </c>
      <c r="M242" s="1">
        <v>-156.12623801143098</v>
      </c>
      <c r="N242" s="1">
        <v>-476.69581175990652</v>
      </c>
      <c r="O242" s="1">
        <v>-476.69581175990652</v>
      </c>
    </row>
    <row r="243" spans="2:15">
      <c r="B243">
        <v>235</v>
      </c>
      <c r="D243">
        <v>793.88921949538235</v>
      </c>
      <c r="E243">
        <v>1268.43433430186</v>
      </c>
      <c r="F243">
        <v>0.69001455203896334</v>
      </c>
      <c r="G243">
        <v>0.72487185968316514</v>
      </c>
      <c r="H243" s="3">
        <v>386.46244025449107</v>
      </c>
      <c r="I243" s="3">
        <v>2.4495318216736811E-2</v>
      </c>
      <c r="J243" s="3">
        <v>5.1721962040122589E-3</v>
      </c>
      <c r="K243" s="1">
        <v>1.1613236874920442E-2</v>
      </c>
      <c r="L243" s="1">
        <v>-309.54238471986702</v>
      </c>
      <c r="M243" s="1">
        <v>-344.57724753989947</v>
      </c>
      <c r="N243" s="1">
        <v>-654.1196322597666</v>
      </c>
      <c r="O243" s="1">
        <v>-654.11963225976649</v>
      </c>
    </row>
    <row r="244" spans="2:15">
      <c r="B244">
        <v>236</v>
      </c>
      <c r="D244">
        <v>792.7242766002812</v>
      </c>
      <c r="E244">
        <v>1280.4033572729295</v>
      </c>
      <c r="F244">
        <v>0.69326276825208277</v>
      </c>
      <c r="G244">
        <v>0.72254971193845741</v>
      </c>
      <c r="H244" s="3">
        <v>402.34718699717786</v>
      </c>
      <c r="I244" s="3">
        <v>2.1259693175641355E-2</v>
      </c>
      <c r="J244" s="3">
        <v>1.1423338257824621E-3</v>
      </c>
      <c r="K244" s="1">
        <v>7.8481202757354259E-3</v>
      </c>
      <c r="L244" s="1">
        <v>-383.43350271092083</v>
      </c>
      <c r="M244" s="1">
        <v>-271.88153135718574</v>
      </c>
      <c r="N244" s="1">
        <v>-655.31503406810657</v>
      </c>
      <c r="O244" s="1">
        <v>-655.31503406810657</v>
      </c>
    </row>
    <row r="245" spans="2:15">
      <c r="B245">
        <v>237</v>
      </c>
      <c r="D245">
        <v>1039.0686062326415</v>
      </c>
      <c r="E245">
        <v>1523.9556048810148</v>
      </c>
      <c r="F245">
        <v>0.69280620970074447</v>
      </c>
      <c r="G245">
        <v>0.73233478330862478</v>
      </c>
      <c r="H245" s="3">
        <v>392.7867153403547</v>
      </c>
      <c r="I245" s="3">
        <v>2.7675194344863284E-2</v>
      </c>
      <c r="J245" s="3">
        <v>8.0358585778455491E-3</v>
      </c>
      <c r="K245" s="1">
        <v>1.4582303833518127E-2</v>
      </c>
      <c r="L245" s="1">
        <v>-26.133259500502469</v>
      </c>
      <c r="M245" s="1">
        <v>-428.18627268621259</v>
      </c>
      <c r="N245" s="1">
        <v>-454.31953218671509</v>
      </c>
      <c r="O245" s="1">
        <v>-454.31953218671504</v>
      </c>
    </row>
    <row r="246" spans="2:15">
      <c r="B246">
        <v>238</v>
      </c>
      <c r="D246">
        <v>892.364714079485</v>
      </c>
      <c r="E246">
        <v>1366.12519673674</v>
      </c>
      <c r="F246">
        <v>0.69374842600342435</v>
      </c>
      <c r="G246">
        <v>0.72692135249550871</v>
      </c>
      <c r="H246" s="3">
        <v>384.87280195539466</v>
      </c>
      <c r="I246" s="3">
        <v>2.3877317534380358E-2</v>
      </c>
      <c r="J246" s="3">
        <v>4.6336774366106254E-3</v>
      </c>
      <c r="K246" s="1">
        <v>1.1048224135867202E-2</v>
      </c>
      <c r="L246" s="1">
        <v>-319.78076911374205</v>
      </c>
      <c r="M246" s="1">
        <v>-364.66639177977459</v>
      </c>
      <c r="N246" s="1">
        <v>-684.44716089351664</v>
      </c>
      <c r="O246" s="1">
        <v>-684.44716089351664</v>
      </c>
    </row>
    <row r="247" spans="2:15">
      <c r="B247">
        <v>239</v>
      </c>
      <c r="D247">
        <v>932.50383989314537</v>
      </c>
      <c r="E247">
        <v>1415.1613210490514</v>
      </c>
      <c r="F247">
        <v>0.68039690339444192</v>
      </c>
      <c r="G247">
        <v>0.72307737689384044</v>
      </c>
      <c r="H247" s="3">
        <v>397.80015636978789</v>
      </c>
      <c r="I247" s="3">
        <v>3.110715282726198E-2</v>
      </c>
      <c r="J247" s="3">
        <v>1.1217145008772585E-2</v>
      </c>
      <c r="K247" s="1">
        <v>1.7847147614935714E-2</v>
      </c>
      <c r="L247" s="1">
        <v>-184.40534437702635</v>
      </c>
      <c r="M247" s="1">
        <v>-470.4088697815094</v>
      </c>
      <c r="N247" s="1">
        <v>-654.81421415853572</v>
      </c>
      <c r="O247" s="1">
        <v>-654.81421415853572</v>
      </c>
    </row>
    <row r="248" spans="2:15">
      <c r="B248">
        <v>240</v>
      </c>
      <c r="D248">
        <v>871.16842965421483</v>
      </c>
      <c r="E248">
        <v>1352.7055580599276</v>
      </c>
      <c r="F248">
        <v>0.68766373232259381</v>
      </c>
      <c r="G248">
        <v>0.71702498787547742</v>
      </c>
      <c r="H248" s="3">
        <v>387.30290852252853</v>
      </c>
      <c r="I248" s="3">
        <v>1.978346787670052E-2</v>
      </c>
      <c r="J248" s="3">
        <v>4.1832245057409762E-4</v>
      </c>
      <c r="K248" s="1">
        <v>6.8733709259495707E-3</v>
      </c>
      <c r="L248" s="1">
        <v>-363.39633249847452</v>
      </c>
      <c r="M248" s="1">
        <v>-283.68717000020064</v>
      </c>
      <c r="N248" s="1">
        <v>-647.08350249867522</v>
      </c>
      <c r="O248" s="1">
        <v>-647.08350249867522</v>
      </c>
    </row>
    <row r="249" spans="2:15">
      <c r="B249">
        <v>241</v>
      </c>
      <c r="D249">
        <v>685.94469843034335</v>
      </c>
      <c r="E249">
        <v>1179.4389629283942</v>
      </c>
      <c r="F249">
        <v>0.69872568276861347</v>
      </c>
      <c r="G249">
        <v>0.72716301883398204</v>
      </c>
      <c r="H249" s="3">
        <v>413.29714602811032</v>
      </c>
      <c r="I249" s="3">
        <v>2.1106729129922876E-2</v>
      </c>
      <c r="J249" s="3">
        <v>4.4187182851736229E-4</v>
      </c>
      <c r="K249" s="1">
        <v>7.3301575956525328E-3</v>
      </c>
      <c r="L249" s="1">
        <v>-309.54917446898878</v>
      </c>
      <c r="M249" s="1">
        <v>-279.38614838439281</v>
      </c>
      <c r="N249" s="1">
        <v>-588.93532285338154</v>
      </c>
      <c r="O249" s="1">
        <v>-588.93532285338165</v>
      </c>
    </row>
    <row r="250" spans="2:15">
      <c r="B250">
        <v>242</v>
      </c>
      <c r="D250">
        <v>814.88711809282609</v>
      </c>
      <c r="E250">
        <v>1316.7424486697796</v>
      </c>
      <c r="F250">
        <v>0.68085181441333353</v>
      </c>
      <c r="G250">
        <v>0.72826541005790724</v>
      </c>
      <c r="H250" s="3">
        <v>415.25736019021627</v>
      </c>
      <c r="I250" s="3">
        <v>3.4295842425856093E-2</v>
      </c>
      <c r="J250" s="3">
        <v>1.3532974416345281E-2</v>
      </c>
      <c r="K250" s="1">
        <v>2.0453930419515549E-2</v>
      </c>
      <c r="L250" s="1">
        <v>-393.76527808951306</v>
      </c>
      <c r="M250" s="1">
        <v>-476.89424868506518</v>
      </c>
      <c r="N250" s="1">
        <v>-870.65952677457813</v>
      </c>
      <c r="O250" s="1">
        <v>-870.65952677457824</v>
      </c>
    </row>
    <row r="251" spans="2:15">
      <c r="B251">
        <v>243</v>
      </c>
      <c r="D251">
        <v>870.90506262012184</v>
      </c>
      <c r="E251">
        <v>1329.9743596193532</v>
      </c>
      <c r="F251">
        <v>0.68283954791747348</v>
      </c>
      <c r="G251">
        <v>0.73536422387140998</v>
      </c>
      <c r="H251" s="3">
        <v>384.46519734747056</v>
      </c>
      <c r="I251" s="3">
        <v>3.8675923983131764E-2</v>
      </c>
      <c r="J251" s="3">
        <v>1.9452664115758238E-2</v>
      </c>
      <c r="K251" s="1">
        <v>2.5860417404882746E-2</v>
      </c>
      <c r="L251" s="1">
        <v>-269.23133243305386</v>
      </c>
      <c r="M251" s="1">
        <v>-229.18722333484368</v>
      </c>
      <c r="N251" s="1">
        <v>-498.4185557678976</v>
      </c>
      <c r="O251" s="1">
        <v>-498.41855576789754</v>
      </c>
    </row>
    <row r="252" spans="2:15">
      <c r="B252">
        <v>244</v>
      </c>
      <c r="D252">
        <v>952.40010453852904</v>
      </c>
      <c r="E252">
        <v>1447.6419711043914</v>
      </c>
      <c r="F252">
        <v>0.69592552860762313</v>
      </c>
      <c r="G252">
        <v>0.73162433316664932</v>
      </c>
      <c r="H252" s="3">
        <v>418.28757532093601</v>
      </c>
      <c r="I252" s="3">
        <v>2.6910370170333615E-2</v>
      </c>
      <c r="J252" s="3">
        <v>5.995991404286815E-3</v>
      </c>
      <c r="K252" s="1">
        <v>1.296745099296908E-2</v>
      </c>
      <c r="L252" s="1">
        <v>-413.46425435434514</v>
      </c>
      <c r="M252" s="1">
        <v>-330.00135017857394</v>
      </c>
      <c r="N252" s="1">
        <v>-743.46560453291909</v>
      </c>
      <c r="O252" s="1">
        <v>-743.46560453291909</v>
      </c>
    </row>
    <row r="253" spans="2:15">
      <c r="B253">
        <v>245</v>
      </c>
      <c r="D253">
        <v>828.51198861542389</v>
      </c>
      <c r="E253">
        <v>1324.6082832715169</v>
      </c>
      <c r="F253">
        <v>0.68834887474564477</v>
      </c>
      <c r="G253">
        <v>0.72824505413092977</v>
      </c>
      <c r="H253" s="3">
        <v>405.50762837805536</v>
      </c>
      <c r="I253" s="3">
        <v>2.8928826739132295E-2</v>
      </c>
      <c r="J253" s="3">
        <v>8.6534453202295226E-3</v>
      </c>
      <c r="K253" s="1">
        <v>1.5411905793197114E-2</v>
      </c>
      <c r="L253" s="1">
        <v>-299.53590120835497</v>
      </c>
      <c r="M253" s="1">
        <v>-419.67949511559704</v>
      </c>
      <c r="N253" s="1">
        <v>-719.21539632395184</v>
      </c>
      <c r="O253" s="1">
        <v>-719.21539632395206</v>
      </c>
    </row>
    <row r="254" spans="2:15">
      <c r="B254">
        <v>246</v>
      </c>
      <c r="D254">
        <v>934.16334430472739</v>
      </c>
      <c r="E254">
        <v>1387.3504026044027</v>
      </c>
      <c r="F254">
        <v>0.69079042586195583</v>
      </c>
      <c r="G254">
        <v>0.7374376842656204</v>
      </c>
      <c r="H254" s="3">
        <v>365.89684419830468</v>
      </c>
      <c r="I254" s="3">
        <v>3.1713825041656998E-2</v>
      </c>
      <c r="J254" s="3">
        <v>1.3418982831741762E-2</v>
      </c>
      <c r="K254" s="1">
        <v>1.9517263568380176E-2</v>
      </c>
      <c r="L254" s="1">
        <v>-230.4952009292335</v>
      </c>
      <c r="M254" s="1">
        <v>-261.7308953907372</v>
      </c>
      <c r="N254" s="1">
        <v>-492.22609631997068</v>
      </c>
      <c r="O254" s="1">
        <v>-492.22609631997068</v>
      </c>
    </row>
    <row r="255" spans="2:15">
      <c r="B255">
        <v>247</v>
      </c>
      <c r="D255">
        <v>757.95856381643569</v>
      </c>
      <c r="E255">
        <v>1230.7604813596377</v>
      </c>
      <c r="F255">
        <v>0.68969907996940605</v>
      </c>
      <c r="G255">
        <v>0.73145414194339586</v>
      </c>
      <c r="H255" s="3">
        <v>387.02010605280668</v>
      </c>
      <c r="I255" s="3">
        <v>3.0648709852604022E-2</v>
      </c>
      <c r="J255" s="3">
        <v>1.1297704549963688E-2</v>
      </c>
      <c r="K255" s="1">
        <v>1.7748039650843799E-2</v>
      </c>
      <c r="L255" s="1">
        <v>-193.42032738644576</v>
      </c>
      <c r="M255" s="1">
        <v>-331.84452203601955</v>
      </c>
      <c r="N255" s="1">
        <v>-525.26484942246532</v>
      </c>
      <c r="O255" s="1">
        <v>-525.26484942246532</v>
      </c>
    </row>
    <row r="256" spans="2:15">
      <c r="B256">
        <v>248</v>
      </c>
      <c r="D256">
        <v>1023.3374242795617</v>
      </c>
      <c r="E256">
        <v>1509.2731992338736</v>
      </c>
      <c r="F256">
        <v>0.6861704777294243</v>
      </c>
      <c r="G256">
        <v>0.71874593948281784</v>
      </c>
      <c r="H256" s="3">
        <v>383.05184052757824</v>
      </c>
      <c r="I256" s="3">
        <v>2.150386271750767E-2</v>
      </c>
      <c r="J256" s="3">
        <v>2.3512706911287574E-3</v>
      </c>
      <c r="K256" s="1">
        <v>8.7354680332550616E-3</v>
      </c>
      <c r="L256" s="1">
        <v>-169.25417578536016</v>
      </c>
      <c r="M256" s="1">
        <v>-328.31232568621198</v>
      </c>
      <c r="N256" s="1">
        <v>-497.56650147157217</v>
      </c>
      <c r="O256" s="1">
        <v>-497.56650147157211</v>
      </c>
    </row>
    <row r="257" spans="2:15">
      <c r="B257">
        <v>249</v>
      </c>
      <c r="D257">
        <v>935.50414278153039</v>
      </c>
      <c r="E257">
        <v>1421.8408542754953</v>
      </c>
      <c r="F257">
        <v>0.69175602017444426</v>
      </c>
      <c r="G257">
        <v>0.73317899999662173</v>
      </c>
      <c r="H257" s="3">
        <v>401.85832670333241</v>
      </c>
      <c r="I257" s="3">
        <v>2.9780637326133026E-2</v>
      </c>
      <c r="J257" s="3">
        <v>9.6877209909664065E-3</v>
      </c>
      <c r="K257" s="1">
        <v>1.6385359769355276E-2</v>
      </c>
      <c r="L257" s="1">
        <v>-144.05788448986314</v>
      </c>
      <c r="M257" s="1">
        <v>-272.97703329102671</v>
      </c>
      <c r="N257" s="1">
        <v>-417.03491778088983</v>
      </c>
      <c r="O257" s="1">
        <v>-417.03491778088983</v>
      </c>
    </row>
    <row r="258" spans="2:15">
      <c r="B258">
        <v>250</v>
      </c>
      <c r="D258">
        <v>983.69376914202951</v>
      </c>
      <c r="E258">
        <v>1503.1464073939176</v>
      </c>
      <c r="F258">
        <v>0.69501239371024148</v>
      </c>
      <c r="G258">
        <v>0.72121596520480347</v>
      </c>
      <c r="H258" s="3">
        <v>422.05371094895963</v>
      </c>
      <c r="I258" s="3">
        <v>1.7958088975798866E-2</v>
      </c>
      <c r="J258" s="3">
        <v>-3.1445965716491164E-3</v>
      </c>
      <c r="K258" s="1">
        <v>3.8896319441668777E-3</v>
      </c>
      <c r="L258" s="1">
        <v>-204.00868342442237</v>
      </c>
      <c r="M258" s="1">
        <v>-398.00457036585357</v>
      </c>
      <c r="N258" s="1">
        <v>-602.01325379027594</v>
      </c>
      <c r="O258" s="1">
        <v>-602.01325379027594</v>
      </c>
    </row>
    <row r="259" spans="2:15">
      <c r="B259">
        <v>251</v>
      </c>
      <c r="D259">
        <v>964.58495630940843</v>
      </c>
      <c r="E259">
        <v>1477.1744323076741</v>
      </c>
      <c r="F259">
        <v>0.70456320740756162</v>
      </c>
      <c r="G259">
        <v>0.72613752705574808</v>
      </c>
      <c r="H259" s="3">
        <v>416.40000836255768</v>
      </c>
      <c r="I259" s="3">
        <v>1.5292806952108785E-2</v>
      </c>
      <c r="J259" s="3">
        <v>-5.5271934660190997E-3</v>
      </c>
      <c r="K259" s="1">
        <v>1.4128066733568624E-3</v>
      </c>
      <c r="L259" s="1">
        <v>-330.76312948115537</v>
      </c>
      <c r="M259" s="1">
        <v>-379.92998054413727</v>
      </c>
      <c r="N259" s="1">
        <v>-710.69311002529275</v>
      </c>
      <c r="O259" s="1">
        <v>-710.69311002529264</v>
      </c>
    </row>
    <row r="260" spans="2:15">
      <c r="B260">
        <v>252</v>
      </c>
      <c r="D260">
        <v>1064.3190729154626</v>
      </c>
      <c r="E260">
        <v>1541.8505050386993</v>
      </c>
      <c r="F260">
        <v>0.68136535173215318</v>
      </c>
      <c r="G260">
        <v>0.72492565987141078</v>
      </c>
      <c r="H260" s="3">
        <v>395.92660349342015</v>
      </c>
      <c r="I260" s="3">
        <v>3.2063928760128008E-2</v>
      </c>
      <c r="J260" s="3">
        <v>1.2267598585457E-2</v>
      </c>
      <c r="K260" s="1">
        <v>1.8866375310347336E-2</v>
      </c>
      <c r="L260" s="1">
        <v>-311.35862750340004</v>
      </c>
      <c r="M260" s="1">
        <v>-329.32039716430887</v>
      </c>
      <c r="N260" s="1">
        <v>-640.67902466770897</v>
      </c>
      <c r="O260" s="1">
        <v>-640.67902466770897</v>
      </c>
    </row>
    <row r="261" spans="2:15">
      <c r="B261">
        <v>253</v>
      </c>
      <c r="D261">
        <v>695.38366563012562</v>
      </c>
      <c r="E261">
        <v>1183.0411428069694</v>
      </c>
      <c r="F261">
        <v>0.69148068452252598</v>
      </c>
      <c r="G261">
        <v>0.72630020745999657</v>
      </c>
      <c r="H261" s="3">
        <v>421.29265071639901</v>
      </c>
      <c r="I261" s="3">
        <v>2.6608340603405917E-2</v>
      </c>
      <c r="J261" s="3">
        <v>5.543708067585966E-3</v>
      </c>
      <c r="K261" s="1">
        <v>1.2565252246192616E-2</v>
      </c>
      <c r="L261" s="1">
        <v>-357.74810415058164</v>
      </c>
      <c r="M261" s="1">
        <v>-274.92897176902079</v>
      </c>
      <c r="N261" s="1">
        <v>-632.67707591960254</v>
      </c>
      <c r="O261" s="1">
        <v>-632.67707591960243</v>
      </c>
    </row>
    <row r="262" spans="2:15">
      <c r="B262">
        <v>254</v>
      </c>
      <c r="D262">
        <v>762.35118704049955</v>
      </c>
      <c r="E262">
        <v>1249.4907850356726</v>
      </c>
      <c r="F262">
        <v>0.68444213897279915</v>
      </c>
      <c r="G262">
        <v>0.720863686914201</v>
      </c>
      <c r="H262" s="3">
        <v>388.07164309005356</v>
      </c>
      <c r="I262" s="3">
        <v>2.5838122713251997E-2</v>
      </c>
      <c r="J262" s="3">
        <v>6.4345405587493167E-3</v>
      </c>
      <c r="K262" s="1">
        <v>1.2902401276916877E-2</v>
      </c>
      <c r="L262" s="1">
        <v>-225.96366693194841</v>
      </c>
      <c r="M262" s="1">
        <v>-220.46619793805652</v>
      </c>
      <c r="N262" s="1">
        <v>-446.42986487000491</v>
      </c>
      <c r="O262" s="1">
        <v>-446.42986487000496</v>
      </c>
    </row>
    <row r="263" spans="2:15">
      <c r="B263">
        <v>255</v>
      </c>
      <c r="D263">
        <v>735.47635027404806</v>
      </c>
      <c r="E263">
        <v>1240.1473617923598</v>
      </c>
      <c r="F263">
        <v>0.70586335904763076</v>
      </c>
      <c r="G263">
        <v>0.73031261291331173</v>
      </c>
      <c r="H263" s="3">
        <v>412.24006449084101</v>
      </c>
      <c r="I263" s="3">
        <v>1.7710691433014059E-2</v>
      </c>
      <c r="J263" s="3">
        <v>-2.9013117915279926E-3</v>
      </c>
      <c r="K263" s="1">
        <v>3.9693559499860264E-3</v>
      </c>
      <c r="L263" s="1">
        <v>-324.90041588475606</v>
      </c>
      <c r="M263" s="1">
        <v>-409.76202090604772</v>
      </c>
      <c r="N263" s="1">
        <v>-734.66243679080378</v>
      </c>
      <c r="O263" s="1">
        <v>-734.66243679080378</v>
      </c>
    </row>
    <row r="264" spans="2:15">
      <c r="B264">
        <v>256</v>
      </c>
      <c r="D264">
        <v>919.57271765601456</v>
      </c>
      <c r="E264">
        <v>1420.0292492784893</v>
      </c>
      <c r="F264">
        <v>0.6982185435639704</v>
      </c>
      <c r="G264">
        <v>0.73127587778699188</v>
      </c>
      <c r="H264" s="3">
        <v>406.20995491713512</v>
      </c>
      <c r="I264" s="3">
        <v>2.4472561934100252E-2</v>
      </c>
      <c r="J264" s="3">
        <v>4.1620641882434972E-3</v>
      </c>
      <c r="K264" s="1">
        <v>1.0932230103529082E-2</v>
      </c>
      <c r="L264" s="1">
        <v>-379.68025552914031</v>
      </c>
      <c r="M264" s="1">
        <v>-262.86918361353514</v>
      </c>
      <c r="N264" s="1">
        <v>-642.54943914267551</v>
      </c>
      <c r="O264" s="1">
        <v>-642.54943914267551</v>
      </c>
    </row>
    <row r="265" spans="2:15">
      <c r="B265">
        <v>257</v>
      </c>
      <c r="D265">
        <v>971.89851095898246</v>
      </c>
      <c r="E265">
        <v>1456.2144286169155</v>
      </c>
      <c r="F265">
        <v>0.7026940630239118</v>
      </c>
      <c r="G265">
        <v>0.73084165194080364</v>
      </c>
      <c r="H265" s="3">
        <v>393.5911914894798</v>
      </c>
      <c r="I265" s="3">
        <v>1.9872079881002744E-2</v>
      </c>
      <c r="J265" s="3">
        <v>1.9252030652875535E-4</v>
      </c>
      <c r="K265" s="1">
        <v>6.752373498020086E-3</v>
      </c>
      <c r="L265" s="1">
        <v>-239.64575432317329</v>
      </c>
      <c r="M265" s="1">
        <v>-436.48893599886162</v>
      </c>
      <c r="N265" s="1">
        <v>-676.134690322035</v>
      </c>
      <c r="O265" s="1">
        <v>-676.13469032203488</v>
      </c>
    </row>
    <row r="266" spans="2:15">
      <c r="B266">
        <v>258</v>
      </c>
      <c r="D266">
        <v>978.51054180415986</v>
      </c>
      <c r="E266">
        <v>1455.4344973878087</v>
      </c>
      <c r="F266">
        <v>0.68891879246822685</v>
      </c>
      <c r="G266">
        <v>0.72646990771104092</v>
      </c>
      <c r="H266" s="3">
        <v>397.26655251378384</v>
      </c>
      <c r="I266" s="3">
        <v>2.7794836615131081E-2</v>
      </c>
      <c r="J266" s="3">
        <v>7.9315089894418898E-3</v>
      </c>
      <c r="K266" s="1">
        <v>1.4552618198004954E-2</v>
      </c>
      <c r="L266" s="1">
        <v>-166.82639104068087</v>
      </c>
      <c r="M266" s="1">
        <v>-295.59712142180535</v>
      </c>
      <c r="N266" s="1">
        <v>-462.42351246248631</v>
      </c>
      <c r="O266" s="1">
        <v>-462.4235124624862</v>
      </c>
    </row>
    <row r="267" spans="2:15">
      <c r="B267">
        <v>259</v>
      </c>
      <c r="D267">
        <v>781.61520615439031</v>
      </c>
      <c r="E267">
        <v>1251.3035943667574</v>
      </c>
      <c r="F267">
        <v>0.68606480315417906</v>
      </c>
      <c r="G267">
        <v>0.72226170967650993</v>
      </c>
      <c r="H267" s="3">
        <v>386.98898217661781</v>
      </c>
      <c r="I267" s="3">
        <v>2.6098419780903093E-2</v>
      </c>
      <c r="J267" s="3">
        <v>6.7489706720722034E-3</v>
      </c>
      <c r="K267" s="1">
        <v>1.3198787041682499E-2</v>
      </c>
      <c r="L267" s="1">
        <v>-236.87507413470709</v>
      </c>
      <c r="M267" s="1">
        <v>-441.86564870893102</v>
      </c>
      <c r="N267" s="1">
        <v>-678.74072284363808</v>
      </c>
      <c r="O267" s="1">
        <v>-678.74072284363808</v>
      </c>
    </row>
    <row r="268" spans="2:15">
      <c r="B268">
        <v>260</v>
      </c>
      <c r="D268">
        <v>985.40978494100273</v>
      </c>
      <c r="E268">
        <v>1462.8955211421901</v>
      </c>
      <c r="F268">
        <v>0.68837158375213547</v>
      </c>
      <c r="G268">
        <v>0.72196169949047995</v>
      </c>
      <c r="H268" s="3">
        <v>388.6813429719648</v>
      </c>
      <c r="I268" s="3">
        <v>2.3838439928511722E-2</v>
      </c>
      <c r="J268" s="3">
        <v>4.4043727799134812E-3</v>
      </c>
      <c r="K268" s="1">
        <v>1.0882395162779562E-2</v>
      </c>
      <c r="L268" s="1">
        <v>-388.06534251082928</v>
      </c>
      <c r="M268" s="1">
        <v>-373.31479050393199</v>
      </c>
      <c r="N268" s="1">
        <v>-761.38013301476121</v>
      </c>
      <c r="O268" s="1">
        <v>-761.38013301476121</v>
      </c>
    </row>
    <row r="269" spans="2:15">
      <c r="B269">
        <v>261</v>
      </c>
      <c r="D269">
        <v>996.01103818724459</v>
      </c>
      <c r="E269">
        <v>1496.5900080028057</v>
      </c>
      <c r="F269">
        <v>0.68353371084816361</v>
      </c>
      <c r="G269">
        <v>0.71722245899256143</v>
      </c>
      <c r="H269" s="3">
        <v>417.34074178919809</v>
      </c>
      <c r="I269" s="3">
        <v>2.5057680364400828E-2</v>
      </c>
      <c r="J269" s="3">
        <v>4.190643274940925E-3</v>
      </c>
      <c r="K269" s="1">
        <v>1.1146322304760894E-2</v>
      </c>
      <c r="L269" s="1">
        <v>-176.33007162784014</v>
      </c>
      <c r="M269" s="1">
        <v>-404.82944466937255</v>
      </c>
      <c r="N269" s="1">
        <v>-581.15951629721269</v>
      </c>
      <c r="O269" s="1">
        <v>-581.15951629721269</v>
      </c>
    </row>
    <row r="270" spans="2:15">
      <c r="B270">
        <v>262</v>
      </c>
      <c r="D270">
        <v>825.87407183685536</v>
      </c>
      <c r="E270">
        <v>1311.5297326569614</v>
      </c>
      <c r="F270">
        <v>0.69342524590566978</v>
      </c>
      <c r="G270">
        <v>0.72411342184919447</v>
      </c>
      <c r="H270" s="3">
        <v>398.03178261289332</v>
      </c>
      <c r="I270" s="3">
        <v>2.1729658414394993E-2</v>
      </c>
      <c r="J270" s="3">
        <v>1.8280692837503304E-3</v>
      </c>
      <c r="K270" s="1">
        <v>8.4619323272985512E-3</v>
      </c>
      <c r="L270" s="1">
        <v>-217.12535480145729</v>
      </c>
      <c r="M270" s="1">
        <v>-369.38621092488631</v>
      </c>
      <c r="N270" s="1">
        <v>-586.51156572634363</v>
      </c>
      <c r="O270" s="1">
        <v>-586.51156572634363</v>
      </c>
    </row>
    <row r="271" spans="2:15">
      <c r="B271">
        <v>263</v>
      </c>
      <c r="D271">
        <v>767.37124762079566</v>
      </c>
      <c r="E271">
        <v>1252.1237857918911</v>
      </c>
      <c r="F271">
        <v>0.69397784289772835</v>
      </c>
      <c r="G271">
        <v>0.73075902372531476</v>
      </c>
      <c r="H271" s="3">
        <v>388.09312675858797</v>
      </c>
      <c r="I271" s="3">
        <v>2.5883608047304954E-2</v>
      </c>
      <c r="J271" s="3">
        <v>6.478951709375555E-3</v>
      </c>
      <c r="K271" s="1">
        <v>1.2947170488685355E-2</v>
      </c>
      <c r="L271" s="1">
        <v>-118.02134288595485</v>
      </c>
      <c r="M271" s="1">
        <v>-368.30661501456922</v>
      </c>
      <c r="N271" s="1">
        <v>-486.3279579005241</v>
      </c>
      <c r="O271" s="1">
        <v>-486.3279579005241</v>
      </c>
    </row>
    <row r="272" spans="2:15">
      <c r="B272">
        <v>264</v>
      </c>
      <c r="D272">
        <v>667.86874959910915</v>
      </c>
      <c r="E272">
        <v>1125.3887815894861</v>
      </c>
      <c r="F272">
        <v>0.69008451623469069</v>
      </c>
      <c r="G272">
        <v>0.73433494959514245</v>
      </c>
      <c r="H272" s="3">
        <v>397.8052042138583</v>
      </c>
      <c r="I272" s="3">
        <v>3.4797543569020407E-2</v>
      </c>
      <c r="J272" s="3">
        <v>1.4907283358327496E-2</v>
      </c>
      <c r="K272" s="1">
        <v>2.1537370095225133E-2</v>
      </c>
      <c r="L272" s="1">
        <v>-213.0947093804549</v>
      </c>
      <c r="M272" s="1">
        <v>-371.03041800491798</v>
      </c>
      <c r="N272" s="1">
        <v>-584.12512738537293</v>
      </c>
      <c r="O272" s="1">
        <v>-584.12512738537293</v>
      </c>
    </row>
    <row r="273" spans="2:15">
      <c r="B273">
        <v>265</v>
      </c>
      <c r="D273">
        <v>835.03925833336211</v>
      </c>
      <c r="E273">
        <v>1290.1803121926112</v>
      </c>
      <c r="F273">
        <v>0.6871614144153172</v>
      </c>
      <c r="G273">
        <v>0.72609682457708224</v>
      </c>
      <c r="H273" s="3">
        <v>366.31608586136593</v>
      </c>
      <c r="I273" s="3">
        <v>2.712332952032866E-2</v>
      </c>
      <c r="J273" s="3">
        <v>8.8075252272603634E-3</v>
      </c>
      <c r="K273" s="1">
        <v>1.4912793324949795E-2</v>
      </c>
      <c r="L273" s="1">
        <v>-270.3605399541043</v>
      </c>
      <c r="M273" s="1">
        <v>-282.5573750604342</v>
      </c>
      <c r="N273" s="1">
        <v>-552.91791501453849</v>
      </c>
      <c r="O273" s="1">
        <v>-552.91791501453849</v>
      </c>
    </row>
    <row r="274" spans="2:15">
      <c r="B274">
        <v>266</v>
      </c>
      <c r="D274">
        <v>1067.0171452470154</v>
      </c>
      <c r="E274">
        <v>1568.3651881940509</v>
      </c>
      <c r="F274">
        <v>0.68693860151543462</v>
      </c>
      <c r="G274">
        <v>0.72534233520280356</v>
      </c>
      <c r="H274" s="3">
        <v>413.57984744902205</v>
      </c>
      <c r="I274" s="3">
        <v>2.7883072804446775E-2</v>
      </c>
      <c r="J274" s="3">
        <v>7.2040804319956735E-3</v>
      </c>
      <c r="K274" s="1">
        <v>1.4097077889479373E-2</v>
      </c>
      <c r="L274" s="1">
        <v>-402.31794787099642</v>
      </c>
      <c r="M274" s="1">
        <v>-320.85014731724272</v>
      </c>
      <c r="N274" s="1">
        <v>-723.16809518823914</v>
      </c>
      <c r="O274" s="1">
        <v>-723.16809518823914</v>
      </c>
    </row>
    <row r="275" spans="2:15">
      <c r="B275">
        <v>267</v>
      </c>
      <c r="D275">
        <v>907.54555290358007</v>
      </c>
      <c r="E275">
        <v>1382.380648936097</v>
      </c>
      <c r="F275">
        <v>0.69025626069035051</v>
      </c>
      <c r="G275">
        <v>0.72449468558624941</v>
      </c>
      <c r="H275" s="3">
        <v>385.33105340349584</v>
      </c>
      <c r="I275" s="3">
        <v>2.4095022809859545E-2</v>
      </c>
      <c r="J275" s="3">
        <v>4.8284701396847513E-3</v>
      </c>
      <c r="K275" s="1">
        <v>1.1250654363076349E-2</v>
      </c>
      <c r="L275" s="1">
        <v>-303.29189577398409</v>
      </c>
      <c r="M275" s="1">
        <v>-214.80872811664199</v>
      </c>
      <c r="N275" s="1">
        <v>-518.10062389062603</v>
      </c>
      <c r="O275" s="1">
        <v>-518.10062389062614</v>
      </c>
    </row>
    <row r="276" spans="2:15">
      <c r="B276">
        <v>268</v>
      </c>
      <c r="D276">
        <v>790.25893538647722</v>
      </c>
      <c r="E276">
        <v>1276.2969291112017</v>
      </c>
      <c r="F276">
        <v>0.69133313426097021</v>
      </c>
      <c r="G276">
        <v>0.73172512605156859</v>
      </c>
      <c r="H276" s="3">
        <v>400.73507499013215</v>
      </c>
      <c r="I276" s="3">
        <v>2.9041084301588593E-2</v>
      </c>
      <c r="J276" s="3">
        <v>9.0043305520819891E-3</v>
      </c>
      <c r="K276" s="1">
        <v>1.5683248468584189E-2</v>
      </c>
      <c r="L276" s="1">
        <v>-308.11451305052037</v>
      </c>
      <c r="M276" s="1">
        <v>-428.0693723446343</v>
      </c>
      <c r="N276" s="1">
        <v>-736.18388539515468</v>
      </c>
      <c r="O276" s="1">
        <v>-736.18388539515468</v>
      </c>
    </row>
    <row r="277" spans="2:15">
      <c r="B277">
        <v>269</v>
      </c>
      <c r="D277">
        <v>728.07931650648652</v>
      </c>
      <c r="E277">
        <v>1237.0918336346167</v>
      </c>
      <c r="F277">
        <v>0.67913462954571457</v>
      </c>
      <c r="G277">
        <v>0.71170194703886935</v>
      </c>
      <c r="H277" s="3">
        <v>426.24870688183398</v>
      </c>
      <c r="I277" s="3">
        <v>2.4018803263285222E-2</v>
      </c>
      <c r="J277" s="3">
        <v>2.7063679191935211E-3</v>
      </c>
      <c r="K277" s="1">
        <v>9.8105130338907564E-3</v>
      </c>
      <c r="L277" s="1">
        <v>-320.96944436156662</v>
      </c>
      <c r="M277" s="1">
        <v>-352.06373413207712</v>
      </c>
      <c r="N277" s="1">
        <v>-673.03317849364373</v>
      </c>
      <c r="O277" s="1">
        <v>-673.03317849364373</v>
      </c>
    </row>
    <row r="278" spans="2:15">
      <c r="B278">
        <v>270</v>
      </c>
      <c r="D278">
        <v>893.22322590943497</v>
      </c>
      <c r="E278">
        <v>1364.2637741329713</v>
      </c>
      <c r="F278">
        <v>0.69921901353310389</v>
      </c>
      <c r="G278">
        <v>0.73332999624063233</v>
      </c>
      <c r="H278" s="3">
        <v>378.36288053032064</v>
      </c>
      <c r="I278" s="3">
        <v>2.3215651202094026E-2</v>
      </c>
      <c r="J278" s="3">
        <v>4.2975071755779956E-3</v>
      </c>
      <c r="K278" s="1">
        <v>1.0603555184416672E-2</v>
      </c>
      <c r="L278" s="1">
        <v>-371.29697748698766</v>
      </c>
      <c r="M278" s="1">
        <v>-247.47487698573082</v>
      </c>
      <c r="N278" s="1">
        <v>-618.77185447271859</v>
      </c>
      <c r="O278" s="1">
        <v>-618.77185447271847</v>
      </c>
    </row>
    <row r="279" spans="2:15">
      <c r="B279">
        <v>271</v>
      </c>
      <c r="D279">
        <v>857.5234810895065</v>
      </c>
      <c r="E279">
        <v>1332.483002496353</v>
      </c>
      <c r="F279">
        <v>0.68887914503103975</v>
      </c>
      <c r="G279">
        <v>0.72461919475472625</v>
      </c>
      <c r="H279" s="3">
        <v>377.70705504934563</v>
      </c>
      <c r="I279" s="3">
        <v>2.4579203374307596E-2</v>
      </c>
      <c r="J279" s="3">
        <v>5.6938506218403122E-3</v>
      </c>
      <c r="K279" s="1">
        <v>1.1988968205996074E-2</v>
      </c>
      <c r="L279" s="1">
        <v>-337.02414487191299</v>
      </c>
      <c r="M279" s="1">
        <v>-268.09169366720738</v>
      </c>
      <c r="N279" s="1">
        <v>-605.11583853912043</v>
      </c>
      <c r="O279" s="1">
        <v>-605.11583853912043</v>
      </c>
    </row>
    <row r="280" spans="2:15">
      <c r="B280">
        <v>272</v>
      </c>
      <c r="D280">
        <v>804.25704407568787</v>
      </c>
      <c r="E280">
        <v>1299.2514740748793</v>
      </c>
      <c r="F280">
        <v>0.69414169819149374</v>
      </c>
      <c r="G280">
        <v>0.72040825245592643</v>
      </c>
      <c r="H280" s="3">
        <v>411.30412379099505</v>
      </c>
      <c r="I280" s="3">
        <v>1.8725334138477878E-2</v>
      </c>
      <c r="J280" s="3">
        <v>-1.8398720510718752E-3</v>
      </c>
      <c r="K280" s="1">
        <v>5.0151966787780437E-3</v>
      </c>
      <c r="L280" s="1">
        <v>-73.744725179291791</v>
      </c>
      <c r="M280" s="1">
        <v>-360.88572443580949</v>
      </c>
      <c r="N280" s="1">
        <v>-434.63044961510127</v>
      </c>
      <c r="O280" s="1">
        <v>-434.63044961510127</v>
      </c>
    </row>
    <row r="281" spans="2:15">
      <c r="B281">
        <v>273</v>
      </c>
      <c r="D281">
        <v>717.07544740444666</v>
      </c>
      <c r="E281">
        <v>1212.6854769054958</v>
      </c>
      <c r="F281">
        <v>0.68583661845872634</v>
      </c>
      <c r="G281">
        <v>0.71786402323202958</v>
      </c>
      <c r="H281" s="3">
        <v>386.06138612113841</v>
      </c>
      <c r="I281" s="3">
        <v>2.1106206180744481E-2</v>
      </c>
      <c r="J281" s="3">
        <v>1.8031368746875623E-3</v>
      </c>
      <c r="K281" s="1">
        <v>8.237493310039869E-3</v>
      </c>
      <c r="L281" s="1">
        <v>-52.951660440530532</v>
      </c>
      <c r="M281" s="1">
        <v>-199.35322786591311</v>
      </c>
      <c r="N281" s="1">
        <v>-252.30488830644362</v>
      </c>
      <c r="O281" s="1">
        <v>-252.30488830644364</v>
      </c>
    </row>
    <row r="282" spans="2:15">
      <c r="B282">
        <v>274</v>
      </c>
      <c r="D282">
        <v>766.73704368442827</v>
      </c>
      <c r="E282">
        <v>1233.8974561072632</v>
      </c>
      <c r="F282">
        <v>0.68739867444565128</v>
      </c>
      <c r="G282">
        <v>0.72479640244011245</v>
      </c>
      <c r="H282" s="3">
        <v>380.57781242962153</v>
      </c>
      <c r="I282" s="3">
        <v>2.6959696927059965E-2</v>
      </c>
      <c r="J282" s="3">
        <v>7.9308063055788872E-3</v>
      </c>
      <c r="K282" s="1">
        <v>1.427376984607258E-2</v>
      </c>
      <c r="L282" s="1">
        <v>-166.13413359685472</v>
      </c>
      <c r="M282" s="1">
        <v>-249.6035976661656</v>
      </c>
      <c r="N282" s="1">
        <v>-415.73773126302035</v>
      </c>
      <c r="O282" s="1">
        <v>-415.73773126302035</v>
      </c>
    </row>
    <row r="283" spans="2:15">
      <c r="B283">
        <v>275</v>
      </c>
      <c r="D283">
        <v>710.56834796567841</v>
      </c>
      <c r="E283">
        <v>1215.94709940845</v>
      </c>
      <c r="F283">
        <v>0.71270905133733831</v>
      </c>
      <c r="G283">
        <v>0.73272302504268871</v>
      </c>
      <c r="H283" s="3">
        <v>415.48415386967605</v>
      </c>
      <c r="I283" s="3">
        <v>1.3780715584754839E-2</v>
      </c>
      <c r="J283" s="3">
        <v>-6.9934921087289621E-3</v>
      </c>
      <c r="K283" s="1">
        <v>-6.8756210901028958E-5</v>
      </c>
      <c r="L283" s="1">
        <v>-458.23139225751993</v>
      </c>
      <c r="M283" s="1">
        <v>-294.66132264636002</v>
      </c>
      <c r="N283" s="1">
        <v>-752.89271490387989</v>
      </c>
      <c r="O283" s="1">
        <v>-752.89271490388001</v>
      </c>
    </row>
    <row r="284" spans="2:15">
      <c r="B284">
        <v>276</v>
      </c>
      <c r="D284">
        <v>903.85760568168382</v>
      </c>
      <c r="E284">
        <v>1399.8850693075813</v>
      </c>
      <c r="F284">
        <v>0.68255285388916498</v>
      </c>
      <c r="G284">
        <v>0.72063418746048147</v>
      </c>
      <c r="H284" s="3">
        <v>398.24128658928339</v>
      </c>
      <c r="I284" s="3">
        <v>2.6584154860711463E-2</v>
      </c>
      <c r="J284" s="3">
        <v>6.6720905312472913E-3</v>
      </c>
      <c r="K284" s="1">
        <v>1.3309445307735347E-2</v>
      </c>
      <c r="L284" s="1">
        <v>-340.52063295704335</v>
      </c>
      <c r="M284" s="1">
        <v>-323.98915009474069</v>
      </c>
      <c r="N284" s="1">
        <v>-664.5097830517841</v>
      </c>
      <c r="O284" s="1">
        <v>-664.5097830517841</v>
      </c>
    </row>
    <row r="285" spans="2:15">
      <c r="B285">
        <v>277</v>
      </c>
      <c r="D285">
        <v>871.03544998178404</v>
      </c>
      <c r="E285">
        <v>1354.5625482988135</v>
      </c>
      <c r="F285">
        <v>0.6974777442213077</v>
      </c>
      <c r="G285">
        <v>0.73887797768649321</v>
      </c>
      <c r="H285" s="3">
        <v>409.00359232199804</v>
      </c>
      <c r="I285" s="3">
        <v>3.0686873904608031E-2</v>
      </c>
      <c r="J285" s="3">
        <v>1.0236694288508128E-2</v>
      </c>
      <c r="K285" s="1">
        <v>1.7053420827208097E-2</v>
      </c>
      <c r="L285" s="1">
        <v>-239.61271609920988</v>
      </c>
      <c r="M285" s="1">
        <v>-434.89482729086933</v>
      </c>
      <c r="N285" s="1">
        <v>-674.50754339007915</v>
      </c>
      <c r="O285" s="1">
        <v>-674.50754339007926</v>
      </c>
    </row>
    <row r="286" spans="2:15">
      <c r="B286">
        <v>278</v>
      </c>
      <c r="D286">
        <v>873.19437898829585</v>
      </c>
      <c r="E286">
        <v>1374.1525678536111</v>
      </c>
      <c r="F286">
        <v>0.69374160869167634</v>
      </c>
      <c r="G286">
        <v>0.73238708918458117</v>
      </c>
      <c r="H286" s="3">
        <v>412.15009014604351</v>
      </c>
      <c r="I286" s="3">
        <v>2.7601809899203873E-2</v>
      </c>
      <c r="J286" s="3">
        <v>6.9943053919016979E-3</v>
      </c>
      <c r="K286" s="1">
        <v>1.3863473561002423E-2</v>
      </c>
      <c r="L286" s="1">
        <v>-539.81308830850821</v>
      </c>
      <c r="M286" s="1">
        <v>-318.57058765349984</v>
      </c>
      <c r="N286" s="1">
        <v>-858.38367596200806</v>
      </c>
      <c r="O286" s="1">
        <v>-858.38367596200806</v>
      </c>
    </row>
    <row r="287" spans="2:15">
      <c r="B287">
        <v>279</v>
      </c>
      <c r="D287">
        <v>805.84969253205156</v>
      </c>
      <c r="E287">
        <v>1278.8354584416163</v>
      </c>
      <c r="F287">
        <v>0.69317782909046777</v>
      </c>
      <c r="G287">
        <v>0.73348370320951961</v>
      </c>
      <c r="H287" s="3">
        <v>386.12590951116937</v>
      </c>
      <c r="I287" s="3">
        <v>2.8773436445205473E-2</v>
      </c>
      <c r="J287" s="3">
        <v>9.4671409696470039E-3</v>
      </c>
      <c r="K287" s="1">
        <v>1.5902572794833161E-2</v>
      </c>
      <c r="L287" s="1">
        <v>-222.20523577557199</v>
      </c>
      <c r="M287" s="1">
        <v>-442.27310481435075</v>
      </c>
      <c r="N287" s="1">
        <v>-664.47834058992282</v>
      </c>
      <c r="O287" s="1">
        <v>-664.47834058992271</v>
      </c>
    </row>
    <row r="288" spans="2:15">
      <c r="B288">
        <v>280</v>
      </c>
      <c r="D288">
        <v>774.88351993376864</v>
      </c>
      <c r="E288">
        <v>1265.0530820968772</v>
      </c>
      <c r="F288">
        <v>0.69931549521595526</v>
      </c>
      <c r="G288">
        <v>0.73110231636494949</v>
      </c>
      <c r="H288" s="3">
        <v>402.09748973493276</v>
      </c>
      <c r="I288" s="3">
        <v>2.3306830964642214E-2</v>
      </c>
      <c r="J288" s="3">
        <v>3.2019564778955761E-3</v>
      </c>
      <c r="K288" s="1">
        <v>9.9035813068111215E-3</v>
      </c>
      <c r="L288" s="1">
        <v>-374.0145211819991</v>
      </c>
      <c r="M288" s="1">
        <v>-313.2460805998839</v>
      </c>
      <c r="N288" s="1">
        <v>-687.260601781883</v>
      </c>
      <c r="O288" s="1">
        <v>-687.260601781883</v>
      </c>
    </row>
    <row r="289" spans="2:15">
      <c r="B289">
        <v>281</v>
      </c>
      <c r="D289">
        <v>898.96293825108853</v>
      </c>
      <c r="E289">
        <v>1380.9872440639688</v>
      </c>
      <c r="F289">
        <v>0.68871091975130239</v>
      </c>
      <c r="G289">
        <v>0.71718987882982688</v>
      </c>
      <c r="H289" s="3">
        <v>401.02315589592968</v>
      </c>
      <c r="I289" s="3">
        <v>2.0901201362624695E-2</v>
      </c>
      <c r="J289" s="3">
        <v>8.5004356782821325E-4</v>
      </c>
      <c r="K289" s="1">
        <v>7.5337628327603722E-3</v>
      </c>
      <c r="L289" s="1">
        <v>84.768344118249985</v>
      </c>
      <c r="M289" s="1">
        <v>-505.58496253415592</v>
      </c>
      <c r="N289" s="1">
        <v>-420.81661841590591</v>
      </c>
      <c r="O289" s="1">
        <v>-420.81661841590596</v>
      </c>
    </row>
    <row r="290" spans="2:15">
      <c r="B290">
        <v>282</v>
      </c>
      <c r="D290">
        <v>723.68505810532429</v>
      </c>
      <c r="E290">
        <v>1208.2884162726109</v>
      </c>
      <c r="F290">
        <v>0.68965028522685934</v>
      </c>
      <c r="G290">
        <v>0.72552394252130903</v>
      </c>
      <c r="H290" s="3">
        <v>389.46860617552642</v>
      </c>
      <c r="I290" s="3">
        <v>2.5462130407104874E-2</v>
      </c>
      <c r="J290" s="3">
        <v>5.9887000983285532E-3</v>
      </c>
      <c r="K290" s="1">
        <v>1.2479843534587327E-2</v>
      </c>
      <c r="L290" s="1">
        <v>-271.25888143438402</v>
      </c>
      <c r="M290" s="1">
        <v>-431.16659127773335</v>
      </c>
      <c r="N290" s="1">
        <v>-702.42547271211731</v>
      </c>
      <c r="O290" s="1">
        <v>-702.42547271211743</v>
      </c>
    </row>
    <row r="291" spans="2:15">
      <c r="B291">
        <v>283</v>
      </c>
      <c r="D291">
        <v>854.64937298667508</v>
      </c>
      <c r="E291">
        <v>1353.9978383974894</v>
      </c>
      <c r="F291">
        <v>0.69668522124753762</v>
      </c>
      <c r="G291">
        <v>0.71959281101517369</v>
      </c>
      <c r="H291" s="3">
        <v>409.23712298393127</v>
      </c>
      <c r="I291" s="3">
        <v>1.6010353637844994E-2</v>
      </c>
      <c r="J291" s="3">
        <v>-4.4515025113515717E-3</v>
      </c>
      <c r="K291" s="1">
        <v>2.3691162050472839E-3</v>
      </c>
      <c r="L291" s="1">
        <v>-115.12716199274224</v>
      </c>
      <c r="M291" s="1">
        <v>-290.57438065049331</v>
      </c>
      <c r="N291" s="1">
        <v>-405.70154264323554</v>
      </c>
      <c r="O291" s="1">
        <v>-405.70154264323554</v>
      </c>
    </row>
    <row r="292" spans="2:15">
      <c r="B292">
        <v>284</v>
      </c>
      <c r="D292">
        <v>1003.7460838633785</v>
      </c>
      <c r="E292">
        <v>1514.9302367743439</v>
      </c>
      <c r="F292">
        <v>0.68947623170913674</v>
      </c>
      <c r="G292">
        <v>0.72269589107480903</v>
      </c>
      <c r="H292" s="3">
        <v>426.3565156539525</v>
      </c>
      <c r="I292" s="3">
        <v>2.5032187069381238E-2</v>
      </c>
      <c r="J292" s="3">
        <v>3.7143612866836137E-3</v>
      </c>
      <c r="K292" s="1">
        <v>1.0820303214249488E-2</v>
      </c>
      <c r="L292" s="1">
        <v>-215.47812727339775</v>
      </c>
      <c r="M292" s="1">
        <v>-312.30289013021621</v>
      </c>
      <c r="N292" s="1">
        <v>-527.78101740361399</v>
      </c>
      <c r="O292" s="1">
        <v>-527.78101740361399</v>
      </c>
    </row>
    <row r="293" spans="2:15">
      <c r="B293">
        <v>285</v>
      </c>
      <c r="D293">
        <v>930.04302460170652</v>
      </c>
      <c r="E293">
        <v>1434.7902735742455</v>
      </c>
      <c r="F293">
        <v>0.69095185265006465</v>
      </c>
      <c r="G293">
        <v>0.7226999987236491</v>
      </c>
      <c r="H293" s="3">
        <v>405.94543799651069</v>
      </c>
      <c r="I293" s="3">
        <v>2.2611665679172471E-2</v>
      </c>
      <c r="J293" s="3">
        <v>2.3143937793469356E-3</v>
      </c>
      <c r="K293" s="1">
        <v>9.080151079288782E-3</v>
      </c>
      <c r="L293" s="1">
        <v>-204.37352487013905</v>
      </c>
      <c r="M293" s="1">
        <v>-253.77246199605554</v>
      </c>
      <c r="N293" s="1">
        <v>-458.14598686619468</v>
      </c>
      <c r="O293" s="1">
        <v>-458.14598686619456</v>
      </c>
    </row>
    <row r="294" spans="2:15">
      <c r="B294">
        <v>286</v>
      </c>
      <c r="D294">
        <v>1011.914909460456</v>
      </c>
      <c r="E294">
        <v>1490.5699199205592</v>
      </c>
      <c r="F294">
        <v>0.68088031222883383</v>
      </c>
      <c r="G294">
        <v>0.7177769314106256</v>
      </c>
      <c r="H294" s="3">
        <v>387.12316115549163</v>
      </c>
      <c r="I294" s="3">
        <v>2.5606439095586069E-2</v>
      </c>
      <c r="J294" s="3">
        <v>6.2502810378114899E-3</v>
      </c>
      <c r="K294" s="1">
        <v>1.270233372373635E-2</v>
      </c>
      <c r="L294" s="1">
        <v>-119.87887982347746</v>
      </c>
      <c r="M294" s="1">
        <v>-391.3445821340265</v>
      </c>
      <c r="N294" s="1">
        <v>-511.22346195750407</v>
      </c>
      <c r="O294" s="1">
        <v>-511.22346195750396</v>
      </c>
    </row>
    <row r="295" spans="2:15">
      <c r="B295">
        <v>287</v>
      </c>
      <c r="D295">
        <v>746.13498404853249</v>
      </c>
      <c r="E295">
        <v>1259.2085311138437</v>
      </c>
      <c r="F295">
        <v>0.6993569805157922</v>
      </c>
      <c r="G295">
        <v>0.71978293052489506</v>
      </c>
      <c r="H295" s="3">
        <v>407.54316348588969</v>
      </c>
      <c r="I295" s="3">
        <v>1.4249567479378911E-2</v>
      </c>
      <c r="J295" s="3">
        <v>-6.1275906949155735E-3</v>
      </c>
      <c r="K295" s="1">
        <v>6.6479536318258745E-4</v>
      </c>
      <c r="L295" s="1">
        <v>-240.35493617950303</v>
      </c>
      <c r="M295" s="1">
        <v>-324.10144993579308</v>
      </c>
      <c r="N295" s="1">
        <v>-564.45638611529603</v>
      </c>
      <c r="O295" s="1">
        <v>-564.45638611529614</v>
      </c>
    </row>
    <row r="296" spans="2:15">
      <c r="B296">
        <v>288</v>
      </c>
      <c r="D296">
        <v>944.30071046229352</v>
      </c>
      <c r="E296">
        <v>1411.6173853825558</v>
      </c>
      <c r="F296">
        <v>0.68920403545688314</v>
      </c>
      <c r="G296">
        <v>0.73629802145519896</v>
      </c>
      <c r="H296" s="3">
        <v>388.16971922564909</v>
      </c>
      <c r="I296" s="3">
        <v>3.3217899423384323E-2</v>
      </c>
      <c r="J296" s="3">
        <v>1.380941346210187E-2</v>
      </c>
      <c r="K296" s="1">
        <v>2.0278908782529356E-2</v>
      </c>
      <c r="L296" s="1">
        <v>-186.14734579687254</v>
      </c>
      <c r="M296" s="1">
        <v>-294.64124979579373</v>
      </c>
      <c r="N296" s="1">
        <v>-480.78859559266624</v>
      </c>
      <c r="O296" s="1">
        <v>-480.7885955926663</v>
      </c>
    </row>
    <row r="297" spans="2:15">
      <c r="B297">
        <v>289</v>
      </c>
      <c r="D297">
        <v>977.04568709001126</v>
      </c>
      <c r="E297">
        <v>1481.9447869776477</v>
      </c>
      <c r="F297">
        <v>0.70239319232246045</v>
      </c>
      <c r="G297">
        <v>0.72711079252216559</v>
      </c>
      <c r="H297" s="3">
        <v>429.04256201806567</v>
      </c>
      <c r="I297" s="3">
        <v>1.8548234240543263E-2</v>
      </c>
      <c r="J297" s="3">
        <v>-2.9038938603600205E-3</v>
      </c>
      <c r="K297" s="1">
        <v>4.2468155066077411E-3</v>
      </c>
      <c r="L297" s="1">
        <v>-216.66834496918585</v>
      </c>
      <c r="M297" s="1">
        <v>-372.55482380691069</v>
      </c>
      <c r="N297" s="1">
        <v>-589.22316877609649</v>
      </c>
      <c r="O297" s="1">
        <v>-589.2231687760966</v>
      </c>
    </row>
    <row r="298" spans="2:15">
      <c r="B298">
        <v>290</v>
      </c>
      <c r="D298">
        <v>904.26726353339438</v>
      </c>
      <c r="E298">
        <v>1416.5072069060002</v>
      </c>
      <c r="F298">
        <v>0.68867634103505748</v>
      </c>
      <c r="G298">
        <v>0.71417879396460626</v>
      </c>
      <c r="H298" s="3">
        <v>427.43451246377998</v>
      </c>
      <c r="I298" s="3">
        <v>1.9282341659243037E-2</v>
      </c>
      <c r="J298" s="3">
        <v>-2.0893839639459615E-3</v>
      </c>
      <c r="K298" s="1">
        <v>5.0345245771170367E-3</v>
      </c>
      <c r="L298" s="1">
        <v>-482.96151947781607</v>
      </c>
      <c r="M298" s="1">
        <v>-493.20225337604194</v>
      </c>
      <c r="N298" s="1">
        <v>-976.16377285385806</v>
      </c>
      <c r="O298" s="1">
        <v>-976.16377285385806</v>
      </c>
    </row>
    <row r="299" spans="2:15">
      <c r="B299">
        <v>291</v>
      </c>
      <c r="D299">
        <v>794.02286696188889</v>
      </c>
      <c r="E299">
        <v>1299.4330065090649</v>
      </c>
      <c r="F299">
        <v>0.68838796286648007</v>
      </c>
      <c r="G299">
        <v>0.70989021325628177</v>
      </c>
      <c r="H299" s="3">
        <v>400.23924134854786</v>
      </c>
      <c r="I299" s="3">
        <v>1.4529656959744928E-2</v>
      </c>
      <c r="J299" s="3">
        <v>-5.4823051076824669E-3</v>
      </c>
      <c r="K299" s="1">
        <v>1.1883489147933319E-3</v>
      </c>
      <c r="L299" s="1">
        <v>-258.31161725652089</v>
      </c>
      <c r="M299" s="1">
        <v>-365.09590602898982</v>
      </c>
      <c r="N299" s="1">
        <v>-623.40752328551071</v>
      </c>
      <c r="O299" s="1">
        <v>-623.40752328551071</v>
      </c>
    </row>
    <row r="300" spans="2:15">
      <c r="B300">
        <v>292</v>
      </c>
      <c r="D300">
        <v>686.89045916646376</v>
      </c>
      <c r="E300">
        <v>1191.7830282609741</v>
      </c>
      <c r="F300">
        <v>0.70243079993123947</v>
      </c>
      <c r="G300">
        <v>0.71977254659447754</v>
      </c>
      <c r="H300" s="3">
        <v>409.08375436458869</v>
      </c>
      <c r="I300" s="3">
        <v>1.1931687868098209E-2</v>
      </c>
      <c r="J300" s="3">
        <v>-8.5224998501312235E-3</v>
      </c>
      <c r="K300" s="1">
        <v>-1.7044372773880809E-3</v>
      </c>
      <c r="L300" s="1">
        <v>-139.01375668476101</v>
      </c>
      <c r="M300" s="1">
        <v>-254.51894940022081</v>
      </c>
      <c r="N300" s="1">
        <v>-393.5327060849819</v>
      </c>
      <c r="O300" s="1">
        <v>-393.53270608498178</v>
      </c>
    </row>
    <row r="301" spans="2:15">
      <c r="B301">
        <v>293</v>
      </c>
      <c r="D301">
        <v>935.70775433904964</v>
      </c>
      <c r="E301">
        <v>1406.6987281783729</v>
      </c>
      <c r="F301">
        <v>0.69140563970454749</v>
      </c>
      <c r="G301">
        <v>0.74002761802855255</v>
      </c>
      <c r="H301" s="3">
        <v>400.39287364389781</v>
      </c>
      <c r="I301" s="3">
        <v>3.6884916420154248E-2</v>
      </c>
      <c r="J301" s="3">
        <v>1.6865272737959357E-2</v>
      </c>
      <c r="K301" s="1">
        <v>2.3538487298690985E-2</v>
      </c>
      <c r="L301" s="1">
        <v>-233.73300435817922</v>
      </c>
      <c r="M301" s="1">
        <v>-326.19198348609797</v>
      </c>
      <c r="N301" s="1">
        <v>-559.92498784427721</v>
      </c>
      <c r="O301" s="1">
        <v>-559.92498784427721</v>
      </c>
    </row>
    <row r="302" spans="2:15">
      <c r="B302">
        <v>294</v>
      </c>
      <c r="D302">
        <v>996.08645285652369</v>
      </c>
      <c r="E302">
        <v>1446.8059199083275</v>
      </c>
      <c r="F302">
        <v>0.67639549947828304</v>
      </c>
      <c r="G302">
        <v>0.72168457653496909</v>
      </c>
      <c r="H302" s="3">
        <v>372.04781649927634</v>
      </c>
      <c r="I302" s="3">
        <v>3.2172739506910158E-2</v>
      </c>
      <c r="J302" s="3">
        <v>1.3570348681946346E-2</v>
      </c>
      <c r="K302" s="1">
        <v>1.9771145623600949E-2</v>
      </c>
      <c r="L302" s="1">
        <v>-268.99556248231005</v>
      </c>
      <c r="M302" s="1">
        <v>-351.83926395241048</v>
      </c>
      <c r="N302" s="1">
        <v>-620.83482643472041</v>
      </c>
      <c r="O302" s="1">
        <v>-620.83482643472053</v>
      </c>
    </row>
    <row r="303" spans="2:15">
      <c r="B303">
        <v>295</v>
      </c>
      <c r="D303">
        <v>741.31382999315588</v>
      </c>
      <c r="E303">
        <v>1241.1580138691943</v>
      </c>
      <c r="F303">
        <v>0.69851553981661307</v>
      </c>
      <c r="G303">
        <v>0.71793106310970833</v>
      </c>
      <c r="H303" s="3">
        <v>412.28584081573672</v>
      </c>
      <c r="I303" s="3">
        <v>1.4485373115159496E-2</v>
      </c>
      <c r="J303" s="3">
        <v>-6.1289189256273392E-3</v>
      </c>
      <c r="K303" s="1">
        <v>7.4251175463493913E-4</v>
      </c>
      <c r="L303" s="1">
        <v>-131.38636184486126</v>
      </c>
      <c r="M303" s="1">
        <v>-352.41451285935955</v>
      </c>
      <c r="N303" s="1">
        <v>-483.80087470422086</v>
      </c>
      <c r="O303" s="1">
        <v>-483.8008747042208</v>
      </c>
    </row>
    <row r="304" spans="2:15">
      <c r="B304">
        <v>296</v>
      </c>
      <c r="D304">
        <v>922.69667706718064</v>
      </c>
      <c r="E304">
        <v>1396.8937930292993</v>
      </c>
      <c r="F304">
        <v>0.68423743914272861</v>
      </c>
      <c r="G304">
        <v>0.73036230264781943</v>
      </c>
      <c r="H304" s="3">
        <v>383.00214872272431</v>
      </c>
      <c r="I304" s="3">
        <v>3.1286009262929189E-2</v>
      </c>
      <c r="J304" s="3">
        <v>1.2135901826792972E-2</v>
      </c>
      <c r="K304" s="1">
        <v>1.8519270972171712E-2</v>
      </c>
      <c r="L304" s="1">
        <v>-150.43804246268513</v>
      </c>
      <c r="M304" s="1">
        <v>-310.2020427664724</v>
      </c>
      <c r="N304" s="1">
        <v>-460.64008522915753</v>
      </c>
      <c r="O304" s="1">
        <v>-460.64008522915753</v>
      </c>
    </row>
    <row r="305" spans="2:15">
      <c r="B305">
        <v>297</v>
      </c>
      <c r="D305">
        <v>932.85441043354376</v>
      </c>
      <c r="E305">
        <v>1401.552161896353</v>
      </c>
      <c r="F305">
        <v>0.68726505411639338</v>
      </c>
      <c r="G305">
        <v>0.71496937451835618</v>
      </c>
      <c r="H305" s="3">
        <v>383.21302093872873</v>
      </c>
      <c r="I305" s="3">
        <v>1.8548316656844251E-2</v>
      </c>
      <c r="J305" s="3">
        <v>-6.1233439009218682E-4</v>
      </c>
      <c r="K305" s="1">
        <v>5.7745492922199604E-3</v>
      </c>
      <c r="L305" s="1">
        <v>-289.74889753706032</v>
      </c>
      <c r="M305" s="1">
        <v>-299.10571309956708</v>
      </c>
      <c r="N305" s="1">
        <v>-588.8546106366274</v>
      </c>
      <c r="O305" s="1">
        <v>-588.8546106366274</v>
      </c>
    </row>
    <row r="306" spans="2:15">
      <c r="B306">
        <v>298</v>
      </c>
      <c r="D306">
        <v>850.30685607535963</v>
      </c>
      <c r="E306">
        <v>1335.6681478950752</v>
      </c>
      <c r="F306">
        <v>0.69769411271424864</v>
      </c>
      <c r="G306">
        <v>0.72432203350298152</v>
      </c>
      <c r="H306" s="3">
        <v>393.43517102621962</v>
      </c>
      <c r="I306" s="3">
        <v>1.8724673284107658E-2</v>
      </c>
      <c r="J306" s="3">
        <v>-9.4708526720332573E-4</v>
      </c>
      <c r="K306" s="1">
        <v>5.6101675832336689E-3</v>
      </c>
      <c r="L306" s="1">
        <v>-288.58356317816032</v>
      </c>
      <c r="M306" s="1">
        <v>-388.0240757480106</v>
      </c>
      <c r="N306" s="1">
        <v>-676.60763892617081</v>
      </c>
      <c r="O306" s="1">
        <v>-676.60763892617092</v>
      </c>
    </row>
    <row r="307" spans="2:15">
      <c r="B307">
        <v>299</v>
      </c>
      <c r="D307">
        <v>729.14639538829636</v>
      </c>
      <c r="E307">
        <v>1204.9751243583589</v>
      </c>
      <c r="F307">
        <v>0.68837852621518336</v>
      </c>
      <c r="G307">
        <v>0.72438366002372656</v>
      </c>
      <c r="H307" s="3">
        <v>390.80076006598784</v>
      </c>
      <c r="I307" s="3">
        <v>2.5970609772610859E-2</v>
      </c>
      <c r="J307" s="3">
        <v>6.4305717693114647E-3</v>
      </c>
      <c r="K307" s="1">
        <v>1.2943917770411262E-2</v>
      </c>
      <c r="L307" s="1">
        <v>-100.4413950139257</v>
      </c>
      <c r="M307" s="1">
        <v>-299.31884834687469</v>
      </c>
      <c r="N307" s="1">
        <v>-399.76024336080036</v>
      </c>
      <c r="O307" s="1">
        <v>-399.76024336080036</v>
      </c>
    </row>
    <row r="308" spans="2:15">
      <c r="B308">
        <v>300</v>
      </c>
      <c r="D308">
        <v>756.53144688164173</v>
      </c>
      <c r="E308">
        <v>1246.8787356768373</v>
      </c>
      <c r="F308">
        <v>0.69165864230849849</v>
      </c>
      <c r="G308">
        <v>0.72410191911568689</v>
      </c>
      <c r="H308" s="3">
        <v>387.43172571260669</v>
      </c>
      <c r="I308" s="3">
        <v>2.2124003698550651E-2</v>
      </c>
      <c r="J308" s="3">
        <v>2.7524174129203161E-3</v>
      </c>
      <c r="K308" s="1">
        <v>9.2096128414637605E-3</v>
      </c>
      <c r="L308" s="1">
        <v>-372.92288821559544</v>
      </c>
      <c r="M308" s="1">
        <v>-221.49553302887693</v>
      </c>
      <c r="N308" s="1">
        <v>-594.41842124447226</v>
      </c>
      <c r="O308" s="1">
        <v>-594.41842124447237</v>
      </c>
    </row>
    <row r="309" spans="2:15">
      <c r="B309">
        <v>301</v>
      </c>
      <c r="D309">
        <v>975.50458672133095</v>
      </c>
      <c r="E309">
        <v>1481.2340275071842</v>
      </c>
      <c r="F309">
        <v>0.6947451711117445</v>
      </c>
      <c r="G309">
        <v>0.7291642047697442</v>
      </c>
      <c r="H309" s="3">
        <v>424.4789454024384</v>
      </c>
      <c r="I309" s="3">
        <v>2.5370885534940737E-2</v>
      </c>
      <c r="J309" s="3">
        <v>4.146938264818819E-3</v>
      </c>
      <c r="K309" s="1">
        <v>1.1221587354859459E-2</v>
      </c>
      <c r="L309" s="1">
        <v>-32.317869961696893</v>
      </c>
      <c r="M309" s="1">
        <v>-376.47552710478527</v>
      </c>
      <c r="N309" s="1">
        <v>-408.79339706648216</v>
      </c>
      <c r="O309" s="1">
        <v>-408.79339706648216</v>
      </c>
    </row>
    <row r="310" spans="2:15">
      <c r="B310">
        <v>302</v>
      </c>
      <c r="D310">
        <v>891.81345263094863</v>
      </c>
      <c r="E310">
        <v>1416.410173154271</v>
      </c>
      <c r="F310">
        <v>0.70133574083265404</v>
      </c>
      <c r="G310">
        <v>0.72317793903663563</v>
      </c>
      <c r="H310" s="3">
        <v>426.27070450103525</v>
      </c>
      <c r="I310" s="3">
        <v>1.5940606720280061E-2</v>
      </c>
      <c r="J310" s="3">
        <v>-5.3729285047717026E-3</v>
      </c>
      <c r="K310" s="1">
        <v>1.7315832369122191E-3</v>
      </c>
      <c r="L310" s="1">
        <v>-258.20065048633302</v>
      </c>
      <c r="M310" s="1">
        <v>-261.96157600092556</v>
      </c>
      <c r="N310" s="1">
        <v>-520.16222648725852</v>
      </c>
      <c r="O310" s="1">
        <v>-520.16222648725852</v>
      </c>
    </row>
    <row r="311" spans="2:15">
      <c r="B311">
        <v>303</v>
      </c>
      <c r="D311">
        <v>723.72534487678217</v>
      </c>
      <c r="E311">
        <v>1217.8352311882793</v>
      </c>
      <c r="F311">
        <v>0.69328140454571341</v>
      </c>
      <c r="G311">
        <v>0.71739807144872458</v>
      </c>
      <c r="H311" s="3">
        <v>395.4078779671982</v>
      </c>
      <c r="I311" s="3">
        <v>1.7172933386822964E-2</v>
      </c>
      <c r="J311" s="3">
        <v>-2.5974605115369476E-3</v>
      </c>
      <c r="K311" s="1">
        <v>3.9926707879163574E-3</v>
      </c>
      <c r="L311" s="1">
        <v>-259.32472403424271</v>
      </c>
      <c r="M311" s="1">
        <v>-377.42311378243608</v>
      </c>
      <c r="N311" s="1">
        <v>-636.74783781667884</v>
      </c>
      <c r="O311" s="1">
        <v>-636.74783781667884</v>
      </c>
    </row>
    <row r="312" spans="2:15">
      <c r="B312">
        <v>304</v>
      </c>
      <c r="D312">
        <v>644.30251554674192</v>
      </c>
      <c r="E312">
        <v>1138.6617911492601</v>
      </c>
      <c r="F312">
        <v>0.69191923917760345</v>
      </c>
      <c r="G312">
        <v>0.72188253038978245</v>
      </c>
      <c r="H312" s="3">
        <v>410.74857231079949</v>
      </c>
      <c r="I312" s="3">
        <v>2.1930461870523776E-2</v>
      </c>
      <c r="J312" s="3">
        <v>1.3930332549838033E-3</v>
      </c>
      <c r="K312" s="1">
        <v>8.2388427934971271E-3</v>
      </c>
      <c r="L312" s="1">
        <v>-607.86267958429426</v>
      </c>
      <c r="M312" s="1">
        <v>-351.2779680663046</v>
      </c>
      <c r="N312" s="1">
        <v>-959.14064765059902</v>
      </c>
      <c r="O312" s="1">
        <v>-959.14064765059879</v>
      </c>
    </row>
    <row r="313" spans="2:15">
      <c r="B313">
        <v>305</v>
      </c>
      <c r="D313">
        <v>761.00983734469867</v>
      </c>
      <c r="E313">
        <v>1279.4489034371418</v>
      </c>
      <c r="F313">
        <v>0.69070580086842137</v>
      </c>
      <c r="G313">
        <v>0.70978069519256859</v>
      </c>
      <c r="H313" s="3">
        <v>432.22378984148759</v>
      </c>
      <c r="I313" s="3">
        <v>1.4298426874415559E-2</v>
      </c>
      <c r="J313" s="3">
        <v>-7.3127626176588186E-3</v>
      </c>
      <c r="K313" s="1">
        <v>-1.0903278696735956E-4</v>
      </c>
      <c r="L313" s="1">
        <v>-79.464993512115285</v>
      </c>
      <c r="M313" s="1">
        <v>-402.62176147665775</v>
      </c>
      <c r="N313" s="1">
        <v>-482.08675498877312</v>
      </c>
      <c r="O313" s="1">
        <v>-482.08675498877301</v>
      </c>
    </row>
    <row r="314" spans="2:15">
      <c r="B314">
        <v>306</v>
      </c>
      <c r="D314">
        <v>900.98020918601446</v>
      </c>
      <c r="E314">
        <v>1383.9258454195801</v>
      </c>
      <c r="F314">
        <v>0.68527203833748351</v>
      </c>
      <c r="G314">
        <v>0.72438479392117117</v>
      </c>
      <c r="H314" s="3">
        <v>381.83373871204026</v>
      </c>
      <c r="I314" s="3">
        <v>2.6597826112045371E-2</v>
      </c>
      <c r="J314" s="3">
        <v>7.5061391764433584E-3</v>
      </c>
      <c r="K314" s="1">
        <v>1.3870034821644029E-2</v>
      </c>
      <c r="L314" s="1">
        <v>-140.72694754136006</v>
      </c>
      <c r="M314" s="1">
        <v>-301.91886426212926</v>
      </c>
      <c r="N314" s="1">
        <v>-442.64581180348932</v>
      </c>
      <c r="O314" s="1">
        <v>-442.64581180348932</v>
      </c>
    </row>
    <row r="315" spans="2:15">
      <c r="B315">
        <v>307</v>
      </c>
      <c r="D315">
        <v>798.49089206669305</v>
      </c>
      <c r="E315">
        <v>1281.1066750727107</v>
      </c>
      <c r="F315">
        <v>0.68922489420533251</v>
      </c>
      <c r="G315">
        <v>0.72750709145940984</v>
      </c>
      <c r="H315" s="3">
        <v>407.07187735750915</v>
      </c>
      <c r="I315" s="3">
        <v>2.9047263996081915E-2</v>
      </c>
      <c r="J315" s="3">
        <v>8.6936701282064564E-3</v>
      </c>
      <c r="K315" s="1">
        <v>1.5478201417498276E-2</v>
      </c>
      <c r="L315" s="1">
        <v>-38.112012759700484</v>
      </c>
      <c r="M315" s="1">
        <v>-403.36534743789559</v>
      </c>
      <c r="N315" s="1">
        <v>-441.47736019759617</v>
      </c>
      <c r="O315" s="1">
        <v>-441.47736019759606</v>
      </c>
    </row>
    <row r="316" spans="2:15">
      <c r="B316">
        <v>308</v>
      </c>
      <c r="D316">
        <v>678.07149027851699</v>
      </c>
      <c r="E316">
        <v>1180.72658042686</v>
      </c>
      <c r="F316">
        <v>0.69065051938169264</v>
      </c>
      <c r="G316">
        <v>0.72006430462327176</v>
      </c>
      <c r="H316" s="3">
        <v>419.47493845798959</v>
      </c>
      <c r="I316" s="3">
        <v>2.1861860276738775E-2</v>
      </c>
      <c r="J316" s="3">
        <v>8.8811335383929407E-4</v>
      </c>
      <c r="K316" s="1">
        <v>7.8793623281391209E-3</v>
      </c>
      <c r="L316" s="1">
        <v>-282.27037513128067</v>
      </c>
      <c r="M316" s="1">
        <v>-296.49482987173656</v>
      </c>
      <c r="N316" s="1">
        <v>-578.76520500301729</v>
      </c>
      <c r="O316" s="1">
        <v>-578.76520500301717</v>
      </c>
    </row>
    <row r="317" spans="2:15">
      <c r="B317">
        <v>309</v>
      </c>
      <c r="D317">
        <v>718.82883215381389</v>
      </c>
      <c r="E317">
        <v>1223.4609619977564</v>
      </c>
      <c r="F317">
        <v>0.69774491258132587</v>
      </c>
      <c r="G317">
        <v>0.72075750871864008</v>
      </c>
      <c r="H317" s="3">
        <v>414.30792575943531</v>
      </c>
      <c r="I317" s="3">
        <v>1.6956491699849217E-2</v>
      </c>
      <c r="J317" s="3">
        <v>-3.7589045881225476E-3</v>
      </c>
      <c r="K317" s="1">
        <v>3.1462275078680407E-3</v>
      </c>
      <c r="L317" s="1">
        <v>90.985623446464416</v>
      </c>
      <c r="M317" s="1">
        <v>-263.12480978083619</v>
      </c>
      <c r="N317" s="1">
        <v>-172.13918633437169</v>
      </c>
      <c r="O317" s="1">
        <v>-172.13918633437177</v>
      </c>
    </row>
    <row r="318" spans="2:15">
      <c r="B318">
        <v>310</v>
      </c>
      <c r="D318">
        <v>890.24292750782809</v>
      </c>
      <c r="E318">
        <v>1365.6648938722051</v>
      </c>
      <c r="F318">
        <v>0.69895011307007526</v>
      </c>
      <c r="G318">
        <v>0.7298920789362614</v>
      </c>
      <c r="H318" s="3">
        <v>391.147624405952</v>
      </c>
      <c r="I318" s="3">
        <v>2.1800395755918148E-2</v>
      </c>
      <c r="J318" s="3">
        <v>2.2430145356205494E-3</v>
      </c>
      <c r="K318" s="1">
        <v>8.7621416090530833E-3</v>
      </c>
      <c r="L318" s="1">
        <v>-235.91770582442865</v>
      </c>
      <c r="M318" s="1">
        <v>-326.76628862294382</v>
      </c>
      <c r="N318" s="1">
        <v>-562.68399444737247</v>
      </c>
      <c r="O318" s="1">
        <v>-562.68399444737247</v>
      </c>
    </row>
    <row r="319" spans="2:15">
      <c r="B319">
        <v>311</v>
      </c>
      <c r="D319">
        <v>1291.2320251466572</v>
      </c>
      <c r="E319">
        <v>1771.4754150347353</v>
      </c>
      <c r="F319">
        <v>0.69063253430122695</v>
      </c>
      <c r="G319">
        <v>0.72179065154802102</v>
      </c>
      <c r="H319" s="3">
        <v>388.22482688438112</v>
      </c>
      <c r="I319" s="3">
        <v>2.1323628516792516E-2</v>
      </c>
      <c r="J319" s="3">
        <v>1.912387172573457E-3</v>
      </c>
      <c r="K319" s="1">
        <v>8.3828009539798094E-3</v>
      </c>
      <c r="L319" s="1">
        <v>-272.38313794896902</v>
      </c>
      <c r="M319" s="1">
        <v>-409.70287910522552</v>
      </c>
      <c r="N319" s="1">
        <v>-682.08601705419449</v>
      </c>
      <c r="O319" s="1">
        <v>-682.0860170541946</v>
      </c>
    </row>
    <row r="320" spans="2:15">
      <c r="B320">
        <v>312</v>
      </c>
      <c r="D320">
        <v>786.24522507196957</v>
      </c>
      <c r="E320">
        <v>1265.7126052504225</v>
      </c>
      <c r="F320">
        <v>0.69213895857182872</v>
      </c>
      <c r="G320">
        <v>0.72659219453644586</v>
      </c>
      <c r="H320" s="3">
        <v>403.13192916972508</v>
      </c>
      <c r="I320" s="3">
        <v>2.5697618322916074E-2</v>
      </c>
      <c r="J320" s="3">
        <v>5.541021864429823E-3</v>
      </c>
      <c r="K320" s="1">
        <v>1.2259887350591907E-2</v>
      </c>
      <c r="L320" s="1">
        <v>-306.12670592893846</v>
      </c>
      <c r="M320" s="1">
        <v>-421.88604335938487</v>
      </c>
      <c r="N320" s="1">
        <v>-728.01274928832322</v>
      </c>
      <c r="O320" s="1">
        <v>-728.01274928832333</v>
      </c>
    </row>
    <row r="321" spans="2:15">
      <c r="B321">
        <v>313</v>
      </c>
      <c r="D321">
        <v>845.05556501135652</v>
      </c>
      <c r="E321">
        <v>1349.387036283669</v>
      </c>
      <c r="F321">
        <v>0.67623544366847954</v>
      </c>
      <c r="G321">
        <v>0.71612472095608759</v>
      </c>
      <c r="H321" s="3">
        <v>415.29324869847323</v>
      </c>
      <c r="I321" s="3">
        <v>2.8755179050589719E-2</v>
      </c>
      <c r="J321" s="3">
        <v>7.9905166156660559E-3</v>
      </c>
      <c r="K321" s="1">
        <v>1.4912070760640611E-2</v>
      </c>
      <c r="L321" s="1">
        <v>-307.90012754507779</v>
      </c>
      <c r="M321" s="1">
        <v>-220.66762087130039</v>
      </c>
      <c r="N321" s="1">
        <v>-528.56774841637821</v>
      </c>
      <c r="O321" s="1">
        <v>-528.56774841637821</v>
      </c>
    </row>
    <row r="322" spans="2:15">
      <c r="B322">
        <v>314</v>
      </c>
      <c r="D322">
        <v>717.00988034888519</v>
      </c>
      <c r="E322">
        <v>1200.0004150201362</v>
      </c>
      <c r="F322">
        <v>0.70149978001025937</v>
      </c>
      <c r="G322">
        <v>0.73446005874150777</v>
      </c>
      <c r="H322" s="3">
        <v>384.40816444829807</v>
      </c>
      <c r="I322" s="3">
        <v>2.2950652475376872E-2</v>
      </c>
      <c r="J322" s="3">
        <v>3.730244252961968E-3</v>
      </c>
      <c r="K322" s="1">
        <v>1.0137046993766937E-2</v>
      </c>
      <c r="L322" s="1">
        <v>-33.944218402992078</v>
      </c>
      <c r="M322" s="1">
        <v>-384.81860020867538</v>
      </c>
      <c r="N322" s="1">
        <v>-418.76281861166751</v>
      </c>
      <c r="O322" s="1">
        <v>-418.76281861166746</v>
      </c>
    </row>
    <row r="323" spans="2:15">
      <c r="B323">
        <v>315</v>
      </c>
      <c r="D323">
        <v>678.09006729524469</v>
      </c>
      <c r="E323">
        <v>1163.7943093141462</v>
      </c>
      <c r="F323">
        <v>0.68840341982775954</v>
      </c>
      <c r="G323">
        <v>0.72005300072770551</v>
      </c>
      <c r="H323" s="3">
        <v>395.5688496798623</v>
      </c>
      <c r="I323" s="3">
        <v>2.3333466221468431E-2</v>
      </c>
      <c r="J323" s="3">
        <v>3.5550237374753178E-3</v>
      </c>
      <c r="K323" s="1">
        <v>1.0147837898806354E-2</v>
      </c>
      <c r="L323" s="1">
        <v>-301.10712503209675</v>
      </c>
      <c r="M323" s="1">
        <v>-347.05250443703966</v>
      </c>
      <c r="N323" s="1">
        <v>-648.15962946913646</v>
      </c>
      <c r="O323" s="1">
        <v>-648.15962946913646</v>
      </c>
    </row>
    <row r="324" spans="2:15">
      <c r="B324">
        <v>316</v>
      </c>
      <c r="D324">
        <v>902.28401500991629</v>
      </c>
      <c r="E324">
        <v>1378.9267657796033</v>
      </c>
      <c r="F324">
        <v>0.69200627412313043</v>
      </c>
      <c r="G324">
        <v>0.73018832408721912</v>
      </c>
      <c r="H324" s="3">
        <v>386.17669667791637</v>
      </c>
      <c r="I324" s="3">
        <v>2.7273903727116442E-2</v>
      </c>
      <c r="J324" s="3">
        <v>7.9650688932206247E-3</v>
      </c>
      <c r="K324" s="1">
        <v>1.4401347171185897E-2</v>
      </c>
      <c r="L324" s="1">
        <v>-338.85904620187574</v>
      </c>
      <c r="M324" s="1">
        <v>-455.663101199008</v>
      </c>
      <c r="N324" s="1">
        <v>-794.5221474008838</v>
      </c>
      <c r="O324" s="1">
        <v>-794.5221474008838</v>
      </c>
    </row>
    <row r="325" spans="2:15">
      <c r="B325">
        <v>317</v>
      </c>
      <c r="D325">
        <v>823.22759483801485</v>
      </c>
      <c r="E325">
        <v>1333.8297593543925</v>
      </c>
      <c r="F325">
        <v>0.69420418417048302</v>
      </c>
      <c r="G325">
        <v>0.70988265623634783</v>
      </c>
      <c r="H325" s="3">
        <v>422.36601441196473</v>
      </c>
      <c r="I325" s="3">
        <v>1.1806515629940496E-2</v>
      </c>
      <c r="J325" s="3">
        <v>-9.3117850906577412E-3</v>
      </c>
      <c r="K325" s="1">
        <v>-2.2723515171249944E-3</v>
      </c>
      <c r="L325" s="1">
        <v>-143.82450464618296</v>
      </c>
      <c r="M325" s="1">
        <v>-404.19846784297636</v>
      </c>
      <c r="N325" s="1">
        <v>-548.02297248915943</v>
      </c>
      <c r="O325" s="1">
        <v>-548.02297248915932</v>
      </c>
    </row>
    <row r="326" spans="2:15">
      <c r="B326">
        <v>318</v>
      </c>
      <c r="D326">
        <v>707.24700703685744</v>
      </c>
      <c r="E326">
        <v>1198.0535627878139</v>
      </c>
      <c r="F326">
        <v>0.70026680185484624</v>
      </c>
      <c r="G326">
        <v>0.7306211926960644</v>
      </c>
      <c r="H326" s="3">
        <v>384.10717473184104</v>
      </c>
      <c r="I326" s="3">
        <v>1.9845598415361154E-2</v>
      </c>
      <c r="J326" s="3">
        <v>6.4023967876910073E-4</v>
      </c>
      <c r="K326" s="1">
        <v>7.0420259242997846E-3</v>
      </c>
      <c r="L326" s="1">
        <v>-247.8472977970269</v>
      </c>
      <c r="M326" s="1">
        <v>-187.75969684566977</v>
      </c>
      <c r="N326" s="1">
        <v>-435.60699464269669</v>
      </c>
      <c r="O326" s="1">
        <v>-435.60699464269669</v>
      </c>
    </row>
    <row r="327" spans="2:15">
      <c r="B327">
        <v>319</v>
      </c>
      <c r="D327">
        <v>934.39469629602092</v>
      </c>
      <c r="E327">
        <v>1401.7979214900945</v>
      </c>
      <c r="F327">
        <v>0.68878569914229437</v>
      </c>
      <c r="G327">
        <v>0.7245545226923884</v>
      </c>
      <c r="H327" s="3">
        <v>374.13120526554337</v>
      </c>
      <c r="I327" s="3">
        <v>2.469011759502248E-2</v>
      </c>
      <c r="J327" s="3">
        <v>5.9835573317453122E-3</v>
      </c>
      <c r="K327" s="1">
        <v>1.2219077419504367E-2</v>
      </c>
      <c r="L327" s="1">
        <v>-476.5389955734596</v>
      </c>
      <c r="M327" s="1">
        <v>-268.0257868162293</v>
      </c>
      <c r="N327" s="1">
        <v>-744.56478238968896</v>
      </c>
      <c r="O327" s="1">
        <v>-744.56478238968884</v>
      </c>
    </row>
    <row r="328" spans="2:15">
      <c r="B328">
        <v>320</v>
      </c>
      <c r="D328">
        <v>808.9108205363832</v>
      </c>
      <c r="E328">
        <v>1298.063727899292</v>
      </c>
      <c r="F328">
        <v>0.70125731765879806</v>
      </c>
      <c r="G328">
        <v>0.73078398545709056</v>
      </c>
      <c r="H328" s="3">
        <v>390.97482774075741</v>
      </c>
      <c r="I328" s="3">
        <v>1.9707265975194899E-2</v>
      </c>
      <c r="J328" s="3">
        <v>1.5852458815702672E-4</v>
      </c>
      <c r="K328" s="1">
        <v>6.6747717171696495E-3</v>
      </c>
      <c r="L328" s="1">
        <v>-162.74796492134575</v>
      </c>
      <c r="M328" s="1">
        <v>-388.47206789470596</v>
      </c>
      <c r="N328" s="1">
        <v>-551.2200328160518</v>
      </c>
      <c r="O328" s="1">
        <v>-551.22003281605168</v>
      </c>
    </row>
    <row r="329" spans="2:15">
      <c r="B329">
        <v>321</v>
      </c>
      <c r="D329">
        <v>728.98692590188205</v>
      </c>
      <c r="E329">
        <v>1214.3823066540185</v>
      </c>
      <c r="F329">
        <v>0.69988742353196431</v>
      </c>
      <c r="G329">
        <v>0.72774822665433891</v>
      </c>
      <c r="H329" s="3">
        <v>393.87740770025152</v>
      </c>
      <c r="I329" s="3">
        <v>1.9856482964396432E-2</v>
      </c>
      <c r="J329" s="3">
        <v>1.6261257938385287E-4</v>
      </c>
      <c r="K329" s="1">
        <v>6.7272360410547127E-3</v>
      </c>
      <c r="L329" s="1">
        <v>-170.82488584033615</v>
      </c>
      <c r="M329" s="1">
        <v>-410.36380546157073</v>
      </c>
      <c r="N329" s="1">
        <v>-581.18869130190683</v>
      </c>
      <c r="O329" s="1">
        <v>-581.18869130190683</v>
      </c>
    </row>
    <row r="330" spans="2:15">
      <c r="B330">
        <v>322</v>
      </c>
      <c r="D330">
        <v>927.08362676950298</v>
      </c>
      <c r="E330">
        <v>1413.6587584128604</v>
      </c>
      <c r="F330">
        <v>0.70298845134743171</v>
      </c>
      <c r="G330">
        <v>0.72918794019924438</v>
      </c>
      <c r="H330" s="3">
        <v>404.75484094646509</v>
      </c>
      <c r="I330" s="3">
        <v>1.9138908215290708E-2</v>
      </c>
      <c r="J330" s="3">
        <v>-1.0988338320325475E-3</v>
      </c>
      <c r="K330" s="1">
        <v>5.6470801837418694E-3</v>
      </c>
      <c r="L330" s="1">
        <v>-363.79992899081833</v>
      </c>
      <c r="M330" s="1">
        <v>-363.34904057381925</v>
      </c>
      <c r="N330" s="1">
        <v>-727.14896956463758</v>
      </c>
      <c r="O330" s="1">
        <v>-727.14896956463758</v>
      </c>
    </row>
    <row r="331" spans="2:15">
      <c r="B331">
        <v>323</v>
      </c>
      <c r="D331">
        <v>856.25132917558244</v>
      </c>
      <c r="E331">
        <v>1367.5749324864898</v>
      </c>
      <c r="F331">
        <v>0.69702223721237733</v>
      </c>
      <c r="G331">
        <v>0.73030464047532562</v>
      </c>
      <c r="H331" s="3">
        <v>424.49672386629504</v>
      </c>
      <c r="I331" s="3">
        <v>2.4242627934782671E-2</v>
      </c>
      <c r="J331" s="3">
        <v>3.0177917414679171E-3</v>
      </c>
      <c r="K331" s="1">
        <v>1.0092737139239503E-2</v>
      </c>
      <c r="L331" s="1">
        <v>-123.39342329142127</v>
      </c>
      <c r="M331" s="1">
        <v>-373.812970600543</v>
      </c>
      <c r="N331" s="1">
        <v>-497.20639389196424</v>
      </c>
      <c r="O331" s="1">
        <v>-497.20639389196424</v>
      </c>
    </row>
    <row r="332" spans="2:15">
      <c r="B332">
        <v>324</v>
      </c>
      <c r="D332">
        <v>750.11609279892104</v>
      </c>
      <c r="E332">
        <v>1236.8763177755889</v>
      </c>
      <c r="F332">
        <v>0.71005273003762226</v>
      </c>
      <c r="G332">
        <v>0.73440266093890738</v>
      </c>
      <c r="H332" s="3">
        <v>394.08279948029514</v>
      </c>
      <c r="I332" s="3">
        <v>1.6947678838953966E-2</v>
      </c>
      <c r="J332" s="3">
        <v>-2.7564611350607907E-3</v>
      </c>
      <c r="K332" s="1">
        <v>3.8115855229441283E-3</v>
      </c>
      <c r="L332" s="1">
        <v>-384.42616851112018</v>
      </c>
      <c r="M332" s="1">
        <v>-405.42662063108128</v>
      </c>
      <c r="N332" s="1">
        <v>-789.85278914220146</v>
      </c>
      <c r="O332" s="1">
        <v>-789.85278914220146</v>
      </c>
    </row>
    <row r="333" spans="2:15">
      <c r="B333">
        <v>325</v>
      </c>
      <c r="D333">
        <v>694.47651352026799</v>
      </c>
      <c r="E333">
        <v>1199.3541501069744</v>
      </c>
      <c r="F333">
        <v>0.69604521998265911</v>
      </c>
      <c r="G333">
        <v>0.71162441116842612</v>
      </c>
      <c r="H333" s="3">
        <v>398.93747563007491</v>
      </c>
      <c r="I333" s="3">
        <v>1.0998070696472602E-2</v>
      </c>
      <c r="J333" s="3">
        <v>-8.9488030850311418E-3</v>
      </c>
      <c r="K333" s="1">
        <v>-2.299845157863226E-3</v>
      </c>
      <c r="L333" s="1">
        <v>-246.16695093202253</v>
      </c>
      <c r="M333" s="1">
        <v>-366.81652506080587</v>
      </c>
      <c r="N333" s="1">
        <v>-612.9834759928284</v>
      </c>
      <c r="O333" s="1">
        <v>-612.9834759928284</v>
      </c>
    </row>
    <row r="334" spans="2:15">
      <c r="B334">
        <v>326</v>
      </c>
      <c r="D334">
        <v>1025.7008968061468</v>
      </c>
      <c r="E334">
        <v>1505.2982955614737</v>
      </c>
      <c r="F334">
        <v>0.68719905157020722</v>
      </c>
      <c r="G334">
        <v>0.72285377702989273</v>
      </c>
      <c r="H334" s="3">
        <v>395.68425740930275</v>
      </c>
      <c r="I334" s="3">
        <v>2.6115276165371782E-2</v>
      </c>
      <c r="J334" s="3">
        <v>6.3310632949066456E-3</v>
      </c>
      <c r="K334" s="1">
        <v>1.2925800918395024E-2</v>
      </c>
      <c r="L334" s="1">
        <v>-62.622052913538234</v>
      </c>
      <c r="M334" s="1">
        <v>-495.60807178125839</v>
      </c>
      <c r="N334" s="1">
        <v>-558.23012469479647</v>
      </c>
      <c r="O334" s="1">
        <v>-558.23012469479659</v>
      </c>
    </row>
    <row r="335" spans="2:15">
      <c r="B335">
        <v>327</v>
      </c>
      <c r="D335">
        <v>1058.38512698568</v>
      </c>
      <c r="E335">
        <v>1514.3381410489844</v>
      </c>
      <c r="F335">
        <v>0.68800730246979547</v>
      </c>
      <c r="G335">
        <v>0.73317954174747191</v>
      </c>
      <c r="H335" s="3">
        <v>378.8217356291558</v>
      </c>
      <c r="I335" s="3">
        <v>3.3022628765967441E-2</v>
      </c>
      <c r="J335" s="3">
        <v>1.4081541984509654E-2</v>
      </c>
      <c r="K335" s="1">
        <v>2.0395237578328916E-2</v>
      </c>
      <c r="L335" s="1">
        <v>-185.50063287064731</v>
      </c>
      <c r="M335" s="1">
        <v>-261.8927527546162</v>
      </c>
      <c r="N335" s="1">
        <v>-447.39338562526348</v>
      </c>
      <c r="O335" s="1">
        <v>-447.39338562526348</v>
      </c>
    </row>
    <row r="336" spans="2:15">
      <c r="B336">
        <v>328</v>
      </c>
      <c r="D336">
        <v>783.5128700429791</v>
      </c>
      <c r="E336">
        <v>1272.0854674895611</v>
      </c>
      <c r="F336">
        <v>0.69307593392123534</v>
      </c>
      <c r="G336">
        <v>0.72498969277183789</v>
      </c>
      <c r="H336" s="3">
        <v>391.93728200715952</v>
      </c>
      <c r="I336" s="3">
        <v>2.2127113916392722E-2</v>
      </c>
      <c r="J336" s="3">
        <v>2.530249816034745E-3</v>
      </c>
      <c r="K336" s="1">
        <v>9.0625378494874047E-3</v>
      </c>
      <c r="L336" s="1">
        <v>-299.45011219070739</v>
      </c>
      <c r="M336" s="1">
        <v>-254.25183778034156</v>
      </c>
      <c r="N336" s="1">
        <v>-553.70194997104898</v>
      </c>
      <c r="O336" s="1">
        <v>-553.70194997104898</v>
      </c>
    </row>
    <row r="337" spans="2:15">
      <c r="B337">
        <v>329</v>
      </c>
      <c r="D337">
        <v>856.90846527951544</v>
      </c>
      <c r="E337">
        <v>1320.6341986608645</v>
      </c>
      <c r="F337">
        <v>0.6932415056097051</v>
      </c>
      <c r="G337">
        <v>0.73177223249827705</v>
      </c>
      <c r="H337" s="3">
        <v>378.37793617795597</v>
      </c>
      <c r="I337" s="3">
        <v>2.7907247095901897E-2</v>
      </c>
      <c r="J337" s="3">
        <v>8.9883502870041002E-3</v>
      </c>
      <c r="K337" s="1">
        <v>1.5294649223303364E-2</v>
      </c>
      <c r="L337" s="1">
        <v>-223.30960215985598</v>
      </c>
      <c r="M337" s="1">
        <v>-349.68288688878766</v>
      </c>
      <c r="N337" s="1">
        <v>-572.99248904864362</v>
      </c>
      <c r="O337" s="1">
        <v>-572.99248904864362</v>
      </c>
    </row>
    <row r="338" spans="2:15">
      <c r="B338">
        <v>330</v>
      </c>
      <c r="D338">
        <v>861.51811877688124</v>
      </c>
      <c r="E338">
        <v>1330.8200112855563</v>
      </c>
      <c r="F338">
        <v>0.69208817284296931</v>
      </c>
      <c r="G338">
        <v>0.71845080656400018</v>
      </c>
      <c r="H338" s="3">
        <v>382.06390262877096</v>
      </c>
      <c r="I338" s="3">
        <v>1.8956527348867935E-2</v>
      </c>
      <c r="J338" s="3">
        <v>-1.4666778257061211E-4</v>
      </c>
      <c r="K338" s="1">
        <v>6.2210639279089031E-3</v>
      </c>
      <c r="L338" s="1">
        <v>-239.72235891280428</v>
      </c>
      <c r="M338" s="1">
        <v>-426.09594435611081</v>
      </c>
      <c r="N338" s="1">
        <v>-665.8183032689152</v>
      </c>
      <c r="O338" s="1">
        <v>-665.81830326891509</v>
      </c>
    </row>
    <row r="339" spans="2:15">
      <c r="B339">
        <v>331</v>
      </c>
      <c r="D339">
        <v>1051.0862820982281</v>
      </c>
      <c r="E339">
        <v>1547.8369903663452</v>
      </c>
      <c r="F339">
        <v>0.70013028173516834</v>
      </c>
      <c r="G339">
        <v>0.73041887814960216</v>
      </c>
      <c r="H339" s="3">
        <v>400.69961907264781</v>
      </c>
      <c r="I339" s="3">
        <v>2.102638300670389E-2</v>
      </c>
      <c r="J339" s="3">
        <v>9.9140205307150092E-4</v>
      </c>
      <c r="K339" s="1">
        <v>7.6697290376156295E-3</v>
      </c>
      <c r="L339" s="1">
        <v>-158.23562334052534</v>
      </c>
      <c r="M339" s="1">
        <v>-222.07323581704867</v>
      </c>
      <c r="N339" s="1">
        <v>-380.30885915757415</v>
      </c>
      <c r="O339" s="1">
        <v>-380.30885915757403</v>
      </c>
    </row>
    <row r="340" spans="2:15">
      <c r="B340">
        <v>332</v>
      </c>
      <c r="D340">
        <v>744.1944151750406</v>
      </c>
      <c r="E340">
        <v>1232.4378094636195</v>
      </c>
      <c r="F340">
        <v>0.69868607235243485</v>
      </c>
      <c r="G340">
        <v>0.72960712558378815</v>
      </c>
      <c r="H340" s="3">
        <v>394.14545615215138</v>
      </c>
      <c r="I340" s="3">
        <v>2.2066271453935252E-2</v>
      </c>
      <c r="J340" s="3">
        <v>2.3589986463276834E-3</v>
      </c>
      <c r="K340" s="1">
        <v>8.9280895821968725E-3</v>
      </c>
      <c r="L340" s="1">
        <v>-185.13809691115992</v>
      </c>
      <c r="M340" s="1">
        <v>-407.62677623416585</v>
      </c>
      <c r="N340" s="1">
        <v>-592.76487314532574</v>
      </c>
      <c r="O340" s="1">
        <v>-592.76487314532574</v>
      </c>
    </row>
    <row r="341" spans="2:15">
      <c r="B341">
        <v>333</v>
      </c>
      <c r="D341">
        <v>750.09268108288143</v>
      </c>
      <c r="E341">
        <v>1252.2443009737476</v>
      </c>
      <c r="F341">
        <v>0.69822198918366052</v>
      </c>
      <c r="G341">
        <v>0.71691651557062108</v>
      </c>
      <c r="H341" s="3">
        <v>387.67195643734141</v>
      </c>
      <c r="I341" s="3">
        <v>1.2264634674227415E-2</v>
      </c>
      <c r="J341" s="3">
        <v>-7.1189631476396547E-3</v>
      </c>
      <c r="K341" s="1">
        <v>-6.577638736839659E-4</v>
      </c>
      <c r="L341" s="1">
        <v>-393.72796987484867</v>
      </c>
      <c r="M341" s="1">
        <v>-453.77575305001392</v>
      </c>
      <c r="N341" s="1">
        <v>-847.50372292486259</v>
      </c>
      <c r="O341" s="1">
        <v>-847.50372292486259</v>
      </c>
    </row>
    <row r="342" spans="2:15">
      <c r="B342">
        <v>334</v>
      </c>
      <c r="D342">
        <v>834.86448144059398</v>
      </c>
      <c r="E342">
        <v>1336.0728814411898</v>
      </c>
      <c r="F342">
        <v>0.68229707976863907</v>
      </c>
      <c r="G342">
        <v>0.71996012479640947</v>
      </c>
      <c r="H342" s="3">
        <v>404.84080297825011</v>
      </c>
      <c r="I342" s="3">
        <v>2.6574310107787651E-2</v>
      </c>
      <c r="J342" s="3">
        <v>6.332269958875144E-3</v>
      </c>
      <c r="K342" s="1">
        <v>1.3079616675179312E-2</v>
      </c>
      <c r="L342" s="1">
        <v>-348.30154852328496</v>
      </c>
      <c r="M342" s="1">
        <v>-368.03015405061041</v>
      </c>
      <c r="N342" s="1">
        <v>-716.33170257389531</v>
      </c>
      <c r="O342" s="1">
        <v>-716.33170257389543</v>
      </c>
    </row>
    <row r="343" spans="2:15">
      <c r="B343">
        <v>335</v>
      </c>
      <c r="D343">
        <v>761.40169160404162</v>
      </c>
      <c r="E343">
        <v>1252.8710952981844</v>
      </c>
      <c r="F343">
        <v>0.68704705203413696</v>
      </c>
      <c r="G343">
        <v>0.72827533313374471</v>
      </c>
      <c r="H343" s="3">
        <v>386.00687147618009</v>
      </c>
      <c r="I343" s="3">
        <v>2.8056356135602888E-2</v>
      </c>
      <c r="J343" s="3">
        <v>8.7560125617938828E-3</v>
      </c>
      <c r="K343" s="1">
        <v>1.5189460419730218E-2</v>
      </c>
      <c r="L343" s="1">
        <v>-280.21717099351741</v>
      </c>
      <c r="M343" s="1">
        <v>-328.38989178497616</v>
      </c>
      <c r="N343" s="1">
        <v>-608.60706277849351</v>
      </c>
      <c r="O343" s="1">
        <v>-608.60706277849363</v>
      </c>
    </row>
    <row r="344" spans="2:15">
      <c r="B344">
        <v>336</v>
      </c>
      <c r="D344">
        <v>818.80969580007798</v>
      </c>
      <c r="E344">
        <v>1285.4674653781551</v>
      </c>
      <c r="F344">
        <v>0.67643550725071966</v>
      </c>
      <c r="G344">
        <v>0.71501736333225496</v>
      </c>
      <c r="H344" s="3">
        <v>388.26684605437623</v>
      </c>
      <c r="I344" s="3">
        <v>2.853138106538395E-2</v>
      </c>
      <c r="J344" s="3">
        <v>9.1180387626651378E-3</v>
      </c>
      <c r="K344" s="1">
        <v>1.5589152863571409E-2</v>
      </c>
      <c r="L344" s="1">
        <v>-621.62824737326059</v>
      </c>
      <c r="M344" s="1">
        <v>-472.57687660490126</v>
      </c>
      <c r="N344" s="1">
        <v>-1094.2051239781617</v>
      </c>
      <c r="O344" s="1">
        <v>-1094.2051239781617</v>
      </c>
    </row>
    <row r="345" spans="2:15">
      <c r="B345">
        <v>337</v>
      </c>
      <c r="D345">
        <v>796.39871804820041</v>
      </c>
      <c r="E345">
        <v>1312.5484380392299</v>
      </c>
      <c r="F345">
        <v>0.69694552798432197</v>
      </c>
      <c r="G345">
        <v>0.72778817157203546</v>
      </c>
      <c r="H345" s="3">
        <v>399.64831094975722</v>
      </c>
      <c r="I345" s="3">
        <v>2.0851105768555513E-2</v>
      </c>
      <c r="J345" s="3">
        <v>8.6869022106764865E-4</v>
      </c>
      <c r="K345" s="1">
        <v>7.5294954035636033E-3</v>
      </c>
      <c r="L345" s="1">
        <v>-246.59239199435459</v>
      </c>
      <c r="M345" s="1">
        <v>-277.48119463486512</v>
      </c>
      <c r="N345" s="1">
        <v>-524.07358662921968</v>
      </c>
      <c r="O345" s="1">
        <v>-524.07358662921968</v>
      </c>
    </row>
    <row r="346" spans="2:15">
      <c r="B346">
        <v>338</v>
      </c>
      <c r="D346">
        <v>1100.1633911705469</v>
      </c>
      <c r="E346">
        <v>1609.0192505740845</v>
      </c>
      <c r="F346">
        <v>0.68907383479130035</v>
      </c>
      <c r="G346">
        <v>0.72057347111271608</v>
      </c>
      <c r="H346" s="3">
        <v>432.733832069166</v>
      </c>
      <c r="I346" s="3">
        <v>2.3406682468023004E-2</v>
      </c>
      <c r="J346" s="3">
        <v>1.7699908645647036E-3</v>
      </c>
      <c r="K346" s="1">
        <v>8.9822213990508031E-3</v>
      </c>
      <c r="L346" s="1">
        <v>-408.53856038918639</v>
      </c>
      <c r="M346" s="1">
        <v>-402.42592844821291</v>
      </c>
      <c r="N346" s="1">
        <v>-810.96448883739924</v>
      </c>
      <c r="O346" s="1">
        <v>-810.96448883739936</v>
      </c>
    </row>
    <row r="347" spans="2:15">
      <c r="B347">
        <v>339</v>
      </c>
      <c r="D347">
        <v>1041.9218854689161</v>
      </c>
      <c r="E347">
        <v>1557.1876112533516</v>
      </c>
      <c r="F347">
        <v>0.67809685776755546</v>
      </c>
      <c r="G347">
        <v>0.70306915359564603</v>
      </c>
      <c r="H347" s="3">
        <v>413.46290976034078</v>
      </c>
      <c r="I347" s="3">
        <v>1.7337314499491139E-2</v>
      </c>
      <c r="J347" s="3">
        <v>-3.3358309885259015E-3</v>
      </c>
      <c r="K347" s="1">
        <v>3.5552175074797798E-3</v>
      </c>
      <c r="L347" s="1">
        <v>-187.21944188955513</v>
      </c>
      <c r="M347" s="1">
        <v>-291.76503617340057</v>
      </c>
      <c r="N347" s="1">
        <v>-478.98447806295576</v>
      </c>
      <c r="O347" s="1">
        <v>-478.9844780629557</v>
      </c>
    </row>
    <row r="348" spans="2:15">
      <c r="B348">
        <v>340</v>
      </c>
      <c r="D348">
        <v>863.20507183857092</v>
      </c>
      <c r="E348">
        <v>1328.0726476094471</v>
      </c>
      <c r="F348">
        <v>0.69751178282235571</v>
      </c>
      <c r="G348">
        <v>0.7293711157662327</v>
      </c>
      <c r="H348" s="3">
        <v>369.12006643282638</v>
      </c>
      <c r="I348" s="3">
        <v>2.1578249084829852E-2</v>
      </c>
      <c r="J348" s="3">
        <v>3.1222457631885324E-3</v>
      </c>
      <c r="K348" s="1">
        <v>9.2742468704023057E-3</v>
      </c>
      <c r="L348" s="1">
        <v>-100.02384206763074</v>
      </c>
      <c r="M348" s="1">
        <v>-395.4483117102024</v>
      </c>
      <c r="N348" s="1">
        <v>-495.47215377783311</v>
      </c>
      <c r="O348" s="1">
        <v>-495.47215377783311</v>
      </c>
    </row>
    <row r="349" spans="2:15">
      <c r="B349">
        <v>341</v>
      </c>
      <c r="D349">
        <v>851.3739595089786</v>
      </c>
      <c r="E349">
        <v>1377.5470968867296</v>
      </c>
      <c r="F349">
        <v>0.67952118823714724</v>
      </c>
      <c r="G349">
        <v>0.71438929369941295</v>
      </c>
      <c r="H349" s="3">
        <v>423.79009639759488</v>
      </c>
      <c r="I349" s="3">
        <v>2.4467402426165817E-2</v>
      </c>
      <c r="J349" s="3">
        <v>3.2778976062860718E-3</v>
      </c>
      <c r="K349" s="1">
        <v>1.0341065879579321E-2</v>
      </c>
      <c r="L349" s="1">
        <v>-336.02389457830304</v>
      </c>
      <c r="M349" s="1">
        <v>-309.34308715538509</v>
      </c>
      <c r="N349" s="1">
        <v>-645.36698173368814</v>
      </c>
      <c r="O349" s="1">
        <v>-645.36698173368814</v>
      </c>
    </row>
    <row r="350" spans="2:15">
      <c r="B350">
        <v>342</v>
      </c>
      <c r="D350">
        <v>813.38112176823881</v>
      </c>
      <c r="E350">
        <v>1295.8625288685196</v>
      </c>
      <c r="F350">
        <v>0.67841080502876161</v>
      </c>
      <c r="G350">
        <v>0.71898556371841638</v>
      </c>
      <c r="H350" s="3">
        <v>381.3387477252972</v>
      </c>
      <c r="I350" s="3">
        <v>2.7719433944150072E-2</v>
      </c>
      <c r="J350" s="3">
        <v>8.6524965578852128E-3</v>
      </c>
      <c r="K350" s="1">
        <v>1.5008142353306832E-2</v>
      </c>
      <c r="L350" s="1">
        <v>-55.591005082903763</v>
      </c>
      <c r="M350" s="1">
        <v>-283.56133862703433</v>
      </c>
      <c r="N350" s="1">
        <v>-339.15234370993801</v>
      </c>
      <c r="O350" s="1">
        <v>-339.15234370993812</v>
      </c>
    </row>
    <row r="351" spans="2:15">
      <c r="B351">
        <v>343</v>
      </c>
      <c r="D351">
        <v>982.95920262258721</v>
      </c>
      <c r="E351">
        <v>1447.7730738674636</v>
      </c>
      <c r="F351">
        <v>0.69066607789631995</v>
      </c>
      <c r="G351">
        <v>0.72773256037089529</v>
      </c>
      <c r="H351" s="3">
        <v>377.89604882995872</v>
      </c>
      <c r="I351" s="3">
        <v>2.5714808464861908E-2</v>
      </c>
      <c r="J351" s="3">
        <v>6.8200060233639739E-3</v>
      </c>
      <c r="K351" s="1">
        <v>1.3118273503863284E-2</v>
      </c>
      <c r="L351" s="1">
        <v>-51.673878586929739</v>
      </c>
      <c r="M351" s="1">
        <v>-339.26183449019658</v>
      </c>
      <c r="N351" s="1">
        <v>-390.93571307712637</v>
      </c>
      <c r="O351" s="1">
        <v>-390.93571307712631</v>
      </c>
    </row>
    <row r="352" spans="2:15">
      <c r="B352">
        <v>344</v>
      </c>
      <c r="D352">
        <v>699.67740322527141</v>
      </c>
      <c r="E352">
        <v>1172.7496519222434</v>
      </c>
      <c r="F352">
        <v>0.69202264855825169</v>
      </c>
      <c r="G352">
        <v>0.73332017172962094</v>
      </c>
      <c r="H352" s="3">
        <v>400.2135086030288</v>
      </c>
      <c r="I352" s="3">
        <v>3.1031916586004155E-2</v>
      </c>
      <c r="J352" s="3">
        <v>1.102124115585271E-2</v>
      </c>
      <c r="K352" s="1">
        <v>1.7691466299236527E-2</v>
      </c>
      <c r="L352" s="1">
        <v>-310.39049634264296</v>
      </c>
      <c r="M352" s="1">
        <v>-419.16880182415167</v>
      </c>
      <c r="N352" s="1">
        <v>-729.55929816679463</v>
      </c>
      <c r="O352" s="1">
        <v>-729.55929816679463</v>
      </c>
    </row>
    <row r="353" spans="2:15">
      <c r="B353">
        <v>345</v>
      </c>
      <c r="D353">
        <v>761.56748753896125</v>
      </c>
      <c r="E353">
        <v>1238.9928392683112</v>
      </c>
      <c r="F353">
        <v>0.68909971200341857</v>
      </c>
      <c r="G353">
        <v>0.73271269972963271</v>
      </c>
      <c r="H353" s="3">
        <v>382.96652470808471</v>
      </c>
      <c r="I353" s="3">
        <v>3.0431128695732695E-2</v>
      </c>
      <c r="J353" s="3">
        <v>1.1282802460328461E-2</v>
      </c>
      <c r="K353" s="1">
        <v>1.766557787212987E-2</v>
      </c>
      <c r="L353" s="1">
        <v>-279.84620488446546</v>
      </c>
      <c r="M353" s="1">
        <v>-189.30411136936112</v>
      </c>
      <c r="N353" s="1">
        <v>-469.15031625382653</v>
      </c>
      <c r="O353" s="1">
        <v>-469.15031625382659</v>
      </c>
    </row>
    <row r="354" spans="2:15">
      <c r="B354">
        <v>346</v>
      </c>
      <c r="D354">
        <v>772.89512065379938</v>
      </c>
      <c r="E354">
        <v>1292.3917308341552</v>
      </c>
      <c r="F354">
        <v>0.70083464545984464</v>
      </c>
      <c r="G354">
        <v>0.71958055883330041</v>
      </c>
      <c r="H354" s="3">
        <v>424.18178949957758</v>
      </c>
      <c r="I354" s="3">
        <v>1.3068362060172953E-2</v>
      </c>
      <c r="J354" s="3">
        <v>-8.1407274148059261E-3</v>
      </c>
      <c r="K354" s="1">
        <v>-1.0710309231462996E-3</v>
      </c>
      <c r="L354" s="1">
        <v>-48.29106580952714</v>
      </c>
      <c r="M354" s="1">
        <v>-368.37305027310538</v>
      </c>
      <c r="N354" s="1">
        <v>-416.66411608263252</v>
      </c>
      <c r="O354" s="1">
        <v>-416.66411608263252</v>
      </c>
    </row>
    <row r="355" spans="2:15">
      <c r="B355">
        <v>347</v>
      </c>
      <c r="D355">
        <v>939.13726412492281</v>
      </c>
      <c r="E355">
        <v>1436.3739486691477</v>
      </c>
      <c r="F355">
        <v>0.69719518730644658</v>
      </c>
      <c r="G355">
        <v>0.72185773806170284</v>
      </c>
      <c r="H355" s="3">
        <v>408.98689734765168</v>
      </c>
      <c r="I355" s="3">
        <v>1.7575421241503571E-2</v>
      </c>
      <c r="J355" s="3">
        <v>-2.8739236258790123E-3</v>
      </c>
      <c r="K355" s="1">
        <v>3.9425246632485162E-3</v>
      </c>
      <c r="L355" s="1">
        <v>-178.43935354906534</v>
      </c>
      <c r="M355" s="1">
        <v>-399.62858408680694</v>
      </c>
      <c r="N355" s="1">
        <v>-578.06793763587211</v>
      </c>
      <c r="O355" s="1">
        <v>-578.06793763587234</v>
      </c>
    </row>
    <row r="356" spans="2:15">
      <c r="B356">
        <v>348</v>
      </c>
      <c r="D356">
        <v>720.74849624674164</v>
      </c>
      <c r="E356">
        <v>1203.7234055545675</v>
      </c>
      <c r="F356">
        <v>0.69244764567708283</v>
      </c>
      <c r="G356">
        <v>0.72853224942731987</v>
      </c>
      <c r="H356" s="3">
        <v>405.19828847537281</v>
      </c>
      <c r="I356" s="3">
        <v>2.6341960916243638E-2</v>
      </c>
      <c r="J356" s="3">
        <v>6.082046492474999E-3</v>
      </c>
      <c r="K356" s="1">
        <v>1.2835351300397877E-2</v>
      </c>
      <c r="L356" s="1">
        <v>-399.26495568658981</v>
      </c>
      <c r="M356" s="1">
        <v>-402.00022302673756</v>
      </c>
      <c r="N356" s="1">
        <v>-801.26517871332726</v>
      </c>
      <c r="O356" s="1">
        <v>-801.26517871332737</v>
      </c>
    </row>
    <row r="357" spans="2:15">
      <c r="B357">
        <v>349</v>
      </c>
      <c r="D357">
        <v>1053.8142135604214</v>
      </c>
      <c r="E357">
        <v>1551.2047184040225</v>
      </c>
      <c r="F357">
        <v>0.69903927527546361</v>
      </c>
      <c r="G357">
        <v>0.73778011983031599</v>
      </c>
      <c r="H357" s="3">
        <v>383.76560817198452</v>
      </c>
      <c r="I357" s="3">
        <v>2.457997563499021E-2</v>
      </c>
      <c r="J357" s="3">
        <v>5.3916952263909843E-3</v>
      </c>
      <c r="K357" s="1">
        <v>1.178778869592406E-2</v>
      </c>
      <c r="L357" s="1">
        <v>-215.78654912532642</v>
      </c>
      <c r="M357" s="1">
        <v>-337.88207294250765</v>
      </c>
      <c r="N357" s="1">
        <v>-553.66862206783412</v>
      </c>
      <c r="O357" s="1">
        <v>-553.66862206783412</v>
      </c>
    </row>
    <row r="358" spans="2:15">
      <c r="B358">
        <v>350</v>
      </c>
      <c r="D358">
        <v>744.28696264525843</v>
      </c>
      <c r="E358">
        <v>1234.6663903906642</v>
      </c>
      <c r="F358">
        <v>0.68535402097413822</v>
      </c>
      <c r="G358">
        <v>0.72692507488154545</v>
      </c>
      <c r="H358" s="3">
        <v>397.61134461202084</v>
      </c>
      <c r="I358" s="3">
        <v>2.9270101204848919E-2</v>
      </c>
      <c r="J358" s="3">
        <v>9.3895339742478753E-3</v>
      </c>
      <c r="K358" s="1">
        <v>1.6016389717781555E-2</v>
      </c>
      <c r="L358" s="1">
        <v>-256.89432371599986</v>
      </c>
      <c r="M358" s="1">
        <v>-233.20064935987384</v>
      </c>
      <c r="N358" s="1">
        <v>-490.09497307587367</v>
      </c>
      <c r="O358" s="1">
        <v>-490.09497307587367</v>
      </c>
    </row>
    <row r="359" spans="2:15">
      <c r="B359">
        <v>351</v>
      </c>
      <c r="D359">
        <v>881.60184775122138</v>
      </c>
      <c r="E359">
        <v>1385.592415574341</v>
      </c>
      <c r="F359">
        <v>0.68476699403366115</v>
      </c>
      <c r="G359">
        <v>0.72792360753575214</v>
      </c>
      <c r="H359" s="3">
        <v>421.47054068033771</v>
      </c>
      <c r="I359" s="3">
        <v>3.2120886067800274E-2</v>
      </c>
      <c r="J359" s="3">
        <v>1.1047359033783392E-2</v>
      </c>
      <c r="K359" s="1">
        <v>1.8071868045122352E-2</v>
      </c>
      <c r="L359" s="1">
        <v>-108.82559424327739</v>
      </c>
      <c r="M359" s="1">
        <v>-281.82373250525967</v>
      </c>
      <c r="N359" s="1">
        <v>-390.64932674853696</v>
      </c>
      <c r="O359" s="1">
        <v>-390.64932674853708</v>
      </c>
    </row>
    <row r="360" spans="2:15">
      <c r="B360">
        <v>352</v>
      </c>
      <c r="D360">
        <v>693.07871040558257</v>
      </c>
      <c r="E360">
        <v>1194.7040281890804</v>
      </c>
      <c r="F360">
        <v>0.69637698845097451</v>
      </c>
      <c r="G360">
        <v>0.71778228575677383</v>
      </c>
      <c r="H360" s="3">
        <v>400.39966263600843</v>
      </c>
      <c r="I360" s="3">
        <v>1.4998897264327904E-2</v>
      </c>
      <c r="J360" s="3">
        <v>-5.0210858674725189E-3</v>
      </c>
      <c r="K360" s="1">
        <v>1.6522418431276237E-3</v>
      </c>
      <c r="L360" s="1">
        <v>-79.636384622727192</v>
      </c>
      <c r="M360" s="1">
        <v>-283.69841968040026</v>
      </c>
      <c r="N360" s="1">
        <v>-363.33480430312744</v>
      </c>
      <c r="O360" s="1">
        <v>-363.33480430312744</v>
      </c>
    </row>
    <row r="361" spans="2:15">
      <c r="B361">
        <v>353</v>
      </c>
      <c r="D361">
        <v>928.58099772937021</v>
      </c>
      <c r="E361">
        <v>1408.8954129136084</v>
      </c>
      <c r="F361">
        <v>0.68379241370399524</v>
      </c>
      <c r="G361">
        <v>0.71832681002282961</v>
      </c>
      <c r="H361" s="3">
        <v>374.06649307420247</v>
      </c>
      <c r="I361" s="3">
        <v>2.2971295256347158E-2</v>
      </c>
      <c r="J361" s="3">
        <v>4.2679706026370369E-3</v>
      </c>
      <c r="K361" s="1">
        <v>1.0502412153873745E-2</v>
      </c>
      <c r="L361" s="1">
        <v>-323.24297579155115</v>
      </c>
      <c r="M361" s="1">
        <v>-326.89196392864812</v>
      </c>
      <c r="N361" s="1">
        <v>-650.13493972019933</v>
      </c>
      <c r="O361" s="1">
        <v>-650.13493972019933</v>
      </c>
    </row>
    <row r="362" spans="2:15">
      <c r="B362">
        <v>354</v>
      </c>
      <c r="D362">
        <v>941.82981993361068</v>
      </c>
      <c r="E362">
        <v>1447.6600106957931</v>
      </c>
      <c r="F362">
        <v>0.69273850103911294</v>
      </c>
      <c r="G362">
        <v>0.72918015972878736</v>
      </c>
      <c r="H362" s="3">
        <v>421.8617284037565</v>
      </c>
      <c r="I362" s="3">
        <v>2.7313089798559724E-2</v>
      </c>
      <c r="J362" s="3">
        <v>6.220003378371898E-3</v>
      </c>
      <c r="K362" s="1">
        <v>1.3251032185101173E-2</v>
      </c>
      <c r="L362" s="1">
        <v>-184.98655632063881</v>
      </c>
      <c r="M362" s="1">
        <v>-298.6711232162985</v>
      </c>
      <c r="N362" s="1">
        <v>-483.65767953693728</v>
      </c>
      <c r="O362" s="1">
        <v>-483.65767953693728</v>
      </c>
    </row>
    <row r="363" spans="2:15">
      <c r="B363">
        <v>355</v>
      </c>
      <c r="D363">
        <v>923.93527517342795</v>
      </c>
      <c r="E363">
        <v>1414.6381256867612</v>
      </c>
      <c r="F363">
        <v>0.69839705529763585</v>
      </c>
      <c r="G363">
        <v>0.73562700438880224</v>
      </c>
      <c r="H363" s="3">
        <v>407.78293561697564</v>
      </c>
      <c r="I363" s="3">
        <v>2.6971197312314066E-2</v>
      </c>
      <c r="J363" s="3">
        <v>6.582050531465284E-3</v>
      </c>
      <c r="K363" s="1">
        <v>1.3378432791748211E-2</v>
      </c>
      <c r="L363" s="1">
        <v>-150.37099346545602</v>
      </c>
      <c r="M363" s="1">
        <v>-286.46129218779043</v>
      </c>
      <c r="N363" s="1">
        <v>-436.83228565324646</v>
      </c>
      <c r="O363" s="1">
        <v>-436.83228565324646</v>
      </c>
    </row>
    <row r="364" spans="2:15">
      <c r="B364">
        <v>356</v>
      </c>
      <c r="D364">
        <v>639.24753891358614</v>
      </c>
      <c r="E364">
        <v>1152.3191610612071</v>
      </c>
      <c r="F364">
        <v>0.70891130545103664</v>
      </c>
      <c r="G364">
        <v>0.73591658808735416</v>
      </c>
      <c r="H364" s="3">
        <v>411.00181162692729</v>
      </c>
      <c r="I364" s="3">
        <v>1.857154445287967E-2</v>
      </c>
      <c r="J364" s="3">
        <v>-1.9785461284666933E-3</v>
      </c>
      <c r="K364" s="1">
        <v>4.8714840653154273E-3</v>
      </c>
      <c r="L364" s="1">
        <v>-222.01558179355285</v>
      </c>
      <c r="M364" s="1">
        <v>-276.21145534857396</v>
      </c>
      <c r="N364" s="1">
        <v>-498.22703714212685</v>
      </c>
      <c r="O364" s="1">
        <v>-498.22703714212685</v>
      </c>
    </row>
    <row r="365" spans="2:15">
      <c r="B365">
        <v>357</v>
      </c>
      <c r="D365">
        <v>792.44725521008763</v>
      </c>
      <c r="E365">
        <v>1298.1641697405796</v>
      </c>
      <c r="F365">
        <v>0.69157896778822825</v>
      </c>
      <c r="G365">
        <v>0.71872233451991796</v>
      </c>
      <c r="H365" s="3">
        <v>411.67300576609523</v>
      </c>
      <c r="I365" s="3">
        <v>1.9610515512631221E-2</v>
      </c>
      <c r="J365" s="3">
        <v>-9.7313477567353979E-4</v>
      </c>
      <c r="K365" s="1">
        <v>5.8880819870947131E-3</v>
      </c>
      <c r="L365" s="1">
        <v>-383.25974789939016</v>
      </c>
      <c r="M365" s="1">
        <v>-297.30695666099496</v>
      </c>
      <c r="N365" s="1">
        <v>-680.56670456038523</v>
      </c>
      <c r="O365" s="1">
        <v>-680.56670456038512</v>
      </c>
    </row>
    <row r="366" spans="2:15">
      <c r="B366">
        <v>358</v>
      </c>
      <c r="D366">
        <v>805.46088295688924</v>
      </c>
      <c r="E366">
        <v>1304.4318527059345</v>
      </c>
      <c r="F366">
        <v>0.6920362336113508</v>
      </c>
      <c r="G366">
        <v>0.72616432735707837</v>
      </c>
      <c r="H366" s="3">
        <v>396.8465488917098</v>
      </c>
      <c r="I366" s="3">
        <v>2.301772542209686E-2</v>
      </c>
      <c r="J366" s="3">
        <v>3.1753979775113704E-3</v>
      </c>
      <c r="K366" s="1">
        <v>9.7895071257065331E-3</v>
      </c>
      <c r="L366" s="1">
        <v>-138.95902368275586</v>
      </c>
      <c r="M366" s="1">
        <v>-323.7292477526637</v>
      </c>
      <c r="N366" s="1">
        <v>-462.68827143541955</v>
      </c>
      <c r="O366" s="1">
        <v>-462.68827143541955</v>
      </c>
    </row>
    <row r="367" spans="2:15">
      <c r="B367">
        <v>359</v>
      </c>
      <c r="D367">
        <v>783.15194793856938</v>
      </c>
      <c r="E367">
        <v>1283.8909456213728</v>
      </c>
      <c r="F367">
        <v>0.69316808497823645</v>
      </c>
      <c r="G367">
        <v>0.72296392858537273</v>
      </c>
      <c r="H367" s="3">
        <v>392.48209953094698</v>
      </c>
      <c r="I367" s="3">
        <v>2.0145748115461042E-2</v>
      </c>
      <c r="J367" s="3">
        <v>5.2164313891369177E-4</v>
      </c>
      <c r="K367" s="1">
        <v>7.063011464429475E-3</v>
      </c>
      <c r="L367" s="1">
        <v>-269.54438517016018</v>
      </c>
      <c r="M367" s="1">
        <v>-346.47916979576439</v>
      </c>
      <c r="N367" s="1">
        <v>-616.02355496592463</v>
      </c>
      <c r="O367" s="1">
        <v>-616.02355496592463</v>
      </c>
    </row>
    <row r="368" spans="2:15">
      <c r="B368">
        <v>360</v>
      </c>
      <c r="D368">
        <v>1131.8797134166236</v>
      </c>
      <c r="E368">
        <v>1589.5079189780763</v>
      </c>
      <c r="F368">
        <v>0.69286706685590804</v>
      </c>
      <c r="G368">
        <v>0.71907106403408616</v>
      </c>
      <c r="H368" s="3">
        <v>388.21122870992832</v>
      </c>
      <c r="I368" s="3">
        <v>1.96198448806729E-2</v>
      </c>
      <c r="J368" s="3">
        <v>2.0928344517648009E-4</v>
      </c>
      <c r="K368" s="1">
        <v>6.679470590341954E-3</v>
      </c>
      <c r="L368" s="1">
        <v>-139.78539193644144</v>
      </c>
      <c r="M368" s="1">
        <v>-431.55100921786357</v>
      </c>
      <c r="N368" s="1">
        <v>-571.33640115430501</v>
      </c>
      <c r="O368" s="1">
        <v>-571.33640115430501</v>
      </c>
    </row>
    <row r="369" spans="2:15">
      <c r="B369">
        <v>361</v>
      </c>
      <c r="D369">
        <v>1049.1310584794558</v>
      </c>
      <c r="E369">
        <v>1544.1864682071127</v>
      </c>
      <c r="F369">
        <v>0.69772337248847505</v>
      </c>
      <c r="G369">
        <v>0.7202808474942467</v>
      </c>
      <c r="H369" s="3">
        <v>404.60872149888166</v>
      </c>
      <c r="I369" s="3">
        <v>1.5563360038997259E-2</v>
      </c>
      <c r="J369" s="3">
        <v>-4.667076035946828E-3</v>
      </c>
      <c r="K369" s="1">
        <v>2.0764026557012014E-3</v>
      </c>
      <c r="L369" s="1">
        <v>-107.88199231218476</v>
      </c>
      <c r="M369" s="1">
        <v>-364.62863889920794</v>
      </c>
      <c r="N369" s="1">
        <v>-472.51063121139276</v>
      </c>
      <c r="O369" s="1">
        <v>-472.51063121139271</v>
      </c>
    </row>
    <row r="370" spans="2:15">
      <c r="B370">
        <v>362</v>
      </c>
      <c r="D370">
        <v>827.8106384675508</v>
      </c>
      <c r="E370">
        <v>1317.2578607708022</v>
      </c>
      <c r="F370">
        <v>0.67983792792805686</v>
      </c>
      <c r="G370">
        <v>0.71882801606686131</v>
      </c>
      <c r="H370" s="3">
        <v>391.20156548394186</v>
      </c>
      <c r="I370" s="3">
        <v>2.7102134135695746E-2</v>
      </c>
      <c r="J370" s="3">
        <v>7.542055861498656E-3</v>
      </c>
      <c r="K370" s="1">
        <v>1.4062081952897687E-2</v>
      </c>
      <c r="L370" s="1">
        <v>-155.3336608400559</v>
      </c>
      <c r="M370" s="1">
        <v>-340.08414545690346</v>
      </c>
      <c r="N370" s="1">
        <v>-495.41780629695938</v>
      </c>
      <c r="O370" s="1">
        <v>-495.41780629695938</v>
      </c>
    </row>
    <row r="371" spans="2:15">
      <c r="B371">
        <v>363</v>
      </c>
      <c r="D371">
        <v>664.72638421334022</v>
      </c>
      <c r="E371">
        <v>1152.8593889632368</v>
      </c>
      <c r="F371">
        <v>0.6822738401228996</v>
      </c>
      <c r="G371">
        <v>0.72415256973669828</v>
      </c>
      <c r="H371" s="3">
        <v>388.39271432438454</v>
      </c>
      <c r="I371" s="3">
        <v>2.9104915970020916E-2</v>
      </c>
      <c r="J371" s="3">
        <v>9.6852802538016924E-3</v>
      </c>
      <c r="K371" s="1">
        <v>1.6158492159208102E-2</v>
      </c>
      <c r="L371" s="1">
        <v>-75.779970625468764</v>
      </c>
      <c r="M371" s="1">
        <v>-473.14222686054103</v>
      </c>
      <c r="N371" s="1">
        <v>-548.92219748600985</v>
      </c>
      <c r="O371" s="1">
        <v>-548.92219748600974</v>
      </c>
    </row>
    <row r="372" spans="2:15">
      <c r="B372">
        <v>364</v>
      </c>
      <c r="D372">
        <v>720.85379688922535</v>
      </c>
      <c r="E372">
        <v>1206.0467894322601</v>
      </c>
      <c r="F372">
        <v>0.6975212993847113</v>
      </c>
      <c r="G372">
        <v>0.72730005808245968</v>
      </c>
      <c r="H372" s="3">
        <v>398.3238566270158</v>
      </c>
      <c r="I372" s="3">
        <v>2.0933333549778291E-2</v>
      </c>
      <c r="J372" s="3">
        <v>1.0171407184275012E-3</v>
      </c>
      <c r="K372" s="1">
        <v>7.6558716622110966E-3</v>
      </c>
      <c r="L372" s="1">
        <v>-125.36758731974496</v>
      </c>
      <c r="M372" s="1">
        <v>-363.80997569553506</v>
      </c>
      <c r="N372" s="1">
        <v>-489.17756301527999</v>
      </c>
      <c r="O372" s="1">
        <v>-489.17756301528004</v>
      </c>
    </row>
    <row r="373" spans="2:15">
      <c r="B373">
        <v>365</v>
      </c>
      <c r="D373">
        <v>770.86806856738485</v>
      </c>
      <c r="E373">
        <v>1254.1772465476881</v>
      </c>
      <c r="F373">
        <v>0.69696397023437051</v>
      </c>
      <c r="G373">
        <v>0.72527994896510928</v>
      </c>
      <c r="H373" s="3">
        <v>380.05948937051465</v>
      </c>
      <c r="I373" s="3">
        <v>1.8709834935486093E-2</v>
      </c>
      <c r="J373" s="3">
        <v>-2.9313953303964149E-4</v>
      </c>
      <c r="K373" s="1">
        <v>6.0411852898022717E-3</v>
      </c>
      <c r="L373" s="1">
        <v>-281.76917483994112</v>
      </c>
      <c r="M373" s="1">
        <v>-265.07664433328023</v>
      </c>
      <c r="N373" s="1">
        <v>-546.84581917322134</v>
      </c>
      <c r="O373" s="1">
        <v>-546.84581917322134</v>
      </c>
    </row>
    <row r="374" spans="2:15">
      <c r="B374">
        <v>366</v>
      </c>
      <c r="D374">
        <v>911.5099540880999</v>
      </c>
      <c r="E374">
        <v>1429.6536386862144</v>
      </c>
      <c r="F374">
        <v>0.68945476889471657</v>
      </c>
      <c r="G374">
        <v>0.72034797490876656</v>
      </c>
      <c r="H374" s="3">
        <v>418.17603513936422</v>
      </c>
      <c r="I374" s="3">
        <v>2.1282492825471795E-2</v>
      </c>
      <c r="J374" s="3">
        <v>3.7369106850358366E-4</v>
      </c>
      <c r="K374" s="1">
        <v>7.3432916541596553E-3</v>
      </c>
      <c r="L374" s="1">
        <v>-196.58334238929362</v>
      </c>
      <c r="M374" s="1">
        <v>-286.05314910009872</v>
      </c>
      <c r="N374" s="1">
        <v>-482.63649148939237</v>
      </c>
      <c r="O374" s="1">
        <v>-482.63649148939237</v>
      </c>
    </row>
    <row r="375" spans="2:15">
      <c r="B375">
        <v>367</v>
      </c>
      <c r="D375">
        <v>899.83987197978706</v>
      </c>
      <c r="E375">
        <v>1388.1291718684267</v>
      </c>
      <c r="F375">
        <v>0.69006688736614996</v>
      </c>
      <c r="G375">
        <v>0.71826952795834043</v>
      </c>
      <c r="H375" s="3">
        <v>388.54955854360077</v>
      </c>
      <c r="I375" s="3">
        <v>1.9663645862161419E-2</v>
      </c>
      <c r="J375" s="3">
        <v>2.3616793498137945E-4</v>
      </c>
      <c r="K375" s="1">
        <v>6.7119939107080605E-3</v>
      </c>
      <c r="L375" s="1">
        <v>-235.46224024667319</v>
      </c>
      <c r="M375" s="1">
        <v>-280.76179658245729</v>
      </c>
      <c r="N375" s="1">
        <v>-516.22403682913045</v>
      </c>
      <c r="O375" s="1">
        <v>-516.22403682913045</v>
      </c>
    </row>
    <row r="376" spans="2:15">
      <c r="B376">
        <v>368</v>
      </c>
      <c r="D376">
        <v>986.55817105150379</v>
      </c>
      <c r="E376">
        <v>1473.5978332638888</v>
      </c>
      <c r="F376">
        <v>0.68578974619508715</v>
      </c>
      <c r="G376">
        <v>0.72307986432412186</v>
      </c>
      <c r="H376" s="3">
        <v>407.1034290383389</v>
      </c>
      <c r="I376" s="3">
        <v>2.7682621848231385E-2</v>
      </c>
      <c r="J376" s="3">
        <v>7.3274503963144388E-3</v>
      </c>
      <c r="K376" s="1">
        <v>1.4112507546953422E-2</v>
      </c>
      <c r="L376" s="1">
        <v>-186.87605265590943</v>
      </c>
      <c r="M376" s="1">
        <v>-419.70175122982039</v>
      </c>
      <c r="N376" s="1">
        <v>-606.57780388572974</v>
      </c>
      <c r="O376" s="1">
        <v>-606.57780388572985</v>
      </c>
    </row>
    <row r="377" spans="2:15">
      <c r="B377">
        <v>369</v>
      </c>
      <c r="D377">
        <v>831.44509276296571</v>
      </c>
      <c r="E377">
        <v>1306.1501612200334</v>
      </c>
      <c r="F377">
        <v>0.68678620790797329</v>
      </c>
      <c r="G377">
        <v>0.72140990160109086</v>
      </c>
      <c r="H377" s="3">
        <v>385.43152169674391</v>
      </c>
      <c r="I377" s="3">
        <v>2.4385092395709941E-2</v>
      </c>
      <c r="J377" s="3">
        <v>5.1135163108727462E-3</v>
      </c>
      <c r="K377" s="1">
        <v>1.1537375005818477E-2</v>
      </c>
      <c r="L377" s="1">
        <v>-459.75769936070975</v>
      </c>
      <c r="M377" s="1">
        <v>-266.22503621426404</v>
      </c>
      <c r="N377" s="1">
        <v>-725.98273557497373</v>
      </c>
      <c r="O377" s="1">
        <v>-725.98273557497373</v>
      </c>
    </row>
    <row r="378" spans="2:15">
      <c r="B378">
        <v>370</v>
      </c>
      <c r="D378">
        <v>774.75431780483382</v>
      </c>
      <c r="E378">
        <v>1282.529891847249</v>
      </c>
      <c r="F378">
        <v>0.69969227212145335</v>
      </c>
      <c r="G378">
        <v>0.72006379711430069</v>
      </c>
      <c r="H378" s="3">
        <v>407.48118698699278</v>
      </c>
      <c r="I378" s="3">
        <v>1.4547523093140382E-2</v>
      </c>
      <c r="J378" s="3">
        <v>-5.8265362562092572E-3</v>
      </c>
      <c r="K378" s="1">
        <v>9.6481686024062208E-4</v>
      </c>
      <c r="L378" s="1">
        <v>-123.57296364518072</v>
      </c>
      <c r="M378" s="1">
        <v>-294.23272798630512</v>
      </c>
      <c r="N378" s="1">
        <v>-417.80569163148584</v>
      </c>
      <c r="O378" s="1">
        <v>-417.80569163148584</v>
      </c>
    </row>
    <row r="379" spans="2:15">
      <c r="B379">
        <v>371</v>
      </c>
      <c r="D379">
        <v>1012.2315238774827</v>
      </c>
      <c r="E379">
        <v>1452.8756044760637</v>
      </c>
      <c r="F379">
        <v>0.68225192058976969</v>
      </c>
      <c r="G379">
        <v>0.72423540947927945</v>
      </c>
      <c r="H379" s="3">
        <v>369.62634348799901</v>
      </c>
      <c r="I379" s="3">
        <v>3.0717635176238694E-2</v>
      </c>
      <c r="J379" s="3">
        <v>1.2236318001838744E-2</v>
      </c>
      <c r="K379" s="1">
        <v>1.8396757059972062E-2</v>
      </c>
      <c r="L379" s="1">
        <v>-339.03780369076895</v>
      </c>
      <c r="M379" s="1">
        <v>-534.69140000188486</v>
      </c>
      <c r="N379" s="1">
        <v>-873.72920369265387</v>
      </c>
      <c r="O379" s="1">
        <v>-873.72920369265375</v>
      </c>
    </row>
    <row r="380" spans="2:15">
      <c r="B380">
        <v>372</v>
      </c>
      <c r="D380">
        <v>920.57453983352923</v>
      </c>
      <c r="E380">
        <v>1379.6780362065108</v>
      </c>
      <c r="F380">
        <v>0.68575944571334335</v>
      </c>
      <c r="G380">
        <v>0.72267754621391334</v>
      </c>
      <c r="H380" s="3">
        <v>375.51903638546571</v>
      </c>
      <c r="I380" s="3">
        <v>2.7265462601953169E-2</v>
      </c>
      <c r="J380" s="3">
        <v>8.4895107826798849E-3</v>
      </c>
      <c r="K380" s="1">
        <v>1.4748161389104314E-2</v>
      </c>
      <c r="L380" s="1">
        <v>-171.46896777694394</v>
      </c>
      <c r="M380" s="1">
        <v>-327.731838356455</v>
      </c>
      <c r="N380" s="1">
        <v>-499.20080613339894</v>
      </c>
      <c r="O380" s="1">
        <v>-499.20080613339894</v>
      </c>
    </row>
    <row r="381" spans="2:15">
      <c r="B381">
        <v>373</v>
      </c>
      <c r="D381">
        <v>763.03520487780247</v>
      </c>
      <c r="E381">
        <v>1253.4784331707137</v>
      </c>
      <c r="F381">
        <v>0.67760177446421588</v>
      </c>
      <c r="G381">
        <v>0.71386117310040664</v>
      </c>
      <c r="H381" s="3">
        <v>411.03745901855774</v>
      </c>
      <c r="I381" s="3">
        <v>2.6025039309114217E-2</v>
      </c>
      <c r="J381" s="3">
        <v>5.4731663581863293E-3</v>
      </c>
      <c r="K381" s="1">
        <v>1.2323790675162292E-2</v>
      </c>
      <c r="L381" s="1">
        <v>-171.93394830892439</v>
      </c>
      <c r="M381" s="1">
        <v>-265.87370666443496</v>
      </c>
      <c r="N381" s="1">
        <v>-437.80765497335938</v>
      </c>
      <c r="O381" s="1">
        <v>-437.80765497335938</v>
      </c>
    </row>
    <row r="382" spans="2:15">
      <c r="B382">
        <v>374</v>
      </c>
      <c r="D382">
        <v>819.44255029337478</v>
      </c>
      <c r="E382">
        <v>1297.2879200784046</v>
      </c>
      <c r="F382">
        <v>0.69198560710192103</v>
      </c>
      <c r="G382">
        <v>0.72127377743952603</v>
      </c>
      <c r="H382" s="3">
        <v>386.72588399383363</v>
      </c>
      <c r="I382" s="3">
        <v>2.037645255466787E-2</v>
      </c>
      <c r="J382" s="3">
        <v>1.0401583549761902E-3</v>
      </c>
      <c r="K382" s="1">
        <v>7.4855897548734163E-3</v>
      </c>
      <c r="L382" s="1">
        <v>-369.11877766559127</v>
      </c>
      <c r="M382" s="1">
        <v>-321.6518840727316</v>
      </c>
      <c r="N382" s="1">
        <v>-690.77066173832281</v>
      </c>
      <c r="O382" s="1">
        <v>-690.77066173832281</v>
      </c>
    </row>
    <row r="383" spans="2:15">
      <c r="B383">
        <v>375</v>
      </c>
      <c r="D383">
        <v>892.89999988716784</v>
      </c>
      <c r="E383">
        <v>1364.7419234128622</v>
      </c>
      <c r="F383">
        <v>0.69711633576911358</v>
      </c>
      <c r="G383">
        <v>0.73027249073453859</v>
      </c>
      <c r="H383" s="3">
        <v>382.172876921539</v>
      </c>
      <c r="I383" s="3">
        <v>2.3308319911662923E-2</v>
      </c>
      <c r="J383" s="3">
        <v>4.1996760655859736E-3</v>
      </c>
      <c r="K383" s="1">
        <v>1.0569224014278291E-2</v>
      </c>
      <c r="L383" s="1">
        <v>-180.61049405912627</v>
      </c>
      <c r="M383" s="1">
        <v>-271.50422439361995</v>
      </c>
      <c r="N383" s="1">
        <v>-452.11471845274616</v>
      </c>
      <c r="O383" s="1">
        <v>-452.11471845274622</v>
      </c>
    </row>
    <row r="384" spans="2:15">
      <c r="B384">
        <v>376</v>
      </c>
      <c r="D384">
        <v>841.38614718683743</v>
      </c>
      <c r="E384">
        <v>1360.8799825510289</v>
      </c>
      <c r="F384">
        <v>0.700751785628001</v>
      </c>
      <c r="G384">
        <v>0.73964453382076933</v>
      </c>
      <c r="H384" s="3">
        <v>405.55632332713878</v>
      </c>
      <c r="I384" s="3">
        <v>2.5875332586744126E-2</v>
      </c>
      <c r="J384" s="3">
        <v>5.5975164203871906E-3</v>
      </c>
      <c r="K384" s="1">
        <v>1.2356788475839502E-2</v>
      </c>
      <c r="L384" s="1">
        <v>-413.45138120064973</v>
      </c>
      <c r="M384" s="1">
        <v>-331.12844764284989</v>
      </c>
      <c r="N384" s="1">
        <v>-744.57982884349963</v>
      </c>
      <c r="O384" s="1">
        <v>-744.57982884349963</v>
      </c>
    </row>
    <row r="385" spans="2:15">
      <c r="B385">
        <v>377</v>
      </c>
      <c r="D385">
        <v>826.6910243899631</v>
      </c>
      <c r="E385">
        <v>1333.420316262499</v>
      </c>
      <c r="F385">
        <v>0.66901142593351026</v>
      </c>
      <c r="G385">
        <v>0.71035005914231042</v>
      </c>
      <c r="H385" s="3">
        <v>427.13543791223321</v>
      </c>
      <c r="I385" s="3">
        <v>3.1460575160488689E-2</v>
      </c>
      <c r="J385" s="3">
        <v>1.0103803264877028E-2</v>
      </c>
      <c r="K385" s="1">
        <v>1.7222727230080916E-2</v>
      </c>
      <c r="L385" s="1">
        <v>-337.52504708865905</v>
      </c>
      <c r="M385" s="1">
        <v>-414.23489206113175</v>
      </c>
      <c r="N385" s="1">
        <v>-751.75993914979085</v>
      </c>
      <c r="O385" s="1">
        <v>-751.75993914979085</v>
      </c>
    </row>
    <row r="386" spans="2:15">
      <c r="B386">
        <v>378</v>
      </c>
      <c r="D386">
        <v>823.00979701659219</v>
      </c>
      <c r="E386">
        <v>1312.0637758242874</v>
      </c>
      <c r="F386">
        <v>0.6832587294398238</v>
      </c>
      <c r="G386">
        <v>0.71616382645527132</v>
      </c>
      <c r="H386" s="3">
        <v>418.70049676329586</v>
      </c>
      <c r="I386" s="3">
        <v>2.5164570556390507E-2</v>
      </c>
      <c r="J386" s="3">
        <v>4.2295457182257162E-3</v>
      </c>
      <c r="K386" s="1">
        <v>1.1207887330947314E-2</v>
      </c>
      <c r="L386" s="1">
        <v>-226.07609277384759</v>
      </c>
      <c r="M386" s="1">
        <v>-380.65433417677684</v>
      </c>
      <c r="N386" s="1">
        <v>-606.73042695062441</v>
      </c>
      <c r="O386" s="1">
        <v>-606.73042695062441</v>
      </c>
    </row>
    <row r="387" spans="2:15">
      <c r="B387">
        <v>379</v>
      </c>
      <c r="D387">
        <v>1061.6165997532999</v>
      </c>
      <c r="E387">
        <v>1512.0894270258443</v>
      </c>
      <c r="F387">
        <v>0.69106682809571207</v>
      </c>
      <c r="G387">
        <v>0.733873110785769</v>
      </c>
      <c r="H387" s="3">
        <v>368.38268086020508</v>
      </c>
      <c r="I387" s="3">
        <v>2.9811399645133792E-2</v>
      </c>
      <c r="J387" s="3">
        <v>1.1392265602123537E-2</v>
      </c>
      <c r="K387" s="1">
        <v>1.7531976949793623E-2</v>
      </c>
      <c r="L387" s="1">
        <v>-437.59993242802818</v>
      </c>
      <c r="M387" s="1">
        <v>-336.7392696790443</v>
      </c>
      <c r="N387" s="1">
        <v>-774.33920210707242</v>
      </c>
      <c r="O387" s="1">
        <v>-774.33920210707242</v>
      </c>
    </row>
    <row r="388" spans="2:15">
      <c r="B388">
        <v>380</v>
      </c>
      <c r="D388">
        <v>722.33173524362974</v>
      </c>
      <c r="E388">
        <v>1211.0162594364651</v>
      </c>
      <c r="F388">
        <v>0.68772347393837341</v>
      </c>
      <c r="G388">
        <v>0.72152108678357518</v>
      </c>
      <c r="H388" s="3">
        <v>393.50696785643612</v>
      </c>
      <c r="I388" s="3">
        <v>2.3845099669466404E-2</v>
      </c>
      <c r="J388" s="3">
        <v>4.1697512766445954E-3</v>
      </c>
      <c r="K388" s="1">
        <v>1.0728200740918532E-2</v>
      </c>
      <c r="L388" s="1">
        <v>-602.40787940572636</v>
      </c>
      <c r="M388" s="1">
        <v>-370.48291326922379</v>
      </c>
      <c r="N388" s="1">
        <v>-972.89079267495015</v>
      </c>
      <c r="O388" s="1">
        <v>-972.89079267495015</v>
      </c>
    </row>
    <row r="389" spans="2:15">
      <c r="B389">
        <v>381</v>
      </c>
      <c r="D389">
        <v>793.97298959756006</v>
      </c>
      <c r="E389">
        <v>1309.044214115022</v>
      </c>
      <c r="F389">
        <v>0.68975243327659286</v>
      </c>
      <c r="G389">
        <v>0.710174205639865</v>
      </c>
      <c r="H389" s="3">
        <v>409.49937271148536</v>
      </c>
      <c r="I389" s="3">
        <v>1.4232189055395784E-2</v>
      </c>
      <c r="J389" s="3">
        <v>-6.2427795801784855E-3</v>
      </c>
      <c r="K389" s="1">
        <v>5.8220996501293955E-4</v>
      </c>
      <c r="L389" s="1">
        <v>-133.81146606829986</v>
      </c>
      <c r="M389" s="1">
        <v>-239.92551236283794</v>
      </c>
      <c r="N389" s="1">
        <v>-373.73697843113769</v>
      </c>
      <c r="O389" s="1">
        <v>-373.7369784311378</v>
      </c>
    </row>
    <row r="390" spans="2:15">
      <c r="B390">
        <v>382</v>
      </c>
      <c r="D390">
        <v>905.13421514582274</v>
      </c>
      <c r="E390">
        <v>1401.822650102039</v>
      </c>
      <c r="F390">
        <v>0.68732786631038623</v>
      </c>
      <c r="G390">
        <v>0.72307690704203698</v>
      </c>
      <c r="H390" s="3">
        <v>414.57443038224136</v>
      </c>
      <c r="I390" s="3">
        <v>2.6378262701832619E-2</v>
      </c>
      <c r="J390" s="3">
        <v>5.6495411827205515E-3</v>
      </c>
      <c r="K390" s="1">
        <v>1.2559115022424574E-2</v>
      </c>
      <c r="L390" s="1">
        <v>-320.22753850431002</v>
      </c>
      <c r="M390" s="1">
        <v>-262.91137386094204</v>
      </c>
      <c r="N390" s="1">
        <v>-583.13891236525217</v>
      </c>
      <c r="O390" s="1">
        <v>-583.13891236525205</v>
      </c>
    </row>
    <row r="391" spans="2:15">
      <c r="B391">
        <v>383</v>
      </c>
      <c r="D391">
        <v>759.15023682951539</v>
      </c>
      <c r="E391">
        <v>1257.8835523760097</v>
      </c>
      <c r="F391">
        <v>0.68710697386111375</v>
      </c>
      <c r="G391">
        <v>0.71254006078118437</v>
      </c>
      <c r="H391" s="3">
        <v>395.0891783096564</v>
      </c>
      <c r="I391" s="3">
        <v>1.7770871574676599E-2</v>
      </c>
      <c r="J391" s="3">
        <v>-1.983587340806222E-3</v>
      </c>
      <c r="K391" s="1">
        <v>4.6012322976880515E-3</v>
      </c>
      <c r="L391" s="1">
        <v>-211.8189811626988</v>
      </c>
      <c r="M391" s="1">
        <v>-365.21276274900333</v>
      </c>
      <c r="N391" s="1">
        <v>-577.03174391170228</v>
      </c>
      <c r="O391" s="1">
        <v>-577.03174391170216</v>
      </c>
    </row>
    <row r="392" spans="2:15">
      <c r="B392">
        <v>384</v>
      </c>
      <c r="D392">
        <v>824.62890430813559</v>
      </c>
      <c r="E392">
        <v>1326.502097689458</v>
      </c>
      <c r="F392">
        <v>0.67859008153791711</v>
      </c>
      <c r="G392">
        <v>0.7124499113758801</v>
      </c>
      <c r="H392" s="3">
        <v>403.38418584110076</v>
      </c>
      <c r="I392" s="3">
        <v>2.3473372390962359E-2</v>
      </c>
      <c r="J392" s="3">
        <v>3.3041630989073222E-3</v>
      </c>
      <c r="K392" s="1">
        <v>1.0027232862925667E-2</v>
      </c>
      <c r="L392" s="1">
        <v>-255.90361839290517</v>
      </c>
      <c r="M392" s="1">
        <v>-334.57026020268484</v>
      </c>
      <c r="N392" s="1">
        <v>-590.47387859558989</v>
      </c>
      <c r="O392" s="1">
        <v>-590.47387859559001</v>
      </c>
    </row>
    <row r="393" spans="2:15">
      <c r="B393">
        <v>385</v>
      </c>
      <c r="D393">
        <v>870.34365643567241</v>
      </c>
      <c r="E393">
        <v>1367.0429233661746</v>
      </c>
      <c r="F393">
        <v>0.68156535305613386</v>
      </c>
      <c r="G393">
        <v>0.70984232929468172</v>
      </c>
      <c r="H393" s="3">
        <v>413.73080577286589</v>
      </c>
      <c r="I393" s="3">
        <v>2.0942212362976633E-2</v>
      </c>
      <c r="J393" s="3">
        <v>2.5567207433334002E-4</v>
      </c>
      <c r="K393" s="1">
        <v>7.1511855038811026E-3</v>
      </c>
      <c r="L393" s="1">
        <v>-280.08613332531331</v>
      </c>
      <c r="M393" s="1">
        <v>-277.85901566644304</v>
      </c>
      <c r="N393" s="1">
        <v>-557.94514899175635</v>
      </c>
      <c r="O393" s="1">
        <v>-557.94514899175635</v>
      </c>
    </row>
    <row r="394" spans="2:15">
      <c r="B394">
        <v>386</v>
      </c>
      <c r="D394">
        <v>882.34061502640475</v>
      </c>
      <c r="E394">
        <v>1391.0975500511586</v>
      </c>
      <c r="F394">
        <v>0.69057443598115298</v>
      </c>
      <c r="G394">
        <v>0.71910494213374854</v>
      </c>
      <c r="H394" s="3">
        <v>406.8512899773832</v>
      </c>
      <c r="I394" s="3">
        <v>1.9486784628182343E-2</v>
      </c>
      <c r="J394" s="3">
        <v>-8.5577987068681874E-4</v>
      </c>
      <c r="K394" s="1">
        <v>5.9250749622695702E-3</v>
      </c>
      <c r="L394" s="1">
        <v>-166.36889454314212</v>
      </c>
      <c r="M394" s="1">
        <v>-336.10517689593541</v>
      </c>
      <c r="N394" s="1">
        <v>-502.47407143907742</v>
      </c>
      <c r="O394" s="1">
        <v>-502.47407143907753</v>
      </c>
    </row>
    <row r="395" spans="2:15">
      <c r="B395">
        <v>387</v>
      </c>
      <c r="D395">
        <v>855.69885283970871</v>
      </c>
      <c r="E395">
        <v>1331.9355221778901</v>
      </c>
      <c r="F395">
        <v>0.67836587651729774</v>
      </c>
      <c r="G395">
        <v>0.72127823072713471</v>
      </c>
      <c r="H395" s="3">
        <v>402.86099034971733</v>
      </c>
      <c r="I395" s="3">
        <v>3.2027747626455487E-2</v>
      </c>
      <c r="J395" s="3">
        <v>1.1884698108969621E-2</v>
      </c>
      <c r="K395" s="1">
        <v>1.8599047948131574E-2</v>
      </c>
      <c r="L395" s="1">
        <v>-255.17655831590963</v>
      </c>
      <c r="M395" s="1">
        <v>-353.09512713133211</v>
      </c>
      <c r="N395" s="1">
        <v>-608.27168544724168</v>
      </c>
      <c r="O395" s="1">
        <v>-608.27168544724168</v>
      </c>
    </row>
    <row r="396" spans="2:15">
      <c r="B396">
        <v>388</v>
      </c>
      <c r="D396">
        <v>979.77241309570775</v>
      </c>
      <c r="E396">
        <v>1459.4386558535377</v>
      </c>
      <c r="F396">
        <v>0.67480051120659523</v>
      </c>
      <c r="G396">
        <v>0.71070236084570859</v>
      </c>
      <c r="H396" s="3">
        <v>396.7042024575515</v>
      </c>
      <c r="I396" s="3">
        <v>2.6482182907986797E-2</v>
      </c>
      <c r="J396" s="3">
        <v>6.6469727851092217E-3</v>
      </c>
      <c r="K396" s="1">
        <v>1.3258709492735081E-2</v>
      </c>
      <c r="L396" s="1">
        <v>-59.342774491415327</v>
      </c>
      <c r="M396" s="1">
        <v>-467.5613335322455</v>
      </c>
      <c r="N396" s="1">
        <v>-526.9041080236608</v>
      </c>
      <c r="O396" s="1">
        <v>-526.9041080236608</v>
      </c>
    </row>
    <row r="397" spans="2:15">
      <c r="B397">
        <v>389</v>
      </c>
      <c r="D397">
        <v>823.28472758685473</v>
      </c>
      <c r="E397">
        <v>1304.7333691460183</v>
      </c>
      <c r="F397">
        <v>0.6858716327721357</v>
      </c>
      <c r="G397">
        <v>0.71715238628030131</v>
      </c>
      <c r="H397" s="3">
        <v>386.79914049801852</v>
      </c>
      <c r="I397" s="3">
        <v>2.0912064589595731E-2</v>
      </c>
      <c r="J397" s="3">
        <v>1.5721075646948045E-3</v>
      </c>
      <c r="K397" s="1">
        <v>8.0187599063284466E-3</v>
      </c>
      <c r="L397" s="1">
        <v>-125.2101010631969</v>
      </c>
      <c r="M397" s="1">
        <v>-406.52535427939313</v>
      </c>
      <c r="N397" s="1">
        <v>-531.73545534258994</v>
      </c>
      <c r="O397" s="1">
        <v>-531.73545534259006</v>
      </c>
    </row>
    <row r="398" spans="2:15">
      <c r="B398">
        <v>390</v>
      </c>
      <c r="D398">
        <v>768.83086407161409</v>
      </c>
      <c r="E398">
        <v>1258.386138446115</v>
      </c>
      <c r="F398">
        <v>0.69261992682729501</v>
      </c>
      <c r="G398">
        <v>0.73086274184972011</v>
      </c>
      <c r="H398" s="3">
        <v>407.63124946049322</v>
      </c>
      <c r="I398" s="3">
        <v>2.7183755008281796E-2</v>
      </c>
      <c r="J398" s="3">
        <v>6.8021925352571358E-3</v>
      </c>
      <c r="K398" s="1">
        <v>1.3596046692932021E-2</v>
      </c>
      <c r="L398" s="1">
        <v>-366.673602637898</v>
      </c>
      <c r="M398" s="1">
        <v>-422.60557843512692</v>
      </c>
      <c r="N398" s="1">
        <v>-789.27918107302503</v>
      </c>
      <c r="O398" s="1">
        <v>-789.27918107302492</v>
      </c>
    </row>
    <row r="399" spans="2:15">
      <c r="B399">
        <v>391</v>
      </c>
      <c r="D399">
        <v>919.62649955958034</v>
      </c>
      <c r="E399">
        <v>1404.1475324297048</v>
      </c>
      <c r="F399">
        <v>0.69540258632006025</v>
      </c>
      <c r="G399">
        <v>0.73579648321446556</v>
      </c>
      <c r="H399" s="3">
        <v>398.99628601915396</v>
      </c>
      <c r="I399" s="3">
        <v>2.8507766056526586E-2</v>
      </c>
      <c r="J399" s="3">
        <v>8.5579517555688864E-3</v>
      </c>
      <c r="K399" s="1">
        <v>1.5207889855888121E-2</v>
      </c>
      <c r="L399" s="1">
        <v>-566.21374251637349</v>
      </c>
      <c r="M399" s="1">
        <v>-343.37167303911326</v>
      </c>
      <c r="N399" s="1">
        <v>-909.58541555548663</v>
      </c>
      <c r="O399" s="1">
        <v>-909.58541555548675</v>
      </c>
    </row>
    <row r="400" spans="2:15">
      <c r="B400">
        <v>392</v>
      </c>
      <c r="D400">
        <v>1003.4677389833191</v>
      </c>
      <c r="E400">
        <v>1449.5664715417981</v>
      </c>
      <c r="F400">
        <v>0.69007912779681824</v>
      </c>
      <c r="G400">
        <v>0.72614532376862639</v>
      </c>
      <c r="H400" s="3">
        <v>373.91401145519535</v>
      </c>
      <c r="I400" s="3">
        <v>2.6221043367921564E-2</v>
      </c>
      <c r="J400" s="3">
        <v>7.5253427951617984E-3</v>
      </c>
      <c r="K400" s="1">
        <v>1.3757242986081719E-2</v>
      </c>
      <c r="L400" s="1">
        <v>-293.55212826784674</v>
      </c>
      <c r="M400" s="1">
        <v>-428.75716476917</v>
      </c>
      <c r="N400" s="1">
        <v>-722.30929303701669</v>
      </c>
      <c r="O400" s="1">
        <v>-722.30929303701669</v>
      </c>
    </row>
    <row r="401" spans="2:15">
      <c r="B401">
        <v>393</v>
      </c>
      <c r="D401">
        <v>816.32680937864995</v>
      </c>
      <c r="E401">
        <v>1300.5241167062761</v>
      </c>
      <c r="F401">
        <v>0.69133306756864443</v>
      </c>
      <c r="G401">
        <v>0.72662774040649869</v>
      </c>
      <c r="H401" s="3">
        <v>411.84369360930577</v>
      </c>
      <c r="I401" s="3">
        <v>2.5258451020197449E-2</v>
      </c>
      <c r="J401" s="3">
        <v>4.6662663397321613E-3</v>
      </c>
      <c r="K401" s="1">
        <v>1.1530327899887257E-2</v>
      </c>
      <c r="L401" s="1">
        <v>-370.07133033435889</v>
      </c>
      <c r="M401" s="1">
        <v>-357.79556828792118</v>
      </c>
      <c r="N401" s="1">
        <v>-727.86689862228002</v>
      </c>
      <c r="O401" s="1">
        <v>-727.86689862228013</v>
      </c>
    </row>
    <row r="402" spans="2:15">
      <c r="B402">
        <v>394</v>
      </c>
      <c r="D402">
        <v>1066.8582119769435</v>
      </c>
      <c r="E402">
        <v>1539.8566907881718</v>
      </c>
      <c r="F402">
        <v>0.68895977018540511</v>
      </c>
      <c r="G402">
        <v>0.73732945610073941</v>
      </c>
      <c r="H402" s="3">
        <v>401.47704145977724</v>
      </c>
      <c r="I402" s="3">
        <v>3.7278109715749859E-2</v>
      </c>
      <c r="J402" s="3">
        <v>1.7204257642760998E-2</v>
      </c>
      <c r="K402" s="1">
        <v>2.3895541667090618E-2</v>
      </c>
      <c r="L402" s="1">
        <v>-194.01732090083036</v>
      </c>
      <c r="M402" s="1">
        <v>-291.51255247301907</v>
      </c>
      <c r="N402" s="1">
        <v>-485.52987337384945</v>
      </c>
      <c r="O402" s="1">
        <v>-485.52987337384945</v>
      </c>
    </row>
    <row r="403" spans="2:15">
      <c r="B403">
        <v>395</v>
      </c>
      <c r="D403">
        <v>1102.6512045807522</v>
      </c>
      <c r="E403">
        <v>1547.522486248336</v>
      </c>
      <c r="F403">
        <v>0.69757475718235384</v>
      </c>
      <c r="G403">
        <v>0.72776551072986262</v>
      </c>
      <c r="H403" s="3">
        <v>369.50426486583336</v>
      </c>
      <c r="I403" s="3">
        <v>2.2053305060347132E-2</v>
      </c>
      <c r="J403" s="3">
        <v>3.5780918170554635E-3</v>
      </c>
      <c r="K403" s="1">
        <v>9.7364962314860203E-3</v>
      </c>
      <c r="L403" s="1">
        <v>-171.05926916432043</v>
      </c>
      <c r="M403" s="1">
        <v>-352.23325427746221</v>
      </c>
      <c r="N403" s="1">
        <v>-523.29252344178269</v>
      </c>
      <c r="O403" s="1">
        <v>-523.29252344178258</v>
      </c>
    </row>
    <row r="404" spans="2:15">
      <c r="B404">
        <v>396</v>
      </c>
      <c r="D404">
        <v>775.65936443860096</v>
      </c>
      <c r="E404">
        <v>1247.8981941987299</v>
      </c>
      <c r="F404">
        <v>0.69105218615712127</v>
      </c>
      <c r="G404">
        <v>0.72342525727727813</v>
      </c>
      <c r="H404" s="3">
        <v>397.95953024398557</v>
      </c>
      <c r="I404" s="3">
        <v>2.404823320458049E-2</v>
      </c>
      <c r="J404" s="3">
        <v>4.1502566923812129E-3</v>
      </c>
      <c r="K404" s="1">
        <v>1.0782915529780971E-2</v>
      </c>
      <c r="L404" s="1">
        <v>-244.8240503711244</v>
      </c>
      <c r="M404" s="1">
        <v>-424.82996565042305</v>
      </c>
      <c r="N404" s="1">
        <v>-669.65401602154736</v>
      </c>
      <c r="O404" s="1">
        <v>-669.65401602154748</v>
      </c>
    </row>
    <row r="405" spans="2:15">
      <c r="B405">
        <v>397</v>
      </c>
      <c r="D405">
        <v>1155.2549767602904</v>
      </c>
      <c r="E405">
        <v>1631.6295528457943</v>
      </c>
      <c r="F405">
        <v>0.70174902583035759</v>
      </c>
      <c r="G405">
        <v>0.73185923001835318</v>
      </c>
      <c r="H405" s="3">
        <v>384.0250433188595</v>
      </c>
      <c r="I405" s="3">
        <v>2.0809976478875711E-2</v>
      </c>
      <c r="J405" s="3">
        <v>1.6087243129327342E-3</v>
      </c>
      <c r="K405" s="1">
        <v>8.0091417015803936E-3</v>
      </c>
      <c r="L405" s="1">
        <v>-355.82557489672678</v>
      </c>
      <c r="M405" s="1">
        <v>-283.63424535923696</v>
      </c>
      <c r="N405" s="1">
        <v>-639.45982025596379</v>
      </c>
      <c r="O405" s="1">
        <v>-639.45982025596368</v>
      </c>
    </row>
    <row r="406" spans="2:15">
      <c r="B406">
        <v>398</v>
      </c>
      <c r="D406">
        <v>605.45107973702193</v>
      </c>
      <c r="E406">
        <v>1089.1830834635964</v>
      </c>
      <c r="F406">
        <v>0.68684740478516737</v>
      </c>
      <c r="G406">
        <v>0.72386112683350068</v>
      </c>
      <c r="H406" s="3">
        <v>400.19530338825268</v>
      </c>
      <c r="I406" s="3">
        <v>2.7379167496794216E-2</v>
      </c>
      <c r="J406" s="3">
        <v>7.3694023273815808E-3</v>
      </c>
      <c r="K406" s="1">
        <v>1.4039324050519128E-2</v>
      </c>
      <c r="L406" s="1">
        <v>-358.04016139752213</v>
      </c>
      <c r="M406" s="1">
        <v>-295.22308003318807</v>
      </c>
      <c r="N406" s="1">
        <v>-653.26324143071031</v>
      </c>
      <c r="O406" s="1">
        <v>-653.2632414307102</v>
      </c>
    </row>
    <row r="407" spans="2:15">
      <c r="B407">
        <v>399</v>
      </c>
      <c r="D407">
        <v>648.35774490404299</v>
      </c>
      <c r="E407">
        <v>1155.5701128228595</v>
      </c>
      <c r="F407">
        <v>0.69099349661344434</v>
      </c>
      <c r="G407">
        <v>0.71718897275149673</v>
      </c>
      <c r="H407" s="3">
        <v>408.55237545564574</v>
      </c>
      <c r="I407" s="3">
        <v>1.9220191674816714E-2</v>
      </c>
      <c r="J407" s="3">
        <v>-1.2074270979655737E-3</v>
      </c>
      <c r="K407" s="1">
        <v>5.6017791596285216E-3</v>
      </c>
      <c r="L407" s="1">
        <v>-198.09245153794731</v>
      </c>
      <c r="M407" s="1">
        <v>-304.21632434537196</v>
      </c>
      <c r="N407" s="1">
        <v>-502.3087758833193</v>
      </c>
      <c r="O407" s="1">
        <v>-502.3087758833193</v>
      </c>
    </row>
    <row r="408" spans="2:15">
      <c r="B408">
        <v>400</v>
      </c>
      <c r="D408">
        <v>898.77058205567869</v>
      </c>
      <c r="E408">
        <v>1375.4840962691442</v>
      </c>
      <c r="F408">
        <v>0.68994628207688646</v>
      </c>
      <c r="G408">
        <v>0.72032745370710416</v>
      </c>
      <c r="H408" s="3">
        <v>385.53207030480399</v>
      </c>
      <c r="I408" s="3">
        <v>2.1606162043072391E-2</v>
      </c>
      <c r="J408" s="3">
        <v>2.3295585278321936E-3</v>
      </c>
      <c r="K408" s="1">
        <v>8.75509303291226E-3</v>
      </c>
      <c r="L408" s="1">
        <v>-118.58420737177228</v>
      </c>
      <c r="M408" s="1">
        <v>-250.87172315496881</v>
      </c>
      <c r="N408" s="1">
        <v>-369.4559305267411</v>
      </c>
      <c r="O408" s="1">
        <v>-369.4559305267411</v>
      </c>
    </row>
    <row r="409" spans="2:15">
      <c r="B409">
        <v>401</v>
      </c>
      <c r="D409">
        <v>1014.8954280846735</v>
      </c>
      <c r="E409">
        <v>1523.4070862700753</v>
      </c>
      <c r="F409">
        <v>0.69745343690921258</v>
      </c>
      <c r="G409">
        <v>0.71801383499576843</v>
      </c>
      <c r="H409" s="3">
        <v>423.55012664931479</v>
      </c>
      <c r="I409" s="3">
        <v>1.4649075320035532E-2</v>
      </c>
      <c r="J409" s="3">
        <v>-6.5284310124302091E-3</v>
      </c>
      <c r="K409" s="1">
        <v>5.3073776505837243E-4</v>
      </c>
      <c r="L409" s="1">
        <v>-262.45147606679433</v>
      </c>
      <c r="M409" s="1">
        <v>-294.36943490881703</v>
      </c>
      <c r="N409" s="1">
        <v>-556.82091097561135</v>
      </c>
      <c r="O409" s="1">
        <v>-556.82091097561135</v>
      </c>
    </row>
    <row r="410" spans="2:15">
      <c r="B410">
        <v>402</v>
      </c>
      <c r="D410">
        <v>809.53657798957533</v>
      </c>
      <c r="E410">
        <v>1291.3539403781717</v>
      </c>
      <c r="F410">
        <v>0.69074829152228334</v>
      </c>
      <c r="G410">
        <v>0.73416987292948432</v>
      </c>
      <c r="H410" s="3">
        <v>399.58877338918893</v>
      </c>
      <c r="I410" s="3">
        <v>3.1509694292932114E-2</v>
      </c>
      <c r="J410" s="3">
        <v>1.1530255623472669E-2</v>
      </c>
      <c r="K410" s="1">
        <v>1.8190068513292482E-2</v>
      </c>
      <c r="L410" s="1">
        <v>-416.30041887233926</v>
      </c>
      <c r="M410" s="1">
        <v>-425.64037893181205</v>
      </c>
      <c r="N410" s="1">
        <v>-841.94079780415109</v>
      </c>
      <c r="O410" s="1">
        <v>-841.94079780415132</v>
      </c>
    </row>
    <row r="411" spans="2:15">
      <c r="B411">
        <v>403</v>
      </c>
      <c r="D411">
        <v>935.28578928271372</v>
      </c>
      <c r="E411">
        <v>1449.9241417864457</v>
      </c>
      <c r="F411">
        <v>0.69533949394479699</v>
      </c>
      <c r="G411">
        <v>0.72048403605906464</v>
      </c>
      <c r="H411" s="3">
        <v>420.74438189773565</v>
      </c>
      <c r="I411" s="3">
        <v>1.7407240455999447E-2</v>
      </c>
      <c r="J411" s="3">
        <v>-3.6299786388873378E-3</v>
      </c>
      <c r="K411" s="1">
        <v>3.3824277260749245E-3</v>
      </c>
      <c r="L411" s="1">
        <v>-228.65320583684536</v>
      </c>
      <c r="M411" s="1">
        <v>-211.27096905529817</v>
      </c>
      <c r="N411" s="1">
        <v>-439.92417489214347</v>
      </c>
      <c r="O411" s="1">
        <v>-439.92417489214353</v>
      </c>
    </row>
    <row r="412" spans="2:15">
      <c r="B412">
        <v>404</v>
      </c>
      <c r="D412">
        <v>877.64736208976672</v>
      </c>
      <c r="E412">
        <v>1369.6679474234413</v>
      </c>
      <c r="F412">
        <v>0.68855719568945273</v>
      </c>
      <c r="G412">
        <v>0.72966501851617682</v>
      </c>
      <c r="H412" s="3">
        <v>392.22672515852645</v>
      </c>
      <c r="I412" s="3">
        <v>2.8880159175803759E-2</v>
      </c>
      <c r="J412" s="3">
        <v>9.2688229178774402E-3</v>
      </c>
      <c r="K412" s="1">
        <v>1.580593500385288E-2</v>
      </c>
      <c r="L412" s="1">
        <v>-49.593907193716504</v>
      </c>
      <c r="M412" s="1">
        <v>-209.79871099751998</v>
      </c>
      <c r="N412" s="1">
        <v>-259.39261819123647</v>
      </c>
      <c r="O412" s="1">
        <v>-259.39261819123647</v>
      </c>
    </row>
    <row r="413" spans="2:15">
      <c r="B413">
        <v>405</v>
      </c>
      <c r="D413">
        <v>928.72578530953001</v>
      </c>
      <c r="E413">
        <v>1424.4418701450545</v>
      </c>
      <c r="F413">
        <v>0.69679011341951014</v>
      </c>
      <c r="G413">
        <v>0.72723128580795882</v>
      </c>
      <c r="H413" s="3">
        <v>398.42758061557453</v>
      </c>
      <c r="I413" s="3">
        <v>2.0526772048862097E-2</v>
      </c>
      <c r="J413" s="3">
        <v>6.0539301808337082E-4</v>
      </c>
      <c r="K413" s="1">
        <v>7.2458526950096129E-3</v>
      </c>
      <c r="L413" s="1">
        <v>-410.3121500654193</v>
      </c>
      <c r="M413" s="1">
        <v>-313.16645323879982</v>
      </c>
      <c r="N413" s="1">
        <v>-723.47860330421918</v>
      </c>
      <c r="O413" s="1">
        <v>-723.47860330421918</v>
      </c>
    </row>
    <row r="414" spans="2:15">
      <c r="B414">
        <v>406</v>
      </c>
      <c r="D414">
        <v>866.22215120924307</v>
      </c>
      <c r="E414">
        <v>1368.9566195193515</v>
      </c>
      <c r="F414">
        <v>0.68587263009322763</v>
      </c>
      <c r="G414">
        <v>0.72202662741587798</v>
      </c>
      <c r="H414" s="3">
        <v>428.13884242291999</v>
      </c>
      <c r="I414" s="3">
        <v>2.706022171016725E-2</v>
      </c>
      <c r="J414" s="3">
        <v>5.6532795890212491E-3</v>
      </c>
      <c r="K414" s="1">
        <v>1.2788926962736582E-2</v>
      </c>
      <c r="L414" s="1">
        <v>-356.62484290404757</v>
      </c>
      <c r="M414" s="1">
        <v>-372.98050310355529</v>
      </c>
      <c r="N414" s="1">
        <v>-729.60534600760298</v>
      </c>
      <c r="O414" s="1">
        <v>-729.60534600760286</v>
      </c>
    </row>
    <row r="415" spans="2:15">
      <c r="B415">
        <v>407</v>
      </c>
      <c r="D415">
        <v>794.32205029824365</v>
      </c>
      <c r="E415">
        <v>1295.3802352058726</v>
      </c>
      <c r="F415">
        <v>0.68837450917347098</v>
      </c>
      <c r="G415">
        <v>0.71640619493914071</v>
      </c>
      <c r="H415" s="3">
        <v>405.36717675935262</v>
      </c>
      <c r="I415" s="3">
        <v>1.9563836887628118E-2</v>
      </c>
      <c r="J415" s="3">
        <v>-7.0452195033951157E-4</v>
      </c>
      <c r="K415" s="1">
        <v>6.0515976623163655E-3</v>
      </c>
      <c r="L415" s="1">
        <v>-270.76828454384025</v>
      </c>
      <c r="M415" s="1">
        <v>-400.73065012100369</v>
      </c>
      <c r="N415" s="1">
        <v>-671.498934664844</v>
      </c>
      <c r="O415" s="1">
        <v>-671.498934664844</v>
      </c>
    </row>
    <row r="416" spans="2:15">
      <c r="B416">
        <v>408</v>
      </c>
      <c r="D416">
        <v>968.19027688954429</v>
      </c>
      <c r="E416">
        <v>1439.5384666299956</v>
      </c>
      <c r="F416">
        <v>0.70000657465229643</v>
      </c>
      <c r="G416">
        <v>0.73544206216966335</v>
      </c>
      <c r="H416" s="3">
        <v>392.18141498414525</v>
      </c>
      <c r="I416" s="3">
        <v>2.6121335212636293E-2</v>
      </c>
      <c r="J416" s="3">
        <v>6.512264463429035E-3</v>
      </c>
      <c r="K416" s="1">
        <v>1.3048621379831453E-2</v>
      </c>
      <c r="L416" s="1">
        <v>-298.63254511977311</v>
      </c>
      <c r="M416" s="1">
        <v>-285.00847688838638</v>
      </c>
      <c r="N416" s="1">
        <v>-583.64102200815955</v>
      </c>
      <c r="O416" s="1">
        <v>-583.64102200815955</v>
      </c>
    </row>
    <row r="417" spans="2:15">
      <c r="B417">
        <v>409</v>
      </c>
      <c r="D417">
        <v>684.85456192046263</v>
      </c>
      <c r="E417">
        <v>1200.2104498651083</v>
      </c>
      <c r="F417">
        <v>0.69739711907808055</v>
      </c>
      <c r="G417">
        <v>0.71939518586715778</v>
      </c>
      <c r="H417" s="3">
        <v>402.36668815073631</v>
      </c>
      <c r="I417" s="3">
        <v>1.4574766816487179E-2</v>
      </c>
      <c r="J417" s="3">
        <v>-5.5435675910496356E-3</v>
      </c>
      <c r="K417" s="1">
        <v>1.1625438781293022E-3</v>
      </c>
      <c r="L417" s="1">
        <v>-312.588967633952</v>
      </c>
      <c r="M417" s="1">
        <v>-391.35073006924017</v>
      </c>
      <c r="N417" s="1">
        <v>-703.93969770319222</v>
      </c>
      <c r="O417" s="1">
        <v>-703.93969770319222</v>
      </c>
    </row>
    <row r="418" spans="2:15">
      <c r="B418">
        <v>410</v>
      </c>
      <c r="D418">
        <v>931.84753673260661</v>
      </c>
      <c r="E418">
        <v>1454.5719260745198</v>
      </c>
      <c r="F418">
        <v>0.70518182120264827</v>
      </c>
      <c r="G418">
        <v>0.72848643065184393</v>
      </c>
      <c r="H418" s="3">
        <v>407.72585526878004</v>
      </c>
      <c r="I418" s="3">
        <v>1.6102689909660912E-2</v>
      </c>
      <c r="J418" s="3">
        <v>-4.2836028537780908E-3</v>
      </c>
      <c r="K418" s="1">
        <v>2.5118280673682419E-3</v>
      </c>
      <c r="L418" s="1">
        <v>-131.9943334296008</v>
      </c>
      <c r="M418" s="1">
        <v>-381.62318332531692</v>
      </c>
      <c r="N418" s="1">
        <v>-513.61751675491769</v>
      </c>
      <c r="O418" s="1">
        <v>-513.61751675491769</v>
      </c>
    </row>
    <row r="419" spans="2:15">
      <c r="B419">
        <v>411</v>
      </c>
      <c r="D419">
        <v>896.63333168768463</v>
      </c>
      <c r="E419">
        <v>1432.9987016221376</v>
      </c>
      <c r="F419">
        <v>0.69455609074326752</v>
      </c>
      <c r="G419">
        <v>0.72427085619471898</v>
      </c>
      <c r="H419" s="3">
        <v>462.6752023034116</v>
      </c>
      <c r="I419" s="3">
        <v>2.2728373568330792E-2</v>
      </c>
      <c r="J419" s="3">
        <v>-4.0538654683978936E-4</v>
      </c>
      <c r="K419" s="1">
        <v>7.3058668248837388E-3</v>
      </c>
      <c r="L419" s="1">
        <v>-252.98604033297275</v>
      </c>
      <c r="M419" s="1">
        <v>-394.73077594763623</v>
      </c>
      <c r="N419" s="1">
        <v>-647.71681628060901</v>
      </c>
      <c r="O419" s="1">
        <v>-647.71681628060901</v>
      </c>
    </row>
    <row r="420" spans="2:15">
      <c r="B420">
        <v>412</v>
      </c>
      <c r="D420">
        <v>898.02438066083744</v>
      </c>
      <c r="E420">
        <v>1352.4921934954939</v>
      </c>
      <c r="F420">
        <v>0.6856306513036271</v>
      </c>
      <c r="G420">
        <v>0.72712029407260281</v>
      </c>
      <c r="H420" s="3">
        <v>368.56935440133992</v>
      </c>
      <c r="I420" s="3">
        <v>2.9456718757481567E-2</v>
      </c>
      <c r="J420" s="3">
        <v>1.1028251037414571E-2</v>
      </c>
      <c r="K420" s="1">
        <v>1.7171073610770235E-2</v>
      </c>
      <c r="L420" s="1">
        <v>-207.1240512242598</v>
      </c>
      <c r="M420" s="1">
        <v>-403.0040634233855</v>
      </c>
      <c r="N420" s="1">
        <v>-610.12811464764536</v>
      </c>
      <c r="O420" s="1">
        <v>-610.12811464764536</v>
      </c>
    </row>
    <row r="421" spans="2:15">
      <c r="B421">
        <v>413</v>
      </c>
      <c r="D421">
        <v>969.83114434185325</v>
      </c>
      <c r="E421">
        <v>1434.5093261305005</v>
      </c>
      <c r="F421">
        <v>0.67818390831127817</v>
      </c>
      <c r="G421">
        <v>0.71011042929010526</v>
      </c>
      <c r="H421" s="3">
        <v>390.66199457892071</v>
      </c>
      <c r="I421" s="3">
        <v>2.3912293997132406E-2</v>
      </c>
      <c r="J421" s="3">
        <v>4.3791942681863684E-3</v>
      </c>
      <c r="K421" s="1">
        <v>1.0890227511168381E-2</v>
      </c>
      <c r="L421" s="1">
        <v>-444.46618083430354</v>
      </c>
      <c r="M421" s="1">
        <v>-315.71749420744106</v>
      </c>
      <c r="N421" s="1">
        <v>-760.18367504174466</v>
      </c>
      <c r="O421" s="1">
        <v>-760.18367504174466</v>
      </c>
    </row>
    <row r="422" spans="2:15">
      <c r="B422">
        <v>414</v>
      </c>
      <c r="D422">
        <v>764.92906963633686</v>
      </c>
      <c r="E422">
        <v>1258.9960735344544</v>
      </c>
      <c r="F422">
        <v>0.69823435737419881</v>
      </c>
      <c r="G422">
        <v>0.73028794908833838</v>
      </c>
      <c r="H422" s="3">
        <v>391.5263587890891</v>
      </c>
      <c r="I422" s="3">
        <v>2.1914049330898203E-2</v>
      </c>
      <c r="J422" s="3">
        <v>2.3377313914437481E-3</v>
      </c>
      <c r="K422" s="1">
        <v>8.8631707045952329E-3</v>
      </c>
      <c r="L422" s="1">
        <v>-87.921206052266058</v>
      </c>
      <c r="M422" s="1">
        <v>-291.60333454776116</v>
      </c>
      <c r="N422" s="1">
        <v>-379.52454060002725</v>
      </c>
      <c r="O422" s="1">
        <v>-379.52454060002719</v>
      </c>
    </row>
    <row r="423" spans="2:15">
      <c r="B423">
        <v>415</v>
      </c>
      <c r="D423">
        <v>855.68945538832281</v>
      </c>
      <c r="E423">
        <v>1367.9713867716371</v>
      </c>
      <c r="F423">
        <v>0.69790136411815917</v>
      </c>
      <c r="G423">
        <v>0.72375660274232101</v>
      </c>
      <c r="H423" s="3">
        <v>443.41888273691131</v>
      </c>
      <c r="I423" s="3">
        <v>1.9743930703222775E-2</v>
      </c>
      <c r="J423" s="3">
        <v>-2.4270134336227892E-3</v>
      </c>
      <c r="K423" s="1">
        <v>4.9633012786590644E-3</v>
      </c>
      <c r="L423" s="1">
        <v>-150.96940045012059</v>
      </c>
      <c r="M423" s="1">
        <v>-449.44690678960114</v>
      </c>
      <c r="N423" s="1">
        <v>-600.41630723972173</v>
      </c>
      <c r="O423" s="1">
        <v>-600.41630723972173</v>
      </c>
    </row>
    <row r="424" spans="2:15">
      <c r="B424">
        <v>416</v>
      </c>
      <c r="D424">
        <v>794.65016638120255</v>
      </c>
      <c r="E424">
        <v>1282.7131771956365</v>
      </c>
      <c r="F424">
        <v>0.6873990040250717</v>
      </c>
      <c r="G424">
        <v>0.72725508456885646</v>
      </c>
      <c r="H424" s="3">
        <v>393.41797822544078</v>
      </c>
      <c r="I424" s="3">
        <v>2.8338893848189103E-2</v>
      </c>
      <c r="J424" s="3">
        <v>8.6679949369170596E-3</v>
      </c>
      <c r="K424" s="1">
        <v>1.5224961240674408E-2</v>
      </c>
      <c r="L424" s="1">
        <v>-332.58475489357977</v>
      </c>
      <c r="M424" s="1">
        <v>-393.58452975101949</v>
      </c>
      <c r="N424" s="1">
        <v>-726.16928464459943</v>
      </c>
      <c r="O424" s="1">
        <v>-726.1692846445992</v>
      </c>
    </row>
    <row r="425" spans="2:15">
      <c r="B425">
        <v>417</v>
      </c>
      <c r="D425">
        <v>794.45100229008654</v>
      </c>
      <c r="E425">
        <v>1285.9920662881095</v>
      </c>
      <c r="F425">
        <v>0.69220958898389728</v>
      </c>
      <c r="G425">
        <v>0.72615215705182812</v>
      </c>
      <c r="H425" s="3">
        <v>392.52462094734835</v>
      </c>
      <c r="I425" s="3">
        <v>2.3561092097770471E-2</v>
      </c>
      <c r="J425" s="3">
        <v>3.9348610504030546E-3</v>
      </c>
      <c r="K425" s="1">
        <v>1.0476938066192192E-2</v>
      </c>
      <c r="L425" s="1">
        <v>-116.55747353423534</v>
      </c>
      <c r="M425" s="1">
        <v>-401.7262587051826</v>
      </c>
      <c r="N425" s="1">
        <v>-518.28373223941787</v>
      </c>
      <c r="O425" s="1">
        <v>-518.28373223941799</v>
      </c>
    </row>
    <row r="426" spans="2:15">
      <c r="B426">
        <v>418</v>
      </c>
      <c r="D426">
        <v>712.73841801887681</v>
      </c>
      <c r="E426">
        <v>1204.2680572891211</v>
      </c>
      <c r="F426">
        <v>0.69159708496927119</v>
      </c>
      <c r="G426">
        <v>0.71615293338634189</v>
      </c>
      <c r="H426" s="3">
        <v>400.48550478210853</v>
      </c>
      <c r="I426" s="3">
        <v>1.7122919491316009E-2</v>
      </c>
      <c r="J426" s="3">
        <v>-2.9013557477894185E-3</v>
      </c>
      <c r="K426" s="1">
        <v>3.7734026652457252E-3</v>
      </c>
      <c r="L426" s="1">
        <v>-281.95628362798772</v>
      </c>
      <c r="M426" s="1">
        <v>-291.6020306668226</v>
      </c>
      <c r="N426" s="1">
        <v>-573.5583142948102</v>
      </c>
      <c r="O426" s="1">
        <v>-573.55831429481032</v>
      </c>
    </row>
    <row r="427" spans="2:15">
      <c r="B427">
        <v>419</v>
      </c>
      <c r="D427">
        <v>717.80968148233785</v>
      </c>
      <c r="E427">
        <v>1215.8746426525183</v>
      </c>
      <c r="F427">
        <v>0.69850007410809134</v>
      </c>
      <c r="G427">
        <v>0.72257283005613537</v>
      </c>
      <c r="H427" s="3">
        <v>411.7945089643286</v>
      </c>
      <c r="I427" s="3">
        <v>1.7866499127101445E-2</v>
      </c>
      <c r="J427" s="3">
        <v>-2.723226321114984E-3</v>
      </c>
      <c r="K427" s="1">
        <v>4.140015494957159E-3</v>
      </c>
      <c r="L427" s="1">
        <v>-193.28024905762072</v>
      </c>
      <c r="M427" s="1">
        <v>-392.77268514125115</v>
      </c>
      <c r="N427" s="1">
        <v>-586.05293419887175</v>
      </c>
      <c r="O427" s="1">
        <v>-586.05293419887187</v>
      </c>
    </row>
    <row r="428" spans="2:15">
      <c r="B428">
        <v>420</v>
      </c>
      <c r="D428">
        <v>813.50158028321209</v>
      </c>
      <c r="E428">
        <v>1298.0106457676243</v>
      </c>
      <c r="F428">
        <v>0.69395926009240216</v>
      </c>
      <c r="G428">
        <v>0.72539553389281974</v>
      </c>
      <c r="H428" s="3">
        <v>397.45869404501678</v>
      </c>
      <c r="I428" s="3">
        <v>2.2591062025039087E-2</v>
      </c>
      <c r="J428" s="3">
        <v>2.7181273227882448E-3</v>
      </c>
      <c r="K428" s="1">
        <v>9.3424388902051923E-3</v>
      </c>
      <c r="L428" s="1">
        <v>-384.61067799242829</v>
      </c>
      <c r="M428" s="1">
        <v>-230.55346816859839</v>
      </c>
      <c r="N428" s="1">
        <v>-615.16414616102657</v>
      </c>
      <c r="O428" s="1">
        <v>-615.16414616102668</v>
      </c>
    </row>
    <row r="429" spans="2:15">
      <c r="B429">
        <v>421</v>
      </c>
      <c r="D429">
        <v>850.48661009024431</v>
      </c>
      <c r="E429">
        <v>1340.9394431902995</v>
      </c>
      <c r="F429">
        <v>0.69349446004194848</v>
      </c>
      <c r="G429">
        <v>0.72215214721647936</v>
      </c>
      <c r="H429" s="3">
        <v>405.86748267836197</v>
      </c>
      <c r="I429" s="3">
        <v>2.0967015607165636E-2</v>
      </c>
      <c r="J429" s="3">
        <v>6.7364147324753751E-4</v>
      </c>
      <c r="K429" s="1">
        <v>7.4380995178869036E-3</v>
      </c>
      <c r="L429" s="1">
        <v>-423.08145836229107</v>
      </c>
      <c r="M429" s="1">
        <v>-333.54191738215974</v>
      </c>
      <c r="N429" s="1">
        <v>-756.62337574445087</v>
      </c>
      <c r="O429" s="1">
        <v>-756.62337574445087</v>
      </c>
    </row>
    <row r="430" spans="2:15">
      <c r="B430">
        <v>422</v>
      </c>
      <c r="D430">
        <v>895.57260246354281</v>
      </c>
      <c r="E430">
        <v>1402.0701823390614</v>
      </c>
      <c r="F430">
        <v>0.69802391466705072</v>
      </c>
      <c r="G430">
        <v>0.72285184188507556</v>
      </c>
      <c r="H430" s="3">
        <v>426.00423937426604</v>
      </c>
      <c r="I430" s="3">
        <v>1.7596469876789828E-2</v>
      </c>
      <c r="J430" s="3">
        <v>-3.7037420919234752E-3</v>
      </c>
      <c r="K430" s="1">
        <v>3.3963285643142938E-3</v>
      </c>
      <c r="L430" s="1">
        <v>-277.60550229763425</v>
      </c>
      <c r="M430" s="1">
        <v>-287.46685430011291</v>
      </c>
      <c r="N430" s="1">
        <v>-565.0723565977471</v>
      </c>
      <c r="O430" s="1">
        <v>-565.0723565977471</v>
      </c>
    </row>
    <row r="431" spans="2:15">
      <c r="B431">
        <v>423</v>
      </c>
      <c r="D431">
        <v>822.04849807716323</v>
      </c>
      <c r="E431">
        <v>1303.6909617823287</v>
      </c>
      <c r="F431">
        <v>0.68396766990381885</v>
      </c>
      <c r="G431">
        <v>0.72229054688667882</v>
      </c>
      <c r="H431" s="3">
        <v>402.44912581600829</v>
      </c>
      <c r="I431" s="3">
        <v>2.899828372223193E-2</v>
      </c>
      <c r="J431" s="3">
        <v>8.8758274314315148E-3</v>
      </c>
      <c r="K431" s="1">
        <v>1.5583312861698321E-2</v>
      </c>
      <c r="L431" s="1">
        <v>-181.89598839358942</v>
      </c>
      <c r="M431" s="1">
        <v>-429.27966963698549</v>
      </c>
      <c r="N431" s="1">
        <v>-611.17565803057494</v>
      </c>
      <c r="O431" s="1">
        <v>-611.17565803057494</v>
      </c>
    </row>
    <row r="432" spans="2:15">
      <c r="B432">
        <v>424</v>
      </c>
      <c r="D432">
        <v>999.45888236341477</v>
      </c>
      <c r="E432">
        <v>1485.136439966803</v>
      </c>
      <c r="F432">
        <v>0.68927270772870275</v>
      </c>
      <c r="G432">
        <v>0.72400067791647171</v>
      </c>
      <c r="H432" s="3">
        <v>404.47714267042545</v>
      </c>
      <c r="I432" s="3">
        <v>2.596138775980688E-2</v>
      </c>
      <c r="J432" s="3">
        <v>5.7375306262856078E-3</v>
      </c>
      <c r="K432" s="1">
        <v>1.2478816337459364E-2</v>
      </c>
      <c r="L432" s="1">
        <v>-268.58326377311244</v>
      </c>
      <c r="M432" s="1">
        <v>-319.96803100883943</v>
      </c>
      <c r="N432" s="1">
        <v>-588.55129478195181</v>
      </c>
      <c r="O432" s="1">
        <v>-588.55129478195181</v>
      </c>
    </row>
    <row r="433" spans="2:15">
      <c r="B433">
        <v>425</v>
      </c>
      <c r="D433">
        <v>896.76639563310198</v>
      </c>
      <c r="E433">
        <v>1390.9616567514113</v>
      </c>
      <c r="F433">
        <v>0.69969760221098753</v>
      </c>
      <c r="G433">
        <v>0.73051626609525389</v>
      </c>
      <c r="H433" s="3">
        <v>413.40274530068496</v>
      </c>
      <c r="I433" s="3">
        <v>2.2974111051095734E-2</v>
      </c>
      <c r="J433" s="3">
        <v>2.3039737860614876E-3</v>
      </c>
      <c r="K433" s="1">
        <v>9.1940195410729012E-3</v>
      </c>
      <c r="L433" s="1">
        <v>-432.47642892253486</v>
      </c>
      <c r="M433" s="1">
        <v>-423.71454377917138</v>
      </c>
      <c r="N433" s="1">
        <v>-856.1909727017063</v>
      </c>
      <c r="O433" s="1">
        <v>-856.19097270170619</v>
      </c>
    </row>
    <row r="434" spans="2:15">
      <c r="B434">
        <v>426</v>
      </c>
      <c r="D434">
        <v>1134.4275949507733</v>
      </c>
      <c r="E434">
        <v>1630.7690558610009</v>
      </c>
      <c r="F434">
        <v>0.69620405542357233</v>
      </c>
      <c r="G434">
        <v>0.72632250822857625</v>
      </c>
      <c r="H434" s="3">
        <v>418.48683681156314</v>
      </c>
      <c r="I434" s="3">
        <v>2.288192750522796E-2</v>
      </c>
      <c r="J434" s="3">
        <v>1.9575856646498017E-3</v>
      </c>
      <c r="K434" s="1">
        <v>8.9323662781758528E-3</v>
      </c>
      <c r="L434" s="1">
        <v>-62.33213689988338</v>
      </c>
      <c r="M434" s="1">
        <v>-385.75632810266728</v>
      </c>
      <c r="N434" s="1">
        <v>-448.08846500255061</v>
      </c>
      <c r="O434" s="1">
        <v>-448.08846500255066</v>
      </c>
    </row>
    <row r="435" spans="2:15">
      <c r="B435">
        <v>427</v>
      </c>
      <c r="D435">
        <v>882.31352030476921</v>
      </c>
      <c r="E435">
        <v>1375.6456420729792</v>
      </c>
      <c r="F435">
        <v>0.68528084169438719</v>
      </c>
      <c r="G435">
        <v>0.71581783089525464</v>
      </c>
      <c r="H435" s="3">
        <v>411.9111547458009</v>
      </c>
      <c r="I435" s="3">
        <v>2.1985368262666144E-2</v>
      </c>
      <c r="J435" s="3">
        <v>1.3898105253760985E-3</v>
      </c>
      <c r="K435" s="1">
        <v>8.2549964378061148E-3</v>
      </c>
      <c r="L435" s="1">
        <v>-293.33984140862469</v>
      </c>
      <c r="M435" s="1">
        <v>-312.83837820563258</v>
      </c>
      <c r="N435" s="1">
        <v>-606.17821961425739</v>
      </c>
      <c r="O435" s="1">
        <v>-606.17821961425727</v>
      </c>
    </row>
    <row r="436" spans="2:15">
      <c r="B436">
        <v>428</v>
      </c>
      <c r="D436">
        <v>1113.8879994802182</v>
      </c>
      <c r="E436">
        <v>1572.6795655634876</v>
      </c>
      <c r="F436">
        <v>0.68979121964697432</v>
      </c>
      <c r="G436">
        <v>0.72384902907218918</v>
      </c>
      <c r="H436" s="3">
        <v>374.88218297472343</v>
      </c>
      <c r="I436" s="3">
        <v>2.4458096822067905E-2</v>
      </c>
      <c r="J436" s="3">
        <v>5.7139876733317344E-3</v>
      </c>
      <c r="K436" s="1">
        <v>1.1962024056243791E-2</v>
      </c>
      <c r="L436" s="1">
        <v>-226.87616282610293</v>
      </c>
      <c r="M436" s="1">
        <v>-385.32013602253346</v>
      </c>
      <c r="N436" s="1">
        <v>-612.19629884863639</v>
      </c>
      <c r="O436" s="1">
        <v>-612.19629884863639</v>
      </c>
    </row>
    <row r="437" spans="2:15">
      <c r="B437">
        <v>429</v>
      </c>
      <c r="D437">
        <v>733.54408372759292</v>
      </c>
      <c r="E437">
        <v>1238.7196294052387</v>
      </c>
      <c r="F437">
        <v>0.69189864584279193</v>
      </c>
      <c r="G437">
        <v>0.7173360074097217</v>
      </c>
      <c r="H437" s="3">
        <v>412.28810710585316</v>
      </c>
      <c r="I437" s="3">
        <v>1.7877166137071368E-2</v>
      </c>
      <c r="J437" s="3">
        <v>-2.7372392182212907E-3</v>
      </c>
      <c r="K437" s="1">
        <v>4.1342292335429295E-3</v>
      </c>
      <c r="L437" s="1">
        <v>-50.07779508203631</v>
      </c>
      <c r="M437" s="1">
        <v>-287.82867621089264</v>
      </c>
      <c r="N437" s="1">
        <v>-337.90647129292893</v>
      </c>
      <c r="O437" s="1">
        <v>-337.90647129292893</v>
      </c>
    </row>
    <row r="438" spans="2:15">
      <c r="B438">
        <v>430</v>
      </c>
      <c r="D438">
        <v>1035.7456637338992</v>
      </c>
      <c r="E438">
        <v>1530.5594223460484</v>
      </c>
      <c r="F438">
        <v>0.69638216151170995</v>
      </c>
      <c r="G438">
        <v>0.72808270251223295</v>
      </c>
      <c r="H438" s="3">
        <v>396.65597624140332</v>
      </c>
      <c r="I438" s="3">
        <v>2.2072147528729876E-2</v>
      </c>
      <c r="J438" s="3">
        <v>2.2393487166597059E-3</v>
      </c>
      <c r="K438" s="1">
        <v>8.8502816540164293E-3</v>
      </c>
      <c r="L438" s="1">
        <v>-64.030961829815396</v>
      </c>
      <c r="M438" s="1">
        <v>-504.29579555119187</v>
      </c>
      <c r="N438" s="1">
        <v>-568.32675738100727</v>
      </c>
      <c r="O438" s="1">
        <v>-568.32675738100727</v>
      </c>
    </row>
    <row r="439" spans="2:15">
      <c r="B439">
        <v>431</v>
      </c>
      <c r="D439">
        <v>1040.2407362435613</v>
      </c>
      <c r="E439">
        <v>1483.7014131390631</v>
      </c>
      <c r="F439">
        <v>0.69165828763595971</v>
      </c>
      <c r="G439">
        <v>0.73136690161019147</v>
      </c>
      <c r="H439" s="3">
        <v>351.54811359638558</v>
      </c>
      <c r="I439" s="3">
        <v>2.7009862309550731E-2</v>
      </c>
      <c r="J439" s="3">
        <v>9.4324566297314533E-3</v>
      </c>
      <c r="K439" s="1">
        <v>1.5291591856337879E-2</v>
      </c>
      <c r="L439" s="1">
        <v>-173.00426274260843</v>
      </c>
      <c r="M439" s="1">
        <v>-313.25835703645487</v>
      </c>
      <c r="N439" s="1">
        <v>-486.26261977906336</v>
      </c>
      <c r="O439" s="1">
        <v>-486.2626197790633</v>
      </c>
    </row>
    <row r="440" spans="2:15">
      <c r="B440">
        <v>432</v>
      </c>
      <c r="D440">
        <v>842.63254207767</v>
      </c>
      <c r="E440">
        <v>1327.8228699275694</v>
      </c>
      <c r="F440">
        <v>0.68956042797467632</v>
      </c>
      <c r="G440">
        <v>0.72752869905489082</v>
      </c>
      <c r="H440" s="3">
        <v>414.30351894172918</v>
      </c>
      <c r="I440" s="3">
        <v>2.8585214381309329E-2</v>
      </c>
      <c r="J440" s="3">
        <v>7.8700384342228723E-3</v>
      </c>
      <c r="K440" s="1">
        <v>1.4775097083251691E-2</v>
      </c>
      <c r="L440" s="1">
        <v>-331.46252870303522</v>
      </c>
      <c r="M440" s="1">
        <v>-345.48885605361693</v>
      </c>
      <c r="N440" s="1">
        <v>-676.95138475665203</v>
      </c>
      <c r="O440" s="1">
        <v>-676.95138475665215</v>
      </c>
    </row>
    <row r="441" spans="2:15">
      <c r="B441">
        <v>433</v>
      </c>
      <c r="D441">
        <v>921.24509370233693</v>
      </c>
      <c r="E441">
        <v>1429.0412352377139</v>
      </c>
      <c r="F441">
        <v>0.68895168609379687</v>
      </c>
      <c r="G441">
        <v>0.72324414778279233</v>
      </c>
      <c r="H441" s="3">
        <v>420.19505058251417</v>
      </c>
      <c r="I441" s="3">
        <v>2.4781057926022972E-2</v>
      </c>
      <c r="J441" s="3">
        <v>3.7713053968972642E-3</v>
      </c>
      <c r="K441" s="1">
        <v>1.0774556239939167E-2</v>
      </c>
      <c r="L441" s="1">
        <v>-308.05226613729008</v>
      </c>
      <c r="M441" s="1">
        <v>-473.36523501661532</v>
      </c>
      <c r="N441" s="1">
        <v>-781.41750115390539</v>
      </c>
      <c r="O441" s="1">
        <v>-781.41750115390539</v>
      </c>
    </row>
    <row r="442" spans="2:15">
      <c r="B442">
        <v>434</v>
      </c>
      <c r="D442">
        <v>1037.2862661889599</v>
      </c>
      <c r="E442">
        <v>1520.1943459707022</v>
      </c>
      <c r="F442">
        <v>0.68919946207352845</v>
      </c>
      <c r="G442">
        <v>0.72159862494655835</v>
      </c>
      <c r="H442" s="3">
        <v>402.90077198317914</v>
      </c>
      <c r="I442" s="3">
        <v>2.4365050633964814E-2</v>
      </c>
      <c r="J442" s="3">
        <v>4.2200120348058583E-3</v>
      </c>
      <c r="K442" s="1">
        <v>1.0935024901192176E-2</v>
      </c>
      <c r="L442" s="1">
        <v>-143.18119469646263</v>
      </c>
      <c r="M442" s="1">
        <v>-364.1049459444431</v>
      </c>
      <c r="N442" s="1">
        <v>-507.28614064090567</v>
      </c>
      <c r="O442" s="1">
        <v>-507.28614064090573</v>
      </c>
    </row>
    <row r="443" spans="2:15">
      <c r="B443">
        <v>435</v>
      </c>
      <c r="D443">
        <v>823.55363081850203</v>
      </c>
      <c r="E443">
        <v>1324.8783235477022</v>
      </c>
      <c r="F443">
        <v>0.6892905519923509</v>
      </c>
      <c r="G443">
        <v>0.72187903484994798</v>
      </c>
      <c r="H443" s="3">
        <v>407.09862401389051</v>
      </c>
      <c r="I443" s="3">
        <v>2.2873749239866809E-2</v>
      </c>
      <c r="J443" s="3">
        <v>2.5188180391722825E-3</v>
      </c>
      <c r="K443" s="1">
        <v>9.3037951060704581E-3</v>
      </c>
      <c r="L443" s="1">
        <v>-252.54642310054365</v>
      </c>
      <c r="M443" s="1">
        <v>-370.13067046264672</v>
      </c>
      <c r="N443" s="1">
        <v>-622.67709356319028</v>
      </c>
      <c r="O443" s="1">
        <v>-622.6770935631904</v>
      </c>
    </row>
    <row r="444" spans="2:15">
      <c r="B444">
        <v>436</v>
      </c>
      <c r="D444">
        <v>1105.1606797461272</v>
      </c>
      <c r="E444">
        <v>1604.5702215855979</v>
      </c>
      <c r="F444">
        <v>0.69263441050328511</v>
      </c>
      <c r="G444">
        <v>0.71715109546463174</v>
      </c>
      <c r="H444" s="3">
        <v>390.97335672727388</v>
      </c>
      <c r="I444" s="3">
        <v>1.6282701539169647E-2</v>
      </c>
      <c r="J444" s="3">
        <v>-3.2659662971940458E-3</v>
      </c>
      <c r="K444" s="1">
        <v>3.2502563149271833E-3</v>
      </c>
      <c r="L444" s="1">
        <v>-109.62931436020975</v>
      </c>
      <c r="M444" s="1">
        <v>-292.92205360969962</v>
      </c>
      <c r="N444" s="1">
        <v>-402.55136796990928</v>
      </c>
      <c r="O444" s="1">
        <v>-402.55136796990939</v>
      </c>
    </row>
    <row r="445" spans="2:15">
      <c r="B445">
        <v>437</v>
      </c>
      <c r="D445">
        <v>950.93685806073302</v>
      </c>
      <c r="E445">
        <v>1446.9631122274757</v>
      </c>
      <c r="F445">
        <v>0.69074572924382849</v>
      </c>
      <c r="G445">
        <v>0.71445995031785747</v>
      </c>
      <c r="H445" s="3">
        <v>422.30199339279795</v>
      </c>
      <c r="I445" s="3">
        <v>1.796040562411021E-2</v>
      </c>
      <c r="J445" s="3">
        <v>-3.1546940455296907E-3</v>
      </c>
      <c r="K445" s="1">
        <v>3.8836725110169435E-3</v>
      </c>
      <c r="L445" s="1">
        <v>-335.88543088102745</v>
      </c>
      <c r="M445" s="1">
        <v>-475.41839234529033</v>
      </c>
      <c r="N445" s="1">
        <v>-811.30382322631772</v>
      </c>
      <c r="O445" s="1">
        <v>-811.30382322631772</v>
      </c>
    </row>
    <row r="446" spans="2:15">
      <c r="B446">
        <v>438</v>
      </c>
      <c r="D446">
        <v>876.69442998059492</v>
      </c>
      <c r="E446">
        <v>1380.3094224465985</v>
      </c>
      <c r="F446">
        <v>0.69414488687993781</v>
      </c>
      <c r="G446">
        <v>0.72807092105811466</v>
      </c>
      <c r="H446" s="3">
        <v>432.26171847577837</v>
      </c>
      <c r="I446" s="3">
        <v>2.5242696150250106E-2</v>
      </c>
      <c r="J446" s="3">
        <v>3.6296102264611885E-3</v>
      </c>
      <c r="K446" s="1">
        <v>1.0833972201057494E-2</v>
      </c>
      <c r="L446" s="1">
        <v>-506.33057115922412</v>
      </c>
      <c r="M446" s="1">
        <v>-431.44482427730117</v>
      </c>
      <c r="N446" s="1">
        <v>-937.77539543652517</v>
      </c>
      <c r="O446" s="1">
        <v>-937.77539543652529</v>
      </c>
    </row>
    <row r="447" spans="2:15">
      <c r="B447">
        <v>439</v>
      </c>
      <c r="D447">
        <v>847.40069917341089</v>
      </c>
      <c r="E447">
        <v>1296.1829971374677</v>
      </c>
      <c r="F447">
        <v>0.69037696980802243</v>
      </c>
      <c r="G447">
        <v>0.73953290990241427</v>
      </c>
      <c r="H447" s="3">
        <v>370.71082444121379</v>
      </c>
      <c r="I447" s="3">
        <v>3.5400931549479729E-2</v>
      </c>
      <c r="J447" s="3">
        <v>1.6865390327419041E-2</v>
      </c>
      <c r="K447" s="1">
        <v>2.3043904068105935E-2</v>
      </c>
      <c r="L447" s="1">
        <v>-193.86649643605358</v>
      </c>
      <c r="M447" s="1">
        <v>-330.86158057626722</v>
      </c>
      <c r="N447" s="1">
        <v>-524.72807701232068</v>
      </c>
      <c r="O447" s="1">
        <v>-524.7280770123208</v>
      </c>
    </row>
    <row r="448" spans="2:15">
      <c r="B448">
        <v>440</v>
      </c>
      <c r="D448">
        <v>699.7963466823594</v>
      </c>
      <c r="E448">
        <v>1198.2937937474869</v>
      </c>
      <c r="F448">
        <v>0.6944669405398628</v>
      </c>
      <c r="G448">
        <v>0.72746245602422888</v>
      </c>
      <c r="H448" s="3">
        <v>407.80901285721797</v>
      </c>
      <c r="I448" s="3">
        <v>2.3367972883439225E-2</v>
      </c>
      <c r="J448" s="3">
        <v>2.9775222405783314E-3</v>
      </c>
      <c r="K448" s="1">
        <v>9.7743391215319615E-3</v>
      </c>
      <c r="L448" s="1">
        <v>-295.44660833221531</v>
      </c>
      <c r="M448" s="1">
        <v>-296.28303793862824</v>
      </c>
      <c r="N448" s="1">
        <v>-591.72964627084355</v>
      </c>
      <c r="O448" s="1">
        <v>-591.72964627084355</v>
      </c>
    </row>
    <row r="449" spans="2:15">
      <c r="B449">
        <v>441</v>
      </c>
      <c r="D449">
        <v>847.32035406278646</v>
      </c>
      <c r="E449">
        <v>1342.256635690014</v>
      </c>
      <c r="F449">
        <v>0.6917641313015167</v>
      </c>
      <c r="G449">
        <v>0.72682464472612152</v>
      </c>
      <c r="H449" s="3">
        <v>391.42172556877711</v>
      </c>
      <c r="I449" s="3">
        <v>2.3455186247943554E-2</v>
      </c>
      <c r="J449" s="3">
        <v>3.8840999695046972E-3</v>
      </c>
      <c r="K449" s="1">
        <v>1.0407795395650983E-2</v>
      </c>
      <c r="L449" s="1">
        <v>-149.72411329426259</v>
      </c>
      <c r="M449" s="1">
        <v>-307.67508004411013</v>
      </c>
      <c r="N449" s="1">
        <v>-457.3991933383727</v>
      </c>
      <c r="O449" s="1">
        <v>-457.3991933383727</v>
      </c>
    </row>
    <row r="450" spans="2:15">
      <c r="B450">
        <v>442</v>
      </c>
      <c r="D450">
        <v>748.05973146342183</v>
      </c>
      <c r="E450">
        <v>1231.4763369679329</v>
      </c>
      <c r="F450">
        <v>0.68402573101384379</v>
      </c>
      <c r="G450">
        <v>0.71561083085348975</v>
      </c>
      <c r="H450" s="3">
        <v>388.63439844202151</v>
      </c>
      <c r="I450" s="3">
        <v>2.0903904277421732E-2</v>
      </c>
      <c r="J450" s="3">
        <v>1.4721843553206562E-3</v>
      </c>
      <c r="K450" s="1">
        <v>7.9494243293543494E-3</v>
      </c>
      <c r="L450" s="1">
        <v>-290.51965103735733</v>
      </c>
      <c r="M450" s="1">
        <v>-435.54023907261842</v>
      </c>
      <c r="N450" s="1">
        <v>-726.05989010997564</v>
      </c>
      <c r="O450" s="1">
        <v>-726.05989010997575</v>
      </c>
    </row>
    <row r="451" spans="2:15">
      <c r="B451">
        <v>443</v>
      </c>
      <c r="D451">
        <v>775.42242001953991</v>
      </c>
      <c r="E451">
        <v>1260.1716702299532</v>
      </c>
      <c r="F451">
        <v>0.68813904069011145</v>
      </c>
      <c r="G451">
        <v>0.72064118859329407</v>
      </c>
      <c r="H451" s="3">
        <v>408.98492205644715</v>
      </c>
      <c r="I451" s="3">
        <v>2.3678209530357954E-2</v>
      </c>
      <c r="J451" s="3">
        <v>3.2289634275355951E-3</v>
      </c>
      <c r="K451" s="1">
        <v>1.0045378795143048E-2</v>
      </c>
      <c r="L451" s="1">
        <v>-316.60708220926188</v>
      </c>
      <c r="M451" s="1">
        <v>-441.70348515822775</v>
      </c>
      <c r="N451" s="1">
        <v>-758.31056736748974</v>
      </c>
      <c r="O451" s="1">
        <v>-758.31056736748963</v>
      </c>
    </row>
    <row r="452" spans="2:15">
      <c r="B452">
        <v>444</v>
      </c>
      <c r="D452">
        <v>922.91946671417145</v>
      </c>
      <c r="E452">
        <v>1419.4055856587895</v>
      </c>
      <c r="F452">
        <v>0.69907225740623735</v>
      </c>
      <c r="G452">
        <v>0.73403304407296466</v>
      </c>
      <c r="H452" s="3">
        <v>414.08572679540015</v>
      </c>
      <c r="I452" s="3">
        <v>2.5776459883170268E-2</v>
      </c>
      <c r="J452" s="3">
        <v>5.0721735434002616E-3</v>
      </c>
      <c r="K452" s="1">
        <v>1.1973602323323599E-2</v>
      </c>
      <c r="L452" s="1">
        <v>-148.71998362958882</v>
      </c>
      <c r="M452" s="1">
        <v>-237.60651221162652</v>
      </c>
      <c r="N452" s="1">
        <v>-386.32649584121538</v>
      </c>
      <c r="O452" s="1">
        <v>-386.32649584121532</v>
      </c>
    </row>
    <row r="453" spans="2:15">
      <c r="B453">
        <v>445</v>
      </c>
      <c r="D453">
        <v>956.91391006771278</v>
      </c>
      <c r="E453">
        <v>1436.411796957032</v>
      </c>
      <c r="F453">
        <v>0.69304152371059602</v>
      </c>
      <c r="G453">
        <v>0.73276806562831898</v>
      </c>
      <c r="H453" s="3">
        <v>390.12458805427667</v>
      </c>
      <c r="I453" s="3">
        <v>2.8680712682886956E-2</v>
      </c>
      <c r="J453" s="3">
        <v>9.1744832801731215E-3</v>
      </c>
      <c r="K453" s="1">
        <v>1.5676559747744401E-2</v>
      </c>
      <c r="L453" s="1">
        <v>-487.95111061493793</v>
      </c>
      <c r="M453" s="1">
        <v>-158.95864324618185</v>
      </c>
      <c r="N453" s="1">
        <v>-646.90975386111973</v>
      </c>
      <c r="O453" s="1">
        <v>-646.90975386111973</v>
      </c>
    </row>
    <row r="454" spans="2:15">
      <c r="B454">
        <v>446</v>
      </c>
      <c r="D454">
        <v>908.84826002396471</v>
      </c>
      <c r="E454">
        <v>1394.0302991805031</v>
      </c>
      <c r="F454">
        <v>0.69358943291807151</v>
      </c>
      <c r="G454">
        <v>0.72313094962263313</v>
      </c>
      <c r="H454" s="3">
        <v>384.73481025763658</v>
      </c>
      <c r="I454" s="3">
        <v>2.0049323748720645E-2</v>
      </c>
      <c r="J454" s="3">
        <v>8.1258323583881589E-4</v>
      </c>
      <c r="K454" s="1">
        <v>7.2248300734660924E-3</v>
      </c>
      <c r="L454" s="1">
        <v>-273.917174557382</v>
      </c>
      <c r="M454" s="1">
        <v>-310.12582768048685</v>
      </c>
      <c r="N454" s="1">
        <v>-584.0430022378689</v>
      </c>
      <c r="O454" s="1">
        <v>-584.0430022378689</v>
      </c>
    </row>
    <row r="455" spans="2:15">
      <c r="B455">
        <v>447</v>
      </c>
      <c r="D455">
        <v>1038.6327761108146</v>
      </c>
      <c r="E455">
        <v>1531.4991257573217</v>
      </c>
      <c r="F455">
        <v>0.69337003564387323</v>
      </c>
      <c r="G455">
        <v>0.73774725634165483</v>
      </c>
      <c r="H455" s="3">
        <v>387.84920286325274</v>
      </c>
      <c r="I455" s="3">
        <v>3.0216443361670196E-2</v>
      </c>
      <c r="J455" s="3">
        <v>1.0823983218507558E-2</v>
      </c>
      <c r="K455" s="1">
        <v>1.7288136599561771E-2</v>
      </c>
      <c r="L455" s="1">
        <v>-164.24330954856487</v>
      </c>
      <c r="M455" s="1">
        <v>-342.15913905603651</v>
      </c>
      <c r="N455" s="1">
        <v>-506.40244860460132</v>
      </c>
      <c r="O455" s="1">
        <v>-506.40244860460137</v>
      </c>
    </row>
    <row r="456" spans="2:15">
      <c r="B456">
        <v>448</v>
      </c>
      <c r="D456">
        <v>811.14032775207261</v>
      </c>
      <c r="E456">
        <v>1297.2028562628575</v>
      </c>
      <c r="F456">
        <v>0.68864350596801693</v>
      </c>
      <c r="G456">
        <v>0.72504584733976962</v>
      </c>
      <c r="H456" s="3">
        <v>389.84277416770874</v>
      </c>
      <c r="I456" s="3">
        <v>2.4804133359617519E-2</v>
      </c>
      <c r="J456" s="3">
        <v>5.3119946512320791E-3</v>
      </c>
      <c r="K456" s="1">
        <v>1.1809374220693893E-2</v>
      </c>
      <c r="L456" s="1">
        <v>-236.93104143462631</v>
      </c>
      <c r="M456" s="1">
        <v>-376.52500118575927</v>
      </c>
      <c r="N456" s="1">
        <v>-613.45604262038557</v>
      </c>
      <c r="O456" s="1">
        <v>-613.45604262038557</v>
      </c>
    </row>
    <row r="457" spans="2:15">
      <c r="B457">
        <v>449</v>
      </c>
      <c r="D457">
        <v>961.9111666026771</v>
      </c>
      <c r="E457">
        <v>1455.8839183610983</v>
      </c>
      <c r="F457">
        <v>0.69096076027280762</v>
      </c>
      <c r="G457">
        <v>0.72639010248274383</v>
      </c>
      <c r="H457" s="3">
        <v>391.95747219119482</v>
      </c>
      <c r="I457" s="3">
        <v>2.4424730733544193E-2</v>
      </c>
      <c r="J457" s="3">
        <v>4.8268571239844515E-3</v>
      </c>
      <c r="K457" s="1">
        <v>1.1359481660504366E-2</v>
      </c>
      <c r="L457" s="1">
        <v>-238.71680657880407</v>
      </c>
      <c r="M457" s="1">
        <v>-321.286200393228</v>
      </c>
      <c r="N457" s="1">
        <v>-560.00300697203204</v>
      </c>
      <c r="O457" s="1">
        <v>-560.00300697203204</v>
      </c>
    </row>
    <row r="458" spans="2:15">
      <c r="B458">
        <v>450</v>
      </c>
      <c r="D458">
        <v>826.07085192179511</v>
      </c>
      <c r="E458">
        <v>1328.9776524111046</v>
      </c>
      <c r="F458">
        <v>0.68500401179477988</v>
      </c>
      <c r="G458">
        <v>0.73287287325955919</v>
      </c>
      <c r="H458" s="3">
        <v>403.30255953800099</v>
      </c>
      <c r="I458" s="3">
        <v>3.3467048096221155E-2</v>
      </c>
      <c r="J458" s="3">
        <v>1.3301920119321107E-2</v>
      </c>
      <c r="K458" s="1">
        <v>2.0023629444954456E-2</v>
      </c>
      <c r="L458" s="1">
        <v>-78.623100763954923</v>
      </c>
      <c r="M458" s="1">
        <v>-268.05876338421268</v>
      </c>
      <c r="N458" s="1">
        <v>-346.68186414816762</v>
      </c>
      <c r="O458" s="1">
        <v>-346.68186414816762</v>
      </c>
    </row>
    <row r="459" spans="2:15">
      <c r="B459">
        <v>451</v>
      </c>
      <c r="D459">
        <v>1055.4857433042339</v>
      </c>
      <c r="E459">
        <v>1547.4874033384845</v>
      </c>
      <c r="F459">
        <v>0.69162784205261862</v>
      </c>
      <c r="G459">
        <v>0.73226843323965696</v>
      </c>
      <c r="H459" s="3">
        <v>401.69447347385773</v>
      </c>
      <c r="I459" s="3">
        <v>2.9016875592688129E-2</v>
      </c>
      <c r="J459" s="3">
        <v>8.9321519189952438E-3</v>
      </c>
      <c r="K459" s="1">
        <v>1.5627059810226204E-2</v>
      </c>
      <c r="L459" s="1">
        <v>-187.74494762613494</v>
      </c>
      <c r="M459" s="1">
        <v>-180.99731821385032</v>
      </c>
      <c r="N459" s="1">
        <v>-368.74226583998524</v>
      </c>
      <c r="O459" s="1">
        <v>-368.74226583998529</v>
      </c>
    </row>
    <row r="460" spans="2:15">
      <c r="B460">
        <v>452</v>
      </c>
      <c r="D460">
        <v>1017.2043796559838</v>
      </c>
      <c r="E460">
        <v>1503.862911085901</v>
      </c>
      <c r="F460">
        <v>0.70235796219443813</v>
      </c>
      <c r="G460">
        <v>0.73026199305977046</v>
      </c>
      <c r="H460" s="3">
        <v>389.24016361617998</v>
      </c>
      <c r="I460" s="3">
        <v>2.0144814937261175E-2</v>
      </c>
      <c r="J460" s="3">
        <v>6.8280675645217628E-4</v>
      </c>
      <c r="K460" s="1">
        <v>7.1701428167218421E-3</v>
      </c>
      <c r="L460" s="1">
        <v>-376.18261444175562</v>
      </c>
      <c r="M460" s="1">
        <v>-273.1887519938731</v>
      </c>
      <c r="N460" s="1">
        <v>-649.37136643562872</v>
      </c>
      <c r="O460" s="1">
        <v>-649.37136643562872</v>
      </c>
    </row>
    <row r="461" spans="2:15">
      <c r="B461">
        <v>453</v>
      </c>
      <c r="D461">
        <v>1077.8807228257938</v>
      </c>
      <c r="E461">
        <v>1549.1082768751103</v>
      </c>
      <c r="F461">
        <v>0.68801961127865829</v>
      </c>
      <c r="G461">
        <v>0.7290421316531529</v>
      </c>
      <c r="H461" s="3">
        <v>372.15740001265033</v>
      </c>
      <c r="I461" s="3">
        <v>2.7564021080945637E-2</v>
      </c>
      <c r="J461" s="3">
        <v>8.9561510803131163E-3</v>
      </c>
      <c r="K461" s="1">
        <v>1.515877441385729E-2</v>
      </c>
      <c r="L461" s="1">
        <v>-203.09883695954915</v>
      </c>
      <c r="M461" s="1">
        <v>-287.79978411677632</v>
      </c>
      <c r="N461" s="1">
        <v>-490.89862107632541</v>
      </c>
      <c r="O461" s="1">
        <v>-490.89862107632547</v>
      </c>
    </row>
    <row r="462" spans="2:15">
      <c r="B462">
        <v>454</v>
      </c>
      <c r="D462">
        <v>744.22885188500516</v>
      </c>
      <c r="E462">
        <v>1241.636855987851</v>
      </c>
      <c r="F462">
        <v>0.68931632327583903</v>
      </c>
      <c r="G462">
        <v>0.71817350128048008</v>
      </c>
      <c r="H462" s="3">
        <v>370.30897800861356</v>
      </c>
      <c r="I462" s="3">
        <v>1.7961190330016245E-2</v>
      </c>
      <c r="J462" s="3">
        <v>-5.5425857041443635E-4</v>
      </c>
      <c r="K462" s="1">
        <v>5.6175577297291248E-3</v>
      </c>
      <c r="L462" s="1">
        <v>-215.78607649376087</v>
      </c>
      <c r="M462" s="1">
        <v>-265.28150525166569</v>
      </c>
      <c r="N462" s="1">
        <v>-481.06758174542665</v>
      </c>
      <c r="O462" s="1">
        <v>-481.06758174542654</v>
      </c>
    </row>
    <row r="463" spans="2:15">
      <c r="B463">
        <v>455</v>
      </c>
      <c r="D463">
        <v>849.76052326040451</v>
      </c>
      <c r="E463">
        <v>1310.4828412696552</v>
      </c>
      <c r="F463">
        <v>0.68876770234796014</v>
      </c>
      <c r="G463">
        <v>0.73561979708272818</v>
      </c>
      <c r="H463" s="3">
        <v>371.83639342843912</v>
      </c>
      <c r="I463" s="3">
        <v>3.3147042575075114E-2</v>
      </c>
      <c r="J463" s="3">
        <v>1.4555222903653159E-2</v>
      </c>
      <c r="K463" s="1">
        <v>2.0752496127460475E-2</v>
      </c>
      <c r="L463" s="1">
        <v>45.148248727372959</v>
      </c>
      <c r="M463" s="1">
        <v>-318.02422757621872</v>
      </c>
      <c r="N463" s="1">
        <v>-272.87597884884582</v>
      </c>
      <c r="O463" s="1">
        <v>-272.87597884884576</v>
      </c>
    </row>
    <row r="464" spans="2:15">
      <c r="B464">
        <v>456</v>
      </c>
      <c r="D464">
        <v>698.03827523814505</v>
      </c>
      <c r="E464">
        <v>1196.7247433467414</v>
      </c>
      <c r="F464">
        <v>0.68371058973091658</v>
      </c>
      <c r="G464">
        <v>0.7320060428269537</v>
      </c>
      <c r="H464" s="3">
        <v>423.78688160855961</v>
      </c>
      <c r="I464" s="3">
        <v>3.6746432472656812E-2</v>
      </c>
      <c r="J464" s="3">
        <v>1.5557088392228833E-2</v>
      </c>
      <c r="K464" s="1">
        <v>2.2620203085704827E-2</v>
      </c>
      <c r="L464" s="1">
        <v>-183.40009922142073</v>
      </c>
      <c r="M464" s="1">
        <v>-372.56704433988381</v>
      </c>
      <c r="N464" s="1">
        <v>-555.96714356130451</v>
      </c>
      <c r="O464" s="1">
        <v>-555.96714356130451</v>
      </c>
    </row>
    <row r="465" spans="2:15">
      <c r="B465">
        <v>457</v>
      </c>
      <c r="D465">
        <v>830.83920527654561</v>
      </c>
      <c r="E465">
        <v>1319.9483862213824</v>
      </c>
      <c r="F465">
        <v>0.68515112942056233</v>
      </c>
      <c r="G465">
        <v>0.72393959115913009</v>
      </c>
      <c r="H465" s="3">
        <v>396.28748530471029</v>
      </c>
      <c r="I465" s="3">
        <v>2.7508109943837792E-2</v>
      </c>
      <c r="J465" s="3">
        <v>7.6937356786022822E-3</v>
      </c>
      <c r="K465" s="1">
        <v>1.4298527100347451E-2</v>
      </c>
      <c r="L465" s="1">
        <v>-144.59039883446161</v>
      </c>
      <c r="M465" s="1">
        <v>-358.0844667720246</v>
      </c>
      <c r="N465" s="1">
        <v>-502.67486560648632</v>
      </c>
      <c r="O465" s="1">
        <v>-502.67486560648621</v>
      </c>
    </row>
    <row r="466" spans="2:15">
      <c r="B466">
        <v>458</v>
      </c>
      <c r="D466">
        <v>790.00725268504152</v>
      </c>
      <c r="E466">
        <v>1279.653952772579</v>
      </c>
      <c r="F466">
        <v>0.69119355963901763</v>
      </c>
      <c r="G466">
        <v>0.72831257779347158</v>
      </c>
      <c r="H466" s="3">
        <v>393.43265589458133</v>
      </c>
      <c r="I466" s="3">
        <v>2.6249019278252801E-2</v>
      </c>
      <c r="J466" s="3">
        <v>6.577386483523736E-3</v>
      </c>
      <c r="K466" s="1">
        <v>1.3134597415100089E-2</v>
      </c>
      <c r="L466" s="1">
        <v>-256.15684362016793</v>
      </c>
      <c r="M466" s="1">
        <v>-185.29500770250561</v>
      </c>
      <c r="N466" s="1">
        <v>-441.45185132267363</v>
      </c>
      <c r="O466" s="1">
        <v>-441.45185132267352</v>
      </c>
    </row>
    <row r="467" spans="2:15">
      <c r="B467">
        <v>459</v>
      </c>
      <c r="D467">
        <v>944.00777041944571</v>
      </c>
      <c r="E467">
        <v>1431.7674614690741</v>
      </c>
      <c r="F467">
        <v>0.69145355327609515</v>
      </c>
      <c r="G467">
        <v>0.73097220469815272</v>
      </c>
      <c r="H467" s="3">
        <v>402.95153181838742</v>
      </c>
      <c r="I467" s="3">
        <v>2.8115759047218032E-2</v>
      </c>
      <c r="J467" s="3">
        <v>7.9681824562986628E-3</v>
      </c>
      <c r="K467" s="1">
        <v>1.4684041319938453E-2</v>
      </c>
      <c r="L467" s="1">
        <v>-317.24311849791968</v>
      </c>
      <c r="M467" s="1">
        <v>-346.99118291514674</v>
      </c>
      <c r="N467" s="1">
        <v>-664.23430141306642</v>
      </c>
      <c r="O467" s="1">
        <v>-664.23430141306642</v>
      </c>
    </row>
    <row r="468" spans="2:15">
      <c r="B468">
        <v>460</v>
      </c>
      <c r="D468">
        <v>783.06959129731467</v>
      </c>
      <c r="E468">
        <v>1280.8706614604514</v>
      </c>
      <c r="F468">
        <v>0.67677962040323514</v>
      </c>
      <c r="G468">
        <v>0.71016085679041363</v>
      </c>
      <c r="H468" s="3">
        <v>405.36860358292427</v>
      </c>
      <c r="I468" s="3">
        <v>2.3601056732159342E-2</v>
      </c>
      <c r="J468" s="3">
        <v>3.3326265530131301E-3</v>
      </c>
      <c r="K468" s="1">
        <v>1.0088769946061867E-2</v>
      </c>
      <c r="L468" s="1">
        <v>-317.26796902191353</v>
      </c>
      <c r="M468" s="1">
        <v>-337.79400056238404</v>
      </c>
      <c r="N468" s="1">
        <v>-655.06196958429757</v>
      </c>
      <c r="O468" s="1">
        <v>-655.06196958429757</v>
      </c>
    </row>
    <row r="469" spans="2:15">
      <c r="B469">
        <v>461</v>
      </c>
      <c r="D469">
        <v>886.01411280930472</v>
      </c>
      <c r="E469">
        <v>1365.4161657734626</v>
      </c>
      <c r="F469">
        <v>0.69970714293569569</v>
      </c>
      <c r="G469">
        <v>0.72556200502479851</v>
      </c>
      <c r="H469" s="3">
        <v>381.94855838962138</v>
      </c>
      <c r="I469" s="3">
        <v>1.7293002812486063E-2</v>
      </c>
      <c r="J469" s="3">
        <v>-1.804425106995005E-3</v>
      </c>
      <c r="K469" s="1">
        <v>4.5613841994986831E-3</v>
      </c>
      <c r="L469" s="1">
        <v>-111.63532932782917</v>
      </c>
      <c r="M469" s="1">
        <v>-434.21342010088341</v>
      </c>
      <c r="N469" s="1">
        <v>-545.84874942871261</v>
      </c>
      <c r="O469" s="1">
        <v>-545.84874942871261</v>
      </c>
    </row>
    <row r="470" spans="2:15">
      <c r="B470">
        <v>462</v>
      </c>
      <c r="D470">
        <v>949.98604281172504</v>
      </c>
      <c r="E470">
        <v>1448.6191478314445</v>
      </c>
      <c r="F470">
        <v>0.68751816119074483</v>
      </c>
      <c r="G470">
        <v>0.71899874568010425</v>
      </c>
      <c r="H470" s="3">
        <v>402.33871693961066</v>
      </c>
      <c r="I470" s="3">
        <v>2.2751429714535022E-2</v>
      </c>
      <c r="J470" s="3">
        <v>2.6344938675544882E-3</v>
      </c>
      <c r="K470" s="1">
        <v>9.3401391498813321E-3</v>
      </c>
      <c r="L470" s="1">
        <v>-93.377091774588422</v>
      </c>
      <c r="M470" s="1">
        <v>-431.17434723020375</v>
      </c>
      <c r="N470" s="1">
        <v>-524.5514390047922</v>
      </c>
      <c r="O470" s="1">
        <v>-524.5514390047922</v>
      </c>
    </row>
    <row r="471" spans="2:15">
      <c r="B471">
        <v>463</v>
      </c>
      <c r="D471">
        <v>849.89803927866001</v>
      </c>
      <c r="E471">
        <v>1345.5344388593032</v>
      </c>
      <c r="F471">
        <v>0.70071071505711058</v>
      </c>
      <c r="G471">
        <v>0.72865125703088762</v>
      </c>
      <c r="H471" s="3">
        <v>381.02020513857718</v>
      </c>
      <c r="I471" s="3">
        <v>1.7912550335084487E-2</v>
      </c>
      <c r="J471" s="3">
        <v>-1.1384599218443696E-3</v>
      </c>
      <c r="K471" s="1">
        <v>5.2118768304652494E-3</v>
      </c>
      <c r="L471" s="1">
        <v>-285.33900587945959</v>
      </c>
      <c r="M471" s="1">
        <v>-361.85607676086266</v>
      </c>
      <c r="N471" s="1">
        <v>-647.1950826403222</v>
      </c>
      <c r="O471" s="1">
        <v>-647.1950826403222</v>
      </c>
    </row>
    <row r="472" spans="2:15">
      <c r="B472">
        <v>464</v>
      </c>
      <c r="D472">
        <v>1075.4012456850774</v>
      </c>
      <c r="E472">
        <v>1561.2742416498745</v>
      </c>
      <c r="F472">
        <v>0.69369699099608728</v>
      </c>
      <c r="G472">
        <v>0.7228824669108691</v>
      </c>
      <c r="H472" s="3">
        <v>393.72836305294004</v>
      </c>
      <c r="I472" s="3">
        <v>2.0568330185954029E-2</v>
      </c>
      <c r="J472" s="3">
        <v>8.8191203330702586E-4</v>
      </c>
      <c r="K472" s="1">
        <v>7.4440514175226954E-3</v>
      </c>
      <c r="L472" s="1">
        <v>-351.87740148056145</v>
      </c>
      <c r="M472" s="1">
        <v>-322.0079162513328</v>
      </c>
      <c r="N472" s="1">
        <v>-673.88531773189425</v>
      </c>
      <c r="O472" s="1">
        <v>-673.88531773189425</v>
      </c>
    </row>
    <row r="473" spans="2:15">
      <c r="B473">
        <v>465</v>
      </c>
      <c r="D473">
        <v>796.5804226930411</v>
      </c>
      <c r="E473">
        <v>1298.2637080141387</v>
      </c>
      <c r="F473">
        <v>0.70125938931749743</v>
      </c>
      <c r="G473">
        <v>0.72235987090446241</v>
      </c>
      <c r="H473" s="3">
        <v>423.82305448276986</v>
      </c>
      <c r="I473" s="3">
        <v>1.5982380613654656E-2</v>
      </c>
      <c r="J473" s="3">
        <v>-5.2087721104838378E-3</v>
      </c>
      <c r="K473" s="1">
        <v>1.854945464228994E-3</v>
      </c>
      <c r="L473" s="1">
        <v>-232.09697134906497</v>
      </c>
      <c r="M473" s="1">
        <v>-396.46169333829107</v>
      </c>
      <c r="N473" s="1">
        <v>-628.55866468735599</v>
      </c>
      <c r="O473" s="1">
        <v>-628.55866468735599</v>
      </c>
    </row>
    <row r="474" spans="2:15">
      <c r="B474">
        <v>466</v>
      </c>
      <c r="D474">
        <v>741.77736044488699</v>
      </c>
      <c r="E474">
        <v>1245.228338484128</v>
      </c>
      <c r="F474">
        <v>0.68437265070257702</v>
      </c>
      <c r="G474">
        <v>0.72309327533342393</v>
      </c>
      <c r="H474" s="3">
        <v>396.9526025062944</v>
      </c>
      <c r="I474" s="3">
        <v>2.6894798810828714E-2</v>
      </c>
      <c r="J474" s="3">
        <v>7.0471686855139958E-3</v>
      </c>
      <c r="K474" s="1">
        <v>1.3663045393952234E-2</v>
      </c>
      <c r="L474" s="1">
        <v>-135.34538272831725</v>
      </c>
      <c r="M474" s="1">
        <v>-426.27215322087204</v>
      </c>
      <c r="N474" s="1">
        <v>-561.61753594918935</v>
      </c>
      <c r="O474" s="1">
        <v>-561.61753594918923</v>
      </c>
    </row>
    <row r="475" spans="2:15">
      <c r="B475">
        <v>467</v>
      </c>
      <c r="D475">
        <v>887.62547357394851</v>
      </c>
      <c r="E475">
        <v>1368.1873016511286</v>
      </c>
      <c r="F475">
        <v>0.69793698785847613</v>
      </c>
      <c r="G475">
        <v>0.73467936037387915</v>
      </c>
      <c r="H475" s="3">
        <v>414.69456489712718</v>
      </c>
      <c r="I475" s="3">
        <v>2.8745172038787764E-2</v>
      </c>
      <c r="J475" s="3">
        <v>8.0104437939314058E-3</v>
      </c>
      <c r="K475" s="1">
        <v>1.4922019875550191E-2</v>
      </c>
      <c r="L475" s="1">
        <v>-226.15316492990729</v>
      </c>
      <c r="M475" s="1">
        <v>-345.55300742955552</v>
      </c>
      <c r="N475" s="1">
        <v>-571.70617235946281</v>
      </c>
      <c r="O475" s="1">
        <v>-571.70617235946281</v>
      </c>
    </row>
    <row r="476" spans="2:15">
      <c r="B476">
        <v>468</v>
      </c>
      <c r="D476">
        <v>832.45614594587357</v>
      </c>
      <c r="E476">
        <v>1332.9173332801288</v>
      </c>
      <c r="F476">
        <v>0.69501516289929244</v>
      </c>
      <c r="G476">
        <v>0.72534396587317984</v>
      </c>
      <c r="H476" s="3">
        <v>414.56878955542891</v>
      </c>
      <c r="I476" s="3">
        <v>2.176660936247991E-2</v>
      </c>
      <c r="J476" s="3">
        <v>1.0381698847084647E-3</v>
      </c>
      <c r="K476" s="1">
        <v>7.9476497106322798E-3</v>
      </c>
      <c r="L476" s="1">
        <v>-323.08025346778362</v>
      </c>
      <c r="M476" s="1">
        <v>-396.08025080428047</v>
      </c>
      <c r="N476" s="1">
        <v>-719.16050427206392</v>
      </c>
      <c r="O476" s="1">
        <v>-719.16050427206414</v>
      </c>
    </row>
    <row r="477" spans="2:15">
      <c r="B477">
        <v>469</v>
      </c>
      <c r="D477">
        <v>1049.401348766869</v>
      </c>
      <c r="E477">
        <v>1519.6755477408722</v>
      </c>
      <c r="F477">
        <v>0.68766452492005692</v>
      </c>
      <c r="G477">
        <v>0.72494926213249999</v>
      </c>
      <c r="H477" s="3">
        <v>391.13208045899353</v>
      </c>
      <c r="I477" s="3">
        <v>2.6651291487554383E-2</v>
      </c>
      <c r="J477" s="3">
        <v>7.0946874646047077E-3</v>
      </c>
      <c r="K477" s="1">
        <v>1.3613555472254599E-2</v>
      </c>
      <c r="L477" s="1">
        <v>-281.80278190345331</v>
      </c>
      <c r="M477" s="1">
        <v>-505.1527681586017</v>
      </c>
      <c r="N477" s="1">
        <v>-786.95555006205495</v>
      </c>
      <c r="O477" s="1">
        <v>-786.95555006205495</v>
      </c>
    </row>
    <row r="478" spans="2:15">
      <c r="B478">
        <v>470</v>
      </c>
      <c r="D478">
        <v>774.33858336265871</v>
      </c>
      <c r="E478">
        <v>1272.2791284225189</v>
      </c>
      <c r="F478">
        <v>0.70088671017970861</v>
      </c>
      <c r="G478">
        <v>0.72357149457204417</v>
      </c>
      <c r="H478" s="3">
        <v>403.13589156949689</v>
      </c>
      <c r="I478" s="3">
        <v>1.5836415423946263E-2</v>
      </c>
      <c r="J478" s="3">
        <v>-4.3203791545285801E-3</v>
      </c>
      <c r="K478" s="1">
        <v>2.3985523716296992E-3</v>
      </c>
      <c r="L478" s="1">
        <v>-417.6532170331468</v>
      </c>
      <c r="M478" s="1">
        <v>-161.6005571622228</v>
      </c>
      <c r="N478" s="1">
        <v>-579.25377419536972</v>
      </c>
      <c r="O478" s="1">
        <v>-579.2537741953696</v>
      </c>
    </row>
    <row r="479" spans="2:15">
      <c r="B479">
        <v>471</v>
      </c>
      <c r="D479">
        <v>783.73212587519902</v>
      </c>
      <c r="E479">
        <v>1296.9136974907299</v>
      </c>
      <c r="F479">
        <v>0.69314051593490955</v>
      </c>
      <c r="G479">
        <v>0.72838519377000177</v>
      </c>
      <c r="H479" s="3">
        <v>416.06281522267682</v>
      </c>
      <c r="I479" s="3">
        <v>2.4582502309270261E-2</v>
      </c>
      <c r="J479" s="3">
        <v>3.7793615481364236E-3</v>
      </c>
      <c r="K479" s="1">
        <v>1.0713741801847703E-2</v>
      </c>
      <c r="L479" s="1">
        <v>-381.65315589582849</v>
      </c>
      <c r="M479" s="1">
        <v>-323.42437490368837</v>
      </c>
      <c r="N479" s="1">
        <v>-705.07753079951681</v>
      </c>
      <c r="O479" s="1">
        <v>-705.07753079951681</v>
      </c>
    </row>
    <row r="480" spans="2:15">
      <c r="B480">
        <v>472</v>
      </c>
      <c r="D480">
        <v>857.39720836309471</v>
      </c>
      <c r="E480">
        <v>1345.724925790425</v>
      </c>
      <c r="F480">
        <v>0.69336499184817446</v>
      </c>
      <c r="G480">
        <v>0.73022821701779561</v>
      </c>
      <c r="H480" s="3">
        <v>402.0353479554816</v>
      </c>
      <c r="I480" s="3">
        <v>2.6153864617055562E-2</v>
      </c>
      <c r="J480" s="3">
        <v>6.0520972192814777E-3</v>
      </c>
      <c r="K480" s="1">
        <v>1.2752686351872841E-2</v>
      </c>
      <c r="L480" s="1">
        <v>-289.87906881660786</v>
      </c>
      <c r="M480" s="1">
        <v>-197.5566798989897</v>
      </c>
      <c r="N480" s="1">
        <v>-487.43574871559747</v>
      </c>
      <c r="O480" s="1">
        <v>-487.43574871559758</v>
      </c>
    </row>
    <row r="481" spans="2:15">
      <c r="B481">
        <v>473</v>
      </c>
      <c r="D481">
        <v>940.98589544663275</v>
      </c>
      <c r="E481">
        <v>1447.5688369370612</v>
      </c>
      <c r="F481">
        <v>0.68410660318997896</v>
      </c>
      <c r="G481">
        <v>0.72283970064147018</v>
      </c>
      <c r="H481" s="3">
        <v>411.21055083723343</v>
      </c>
      <c r="I481" s="3">
        <v>2.8700600959087205E-2</v>
      </c>
      <c r="J481" s="3">
        <v>8.140073417225533E-3</v>
      </c>
      <c r="K481" s="1">
        <v>1.499358259784609E-2</v>
      </c>
      <c r="L481" s="1">
        <v>-308.49719048748346</v>
      </c>
      <c r="M481" s="1">
        <v>-252.69280505124857</v>
      </c>
      <c r="N481" s="1">
        <v>-561.18999553873209</v>
      </c>
      <c r="O481" s="1">
        <v>-561.18999553873209</v>
      </c>
    </row>
    <row r="482" spans="2:15">
      <c r="B482">
        <v>474</v>
      </c>
      <c r="D482">
        <v>853.94751195059791</v>
      </c>
      <c r="E482">
        <v>1321.4550025830745</v>
      </c>
      <c r="F482">
        <v>0.69307448371477109</v>
      </c>
      <c r="G482">
        <v>0.73133118447326118</v>
      </c>
      <c r="H482" s="3">
        <v>394.67244902460038</v>
      </c>
      <c r="I482" s="3">
        <v>2.882279024872798E-2</v>
      </c>
      <c r="J482" s="3">
        <v>9.0891677974979587E-3</v>
      </c>
      <c r="K482" s="1">
        <v>1.5667041947907967E-2</v>
      </c>
      <c r="L482" s="1">
        <v>-295.11798704282285</v>
      </c>
      <c r="M482" s="1">
        <v>-347.26226717828069</v>
      </c>
      <c r="N482" s="1">
        <v>-642.38025422110354</v>
      </c>
      <c r="O482" s="1">
        <v>-642.38025422110354</v>
      </c>
    </row>
    <row r="483" spans="2:15">
      <c r="B483">
        <v>475</v>
      </c>
      <c r="D483">
        <v>861.72642343903112</v>
      </c>
      <c r="E483">
        <v>1346.8639743537642</v>
      </c>
      <c r="F483">
        <v>0.68058542133166755</v>
      </c>
      <c r="G483">
        <v>0.70932636512747782</v>
      </c>
      <c r="H483" s="3">
        <v>388.68934037479289</v>
      </c>
      <c r="I483" s="3">
        <v>2.0072210747472553E-2</v>
      </c>
      <c r="J483" s="3">
        <v>6.3774372873291046E-4</v>
      </c>
      <c r="K483" s="1">
        <v>7.1158994016461245E-3</v>
      </c>
      <c r="L483" s="1">
        <v>-432.67541509125562</v>
      </c>
      <c r="M483" s="1">
        <v>-319.29846769484345</v>
      </c>
      <c r="N483" s="1">
        <v>-751.97388278609913</v>
      </c>
      <c r="O483" s="1">
        <v>-751.97388278609901</v>
      </c>
    </row>
    <row r="484" spans="2:15">
      <c r="B484">
        <v>476</v>
      </c>
      <c r="D484">
        <v>872.61270071130002</v>
      </c>
      <c r="E484">
        <v>1380.9599633479672</v>
      </c>
      <c r="F484">
        <v>0.70891723478526847</v>
      </c>
      <c r="G484">
        <v>0.73444038386785293</v>
      </c>
      <c r="H484" s="3">
        <v>422.09476638594526</v>
      </c>
      <c r="I484" s="3">
        <v>1.7670855315293183E-2</v>
      </c>
      <c r="J484" s="3">
        <v>-3.4338830040040805E-3</v>
      </c>
      <c r="K484" s="1">
        <v>3.6010297690950085E-3</v>
      </c>
      <c r="L484" s="1">
        <v>-246.72243960864768</v>
      </c>
      <c r="M484" s="1">
        <v>-359.4444336209059</v>
      </c>
      <c r="N484" s="1">
        <v>-606.16687322955352</v>
      </c>
      <c r="O484" s="1">
        <v>-606.16687322955363</v>
      </c>
    </row>
    <row r="485" spans="2:15">
      <c r="B485">
        <v>477</v>
      </c>
      <c r="D485">
        <v>1004.2019520590607</v>
      </c>
      <c r="E485">
        <v>1503.2965941216189</v>
      </c>
      <c r="F485">
        <v>0.68545256804716459</v>
      </c>
      <c r="G485">
        <v>0.71981342049231667</v>
      </c>
      <c r="H485" s="3">
        <v>394.68763527923016</v>
      </c>
      <c r="I485" s="3">
        <v>2.3296825363755894E-2</v>
      </c>
      <c r="J485" s="3">
        <v>3.5624435997943862E-3</v>
      </c>
      <c r="K485" s="1">
        <v>1.0140570854448222E-2</v>
      </c>
      <c r="L485" s="1">
        <v>-152.67105795287858</v>
      </c>
      <c r="M485" s="1">
        <v>-365.19492537868427</v>
      </c>
      <c r="N485" s="1">
        <v>-517.86598333156292</v>
      </c>
      <c r="O485" s="1">
        <v>-517.8659833315628</v>
      </c>
    </row>
    <row r="486" spans="2:15">
      <c r="B486">
        <v>478</v>
      </c>
      <c r="D486">
        <v>854.45306687411767</v>
      </c>
      <c r="E486">
        <v>1339.508956318951</v>
      </c>
      <c r="F486">
        <v>0.68921324311670296</v>
      </c>
      <c r="G486">
        <v>0.72493568517431195</v>
      </c>
      <c r="H486" s="3">
        <v>392.91362600439828</v>
      </c>
      <c r="I486" s="3">
        <v>2.4726225659837703E-2</v>
      </c>
      <c r="J486" s="3">
        <v>5.0805443596177897E-3</v>
      </c>
      <c r="K486" s="1">
        <v>1.1629104793024427E-2</v>
      </c>
      <c r="L486" s="1">
        <v>-166.89152218943701</v>
      </c>
      <c r="M486" s="1">
        <v>-274.4153663729474</v>
      </c>
      <c r="N486" s="1">
        <v>-441.30688856238447</v>
      </c>
      <c r="O486" s="1">
        <v>-441.30688856238442</v>
      </c>
    </row>
    <row r="487" spans="2:15">
      <c r="B487">
        <v>479</v>
      </c>
      <c r="D487">
        <v>910.67454614636836</v>
      </c>
      <c r="E487">
        <v>1403.6326116777227</v>
      </c>
      <c r="F487">
        <v>0.6920257749255333</v>
      </c>
      <c r="G487">
        <v>0.72306247892108422</v>
      </c>
      <c r="H487" s="3">
        <v>401.00494278677121</v>
      </c>
      <c r="I487" s="3">
        <v>2.251727765697294E-2</v>
      </c>
      <c r="J487" s="3">
        <v>2.4670305176343783E-3</v>
      </c>
      <c r="K487" s="1">
        <v>9.1504462307472334E-3</v>
      </c>
      <c r="L487" s="1">
        <v>-385.72561287515782</v>
      </c>
      <c r="M487" s="1">
        <v>-387.72072597638459</v>
      </c>
      <c r="N487" s="1">
        <v>-773.44633885154235</v>
      </c>
      <c r="O487" s="1">
        <v>-773.44633885154235</v>
      </c>
    </row>
    <row r="488" spans="2:15">
      <c r="B488">
        <v>480</v>
      </c>
      <c r="D488">
        <v>900.34267137689778</v>
      </c>
      <c r="E488">
        <v>1358.0625123274096</v>
      </c>
      <c r="F488">
        <v>0.6877067355222527</v>
      </c>
      <c r="G488">
        <v>0.73531597177746977</v>
      </c>
      <c r="H488" s="3">
        <v>375.52012342373115</v>
      </c>
      <c r="I488" s="3">
        <v>3.3970652585870093E-2</v>
      </c>
      <c r="J488" s="3">
        <v>1.5194646414683537E-2</v>
      </c>
      <c r="K488" s="1">
        <v>2.1453315138412386E-2</v>
      </c>
      <c r="L488" s="1">
        <v>-456.90801422621223</v>
      </c>
      <c r="M488" s="1">
        <v>-238.52719674163939</v>
      </c>
      <c r="N488" s="1">
        <v>-695.43521096785162</v>
      </c>
      <c r="O488" s="1">
        <v>-695.43521096785162</v>
      </c>
    </row>
    <row r="489" spans="2:15">
      <c r="B489">
        <v>481</v>
      </c>
      <c r="D489">
        <v>892.66515147622965</v>
      </c>
      <c r="E489">
        <v>1373.5893308610871</v>
      </c>
      <c r="F489">
        <v>0.70573059118911263</v>
      </c>
      <c r="G489">
        <v>0.72930935079214498</v>
      </c>
      <c r="H489" s="3">
        <v>405.44447981332843</v>
      </c>
      <c r="I489" s="3">
        <v>1.7861090914290993E-2</v>
      </c>
      <c r="J489" s="3">
        <v>-2.4111330763754296E-3</v>
      </c>
      <c r="K489" s="1">
        <v>4.3462749205133797E-3</v>
      </c>
      <c r="L489" s="1">
        <v>-583.02329458186114</v>
      </c>
      <c r="M489" s="1">
        <v>-413.92107839131506</v>
      </c>
      <c r="N489" s="1">
        <v>-996.94437297317609</v>
      </c>
      <c r="O489" s="1">
        <v>-996.9443729731762</v>
      </c>
    </row>
    <row r="490" spans="2:15">
      <c r="B490">
        <v>482</v>
      </c>
      <c r="D490">
        <v>758.76406148241324</v>
      </c>
      <c r="E490">
        <v>1235.0029503185237</v>
      </c>
      <c r="F490">
        <v>0.68157128107613829</v>
      </c>
      <c r="G490">
        <v>0.71601140286540776</v>
      </c>
      <c r="H490" s="3">
        <v>373.36576773974434</v>
      </c>
      <c r="I490" s="3">
        <v>2.2854681213245739E-2</v>
      </c>
      <c r="J490" s="3">
        <v>4.1863928262585205E-3</v>
      </c>
      <c r="K490" s="1">
        <v>1.0409155621920928E-2</v>
      </c>
      <c r="L490" s="1">
        <v>-265.98209260104238</v>
      </c>
      <c r="M490" s="1">
        <v>-367.13884370943026</v>
      </c>
      <c r="N490" s="1">
        <v>-633.12093631047253</v>
      </c>
      <c r="O490" s="1">
        <v>-633.12093631047264</v>
      </c>
    </row>
    <row r="491" spans="2:15">
      <c r="B491">
        <v>483</v>
      </c>
      <c r="D491">
        <v>888.2489316627981</v>
      </c>
      <c r="E491">
        <v>1358.6664496810802</v>
      </c>
      <c r="F491">
        <v>0.69505957195076407</v>
      </c>
      <c r="G491">
        <v>0.73017209454084375</v>
      </c>
      <c r="H491" s="3">
        <v>381.82845267168005</v>
      </c>
      <c r="I491" s="3">
        <v>2.4174837272723217E-2</v>
      </c>
      <c r="J491" s="3">
        <v>5.0834146391392152E-3</v>
      </c>
      <c r="K491" s="1">
        <v>1.1447222183667217E-2</v>
      </c>
      <c r="L491" s="1">
        <v>-359.89039471172094</v>
      </c>
      <c r="M491" s="1">
        <v>-289.19976255480526</v>
      </c>
      <c r="N491" s="1">
        <v>-649.09015726652615</v>
      </c>
      <c r="O491" s="1">
        <v>-649.09015726652615</v>
      </c>
    </row>
    <row r="492" spans="2:15">
      <c r="B492">
        <v>484</v>
      </c>
      <c r="D492">
        <v>767.36119674147358</v>
      </c>
      <c r="E492">
        <v>1246.5430031216897</v>
      </c>
      <c r="F492">
        <v>0.69540907323045253</v>
      </c>
      <c r="G492">
        <v>0.72838950412953074</v>
      </c>
      <c r="H492" s="3">
        <v>405.80339832364581</v>
      </c>
      <c r="I492" s="3">
        <v>2.5226936542198878E-2</v>
      </c>
      <c r="J492" s="3">
        <v>4.9367666260165879E-3</v>
      </c>
      <c r="K492" s="1">
        <v>1.1700156598077351E-2</v>
      </c>
      <c r="L492" s="1">
        <v>-375.71734154092724</v>
      </c>
      <c r="M492" s="1">
        <v>-436.26414064180818</v>
      </c>
      <c r="N492" s="1">
        <v>-811.98148218273536</v>
      </c>
      <c r="O492" s="1">
        <v>-811.98148218273536</v>
      </c>
    </row>
    <row r="493" spans="2:15">
      <c r="B493">
        <v>485</v>
      </c>
      <c r="D493">
        <v>967.24370713755866</v>
      </c>
      <c r="E493">
        <v>1481.7057112408281</v>
      </c>
      <c r="F493">
        <v>0.6891165758303448</v>
      </c>
      <c r="G493">
        <v>0.72737858986410953</v>
      </c>
      <c r="H493" s="3">
        <v>418.25835323197407</v>
      </c>
      <c r="I493" s="3">
        <v>2.6778244534087808E-2</v>
      </c>
      <c r="J493" s="3">
        <v>5.8653268724891093E-3</v>
      </c>
      <c r="K493" s="1">
        <v>1.2836299426355341E-2</v>
      </c>
      <c r="L493" s="1">
        <v>-373.84469095926056</v>
      </c>
      <c r="M493" s="1">
        <v>-389.30490624319282</v>
      </c>
      <c r="N493" s="1">
        <v>-763.14959720245361</v>
      </c>
      <c r="O493" s="1">
        <v>-763.14959720245338</v>
      </c>
    </row>
    <row r="494" spans="2:15">
      <c r="B494">
        <v>486</v>
      </c>
      <c r="D494">
        <v>763.58398279559458</v>
      </c>
      <c r="E494">
        <v>1258.5521487386882</v>
      </c>
      <c r="F494">
        <v>0.69064347614445021</v>
      </c>
      <c r="G494">
        <v>0.73247921644429481</v>
      </c>
      <c r="H494" s="3">
        <v>398.58703707374974</v>
      </c>
      <c r="I494" s="3">
        <v>2.9225604310536332E-2</v>
      </c>
      <c r="J494" s="3">
        <v>9.2962524568488449E-3</v>
      </c>
      <c r="K494" s="1">
        <v>1.593936974141134E-2</v>
      </c>
      <c r="L494" s="1">
        <v>-70.79841653589051</v>
      </c>
      <c r="M494" s="1">
        <v>-348.72652372274655</v>
      </c>
      <c r="N494" s="1">
        <v>-419.52494025863706</v>
      </c>
      <c r="O494" s="1">
        <v>-419.52494025863706</v>
      </c>
    </row>
    <row r="495" spans="2:15">
      <c r="B495">
        <v>487</v>
      </c>
      <c r="D495">
        <v>893.94121651652324</v>
      </c>
      <c r="E495">
        <v>1392.1012932830208</v>
      </c>
      <c r="F495">
        <v>0.70013655855358636</v>
      </c>
      <c r="G495">
        <v>0.7225817923215716</v>
      </c>
      <c r="H495" s="3">
        <v>408.71995476789249</v>
      </c>
      <c r="I495" s="3">
        <v>1.5933433087565899E-2</v>
      </c>
      <c r="J495" s="3">
        <v>-4.5025646508287248E-3</v>
      </c>
      <c r="K495" s="1">
        <v>2.3094345953028166E-3</v>
      </c>
      <c r="L495" s="1">
        <v>-225.27570204891026</v>
      </c>
      <c r="M495" s="1">
        <v>-305.60231349408735</v>
      </c>
      <c r="N495" s="1">
        <v>-530.87801554299767</v>
      </c>
      <c r="O495" s="1">
        <v>-530.87801554299767</v>
      </c>
    </row>
    <row r="496" spans="2:15">
      <c r="B496">
        <v>488</v>
      </c>
      <c r="D496">
        <v>1018.3804202623357</v>
      </c>
      <c r="E496">
        <v>1507.6389529187957</v>
      </c>
      <c r="F496">
        <v>0.68767538441655618</v>
      </c>
      <c r="G496">
        <v>0.72520739131089929</v>
      </c>
      <c r="H496" s="3">
        <v>404.165276678456</v>
      </c>
      <c r="I496" s="3">
        <v>2.6957044030663655E-2</v>
      </c>
      <c r="J496" s="3">
        <v>6.7487801967408591E-3</v>
      </c>
      <c r="K496" s="1">
        <v>1.3484868141381791E-2</v>
      </c>
      <c r="L496" s="1">
        <v>-351.56298610548924</v>
      </c>
      <c r="M496" s="1">
        <v>-346.98810463781155</v>
      </c>
      <c r="N496" s="1">
        <v>-698.55109074330073</v>
      </c>
      <c r="O496" s="1">
        <v>-698.55109074330085</v>
      </c>
    </row>
    <row r="497" spans="2:15">
      <c r="B497">
        <v>489</v>
      </c>
      <c r="D497">
        <v>770.35049984062869</v>
      </c>
      <c r="E497">
        <v>1264.7753499746054</v>
      </c>
      <c r="F497">
        <v>0.68768361115135745</v>
      </c>
      <c r="G497">
        <v>0.72259431003658126</v>
      </c>
      <c r="H497" s="3">
        <v>404.2550724102847</v>
      </c>
      <c r="I497" s="3">
        <v>2.536309614449361E-2</v>
      </c>
      <c r="J497" s="3">
        <v>5.150342523979376E-3</v>
      </c>
      <c r="K497" s="1">
        <v>1.1887927064150787E-2</v>
      </c>
      <c r="L497" s="1">
        <v>-257.17022399177586</v>
      </c>
      <c r="M497" s="1">
        <v>-418.35933199471208</v>
      </c>
      <c r="N497" s="1">
        <v>-675.52955598648794</v>
      </c>
      <c r="O497" s="1">
        <v>-675.52955598648794</v>
      </c>
    </row>
    <row r="498" spans="2:15">
      <c r="B498">
        <v>490</v>
      </c>
      <c r="D498">
        <v>1170.588346652914</v>
      </c>
      <c r="E498">
        <v>1621.5048850243595</v>
      </c>
      <c r="F498">
        <v>0.68706906079565899</v>
      </c>
      <c r="G498">
        <v>0.7277457333893983</v>
      </c>
      <c r="H498" s="3">
        <v>376.36016065735407</v>
      </c>
      <c r="I498" s="3">
        <v>2.9631960531293609E-2</v>
      </c>
      <c r="J498" s="3">
        <v>1.0813952498425906E-2</v>
      </c>
      <c r="K498" s="1">
        <v>1.7086621842715137E-2</v>
      </c>
      <c r="L498" s="1">
        <v>-292.76907384788285</v>
      </c>
      <c r="M498" s="1">
        <v>-327.35283973092186</v>
      </c>
      <c r="N498" s="1">
        <v>-620.12191357880477</v>
      </c>
      <c r="O498" s="1">
        <v>-620.12191357880465</v>
      </c>
    </row>
    <row r="499" spans="2:15">
      <c r="B499">
        <v>491</v>
      </c>
      <c r="D499">
        <v>862.70335932852186</v>
      </c>
      <c r="E499">
        <v>1317.5519186397314</v>
      </c>
      <c r="F499">
        <v>0.6928204429028284</v>
      </c>
      <c r="G499">
        <v>0.72623212777420598</v>
      </c>
      <c r="H499" s="3">
        <v>377.83249020237122</v>
      </c>
      <c r="I499" s="3">
        <v>2.4189681865835307E-2</v>
      </c>
      <c r="J499" s="3">
        <v>5.2980573557167461E-3</v>
      </c>
      <c r="K499" s="1">
        <v>1.1595265525756267E-2</v>
      </c>
      <c r="L499" s="1">
        <v>-211.85722567818527</v>
      </c>
      <c r="M499" s="1">
        <v>-267.80942622581011</v>
      </c>
      <c r="N499" s="1">
        <v>-479.66665190399533</v>
      </c>
      <c r="O499" s="1">
        <v>-479.66665190399539</v>
      </c>
    </row>
    <row r="500" spans="2:15">
      <c r="B500">
        <v>492</v>
      </c>
      <c r="D500">
        <v>935.28225293098672</v>
      </c>
      <c r="E500">
        <v>1414.7325234974171</v>
      </c>
      <c r="F500">
        <v>0.67209756384328589</v>
      </c>
      <c r="G500">
        <v>0.71324664401302784</v>
      </c>
      <c r="H500" s="3">
        <v>392.3721115099616</v>
      </c>
      <c r="I500" s="3">
        <v>2.9442864730597283E-2</v>
      </c>
      <c r="J500" s="3">
        <v>9.8242591550992062E-3</v>
      </c>
      <c r="K500" s="1">
        <v>1.6363794346931901E-2</v>
      </c>
      <c r="L500" s="1">
        <v>-261.12164118629795</v>
      </c>
      <c r="M500" s="1">
        <v>-401.04504057326517</v>
      </c>
      <c r="N500" s="1">
        <v>-662.16668175956306</v>
      </c>
      <c r="O500" s="1">
        <v>-662.16668175956306</v>
      </c>
    </row>
    <row r="501" spans="2:15">
      <c r="B501">
        <v>493</v>
      </c>
      <c r="D501">
        <v>888.97204543153521</v>
      </c>
      <c r="E501">
        <v>1390.8588821863243</v>
      </c>
      <c r="F501">
        <v>0.69799170375195563</v>
      </c>
      <c r="G501">
        <v>0.73011943522697165</v>
      </c>
      <c r="H501" s="3">
        <v>398.15146462401077</v>
      </c>
      <c r="I501" s="3">
        <v>2.1924189380345644E-2</v>
      </c>
      <c r="J501" s="3">
        <v>2.0166161491451048E-3</v>
      </c>
      <c r="K501" s="1">
        <v>8.6524738928786191E-3</v>
      </c>
      <c r="L501" s="1">
        <v>-264.2328299727875</v>
      </c>
      <c r="M501" s="1">
        <v>-308.28889060861786</v>
      </c>
      <c r="N501" s="1">
        <v>-572.52172058140536</v>
      </c>
      <c r="O501" s="1">
        <v>-572.52172058140536</v>
      </c>
    </row>
    <row r="502" spans="2:15">
      <c r="B502">
        <v>494</v>
      </c>
      <c r="D502">
        <v>848.18185553213721</v>
      </c>
      <c r="E502">
        <v>1336.4155401881806</v>
      </c>
      <c r="F502">
        <v>0.69344782208257016</v>
      </c>
      <c r="G502">
        <v>0.73049506158233946</v>
      </c>
      <c r="H502" s="3">
        <v>395.23469941326863</v>
      </c>
      <c r="I502" s="3">
        <v>2.5677477292735732E-2</v>
      </c>
      <c r="J502" s="3">
        <v>5.9157423220723045E-3</v>
      </c>
      <c r="K502" s="1">
        <v>1.2502987312293446E-2</v>
      </c>
      <c r="L502" s="1">
        <v>-517.10968403303241</v>
      </c>
      <c r="M502" s="1">
        <v>-505.06049665470073</v>
      </c>
      <c r="N502" s="1">
        <v>-1022.1701806877331</v>
      </c>
      <c r="O502" s="1">
        <v>-1022.1701806877331</v>
      </c>
    </row>
    <row r="503" spans="2:15">
      <c r="B503">
        <v>495</v>
      </c>
      <c r="D503">
        <v>747.98781630809628</v>
      </c>
      <c r="E503">
        <v>1243.6507732998921</v>
      </c>
      <c r="F503">
        <v>0.69182341506746459</v>
      </c>
      <c r="G503">
        <v>0.72368932119992424</v>
      </c>
      <c r="H503" s="3">
        <v>402.88726392958102</v>
      </c>
      <c r="I503" s="3">
        <v>2.2744307380157494E-2</v>
      </c>
      <c r="J503" s="3">
        <v>2.5999441836784473E-3</v>
      </c>
      <c r="K503" s="1">
        <v>9.314731915838129E-3</v>
      </c>
      <c r="L503" s="1">
        <v>-245.48856006260246</v>
      </c>
      <c r="M503" s="1">
        <v>-274.89699926536156</v>
      </c>
      <c r="N503" s="1">
        <v>-520.38555932796407</v>
      </c>
      <c r="O503" s="1">
        <v>-520.38555932796407</v>
      </c>
    </row>
    <row r="504" spans="2:15">
      <c r="B504">
        <v>496</v>
      </c>
      <c r="D504">
        <v>901.23200858449775</v>
      </c>
      <c r="E504">
        <v>1383.1794209960412</v>
      </c>
      <c r="F504">
        <v>0.68750585670350362</v>
      </c>
      <c r="G504">
        <v>0.72090610867927229</v>
      </c>
      <c r="H504" s="3">
        <v>393.82642808698688</v>
      </c>
      <c r="I504" s="3">
        <v>2.2235957560388767E-2</v>
      </c>
      <c r="J504" s="3">
        <v>2.5446361560394273E-3</v>
      </c>
      <c r="K504" s="1">
        <v>9.1084099574892073E-3</v>
      </c>
      <c r="L504" s="1">
        <v>-170.11688028093047</v>
      </c>
      <c r="M504" s="1">
        <v>-432.51569751693665</v>
      </c>
      <c r="N504" s="1">
        <v>-602.63257779786716</v>
      </c>
      <c r="O504" s="1">
        <v>-602.63257779786716</v>
      </c>
    </row>
    <row r="505" spans="2:15">
      <c r="B505">
        <v>497</v>
      </c>
      <c r="D505">
        <v>859.90732681917177</v>
      </c>
      <c r="E505">
        <v>1350.7271073202628</v>
      </c>
      <c r="F505">
        <v>0.69827160720752524</v>
      </c>
      <c r="G505">
        <v>0.72100872659945858</v>
      </c>
      <c r="H505" s="3">
        <v>399.96871130681814</v>
      </c>
      <c r="I505" s="3">
        <v>1.6382177042501569E-2</v>
      </c>
      <c r="J505" s="3">
        <v>-3.6162585228393385E-3</v>
      </c>
      <c r="K505" s="1">
        <v>3.0498866656076314E-3</v>
      </c>
      <c r="L505" s="1">
        <v>-410.12902001469791</v>
      </c>
      <c r="M505" s="1">
        <v>-222.70158183808292</v>
      </c>
      <c r="N505" s="1">
        <v>-632.83060185278089</v>
      </c>
      <c r="O505" s="1">
        <v>-632.83060185278077</v>
      </c>
    </row>
    <row r="506" spans="2:15">
      <c r="B506">
        <v>498</v>
      </c>
      <c r="D506">
        <v>906.64854529144588</v>
      </c>
      <c r="E506">
        <v>1401.6005383745965</v>
      </c>
      <c r="F506">
        <v>0.69600503806642899</v>
      </c>
      <c r="G506">
        <v>0.7277602455426524</v>
      </c>
      <c r="H506" s="3">
        <v>398.66456092519388</v>
      </c>
      <c r="I506" s="3">
        <v>2.2392273998694853E-2</v>
      </c>
      <c r="J506" s="3">
        <v>2.4590459524351585E-3</v>
      </c>
      <c r="K506" s="1">
        <v>9.1034553011883901E-3</v>
      </c>
      <c r="L506" s="1">
        <v>-176.09583191764341</v>
      </c>
      <c r="M506" s="1">
        <v>-229.99586830037202</v>
      </c>
      <c r="N506" s="1">
        <v>-406.09170021801549</v>
      </c>
      <c r="O506" s="1">
        <v>-406.09170021801543</v>
      </c>
    </row>
    <row r="507" spans="2:15">
      <c r="B507">
        <v>499</v>
      </c>
      <c r="D507">
        <v>1253.1234489114634</v>
      </c>
      <c r="E507">
        <v>1737.0852370713876</v>
      </c>
      <c r="F507">
        <v>0.69904227760816173</v>
      </c>
      <c r="G507">
        <v>0.72991760912309867</v>
      </c>
      <c r="H507" s="3">
        <v>392.2373633759891</v>
      </c>
      <c r="I507" s="3">
        <v>2.1765957424385692E-2</v>
      </c>
      <c r="J507" s="3">
        <v>2.1540892555862376E-3</v>
      </c>
      <c r="K507" s="1">
        <v>8.6913786451860552E-3</v>
      </c>
      <c r="L507" s="1">
        <v>-162.56531326528133</v>
      </c>
      <c r="M507" s="1">
        <v>-389.19451615232191</v>
      </c>
      <c r="N507" s="1">
        <v>-551.75982941760321</v>
      </c>
      <c r="O507" s="1">
        <v>-551.75982941760321</v>
      </c>
    </row>
    <row r="508" spans="2:15">
      <c r="B508">
        <v>500</v>
      </c>
      <c r="D508">
        <v>809.42552249938183</v>
      </c>
      <c r="E508">
        <v>1269.4345495396758</v>
      </c>
      <c r="F508">
        <v>0.68321525971681896</v>
      </c>
      <c r="G508">
        <v>0.72348847835506247</v>
      </c>
      <c r="H508" s="3">
        <v>376.19960659356849</v>
      </c>
      <c r="I508" s="3">
        <v>2.7650382586604221E-2</v>
      </c>
      <c r="J508" s="3">
        <v>8.8404022569258008E-3</v>
      </c>
      <c r="K508" s="1">
        <v>1.511039570015194E-2</v>
      </c>
      <c r="L508" s="1">
        <v>-170.914920701201</v>
      </c>
      <c r="M508" s="1">
        <v>-392.73264907559513</v>
      </c>
      <c r="N508" s="1">
        <v>-563.6475697767961</v>
      </c>
      <c r="O508" s="1">
        <v>-563.6475697767961</v>
      </c>
    </row>
    <row r="509" spans="2:15">
      <c r="B509">
        <v>501</v>
      </c>
      <c r="D509">
        <v>922.00903040038907</v>
      </c>
      <c r="E509">
        <v>1413.6435390213053</v>
      </c>
      <c r="F509">
        <v>0.68749453061106203</v>
      </c>
      <c r="G509">
        <v>0.7133344194961776</v>
      </c>
      <c r="H509" s="3">
        <v>401.09942269849853</v>
      </c>
      <c r="I509" s="3">
        <v>1.8566353822821662E-2</v>
      </c>
      <c r="J509" s="3">
        <v>-1.4886173121032679E-3</v>
      </c>
      <c r="K509" s="1">
        <v>5.1963730662050421E-3</v>
      </c>
      <c r="L509" s="1">
        <v>-251.76458152961823</v>
      </c>
      <c r="M509" s="1">
        <v>-249.68055668664522</v>
      </c>
      <c r="N509" s="1">
        <v>-501.44513821626339</v>
      </c>
      <c r="O509" s="1">
        <v>-501.44513821626344</v>
      </c>
    </row>
    <row r="510" spans="2:15">
      <c r="B510">
        <v>502</v>
      </c>
      <c r="D510">
        <v>911.48901415505429</v>
      </c>
      <c r="E510">
        <v>1398.7007979114724</v>
      </c>
      <c r="F510">
        <v>0.67733513902543818</v>
      </c>
      <c r="G510">
        <v>0.7175815124149495</v>
      </c>
      <c r="H510" s="3">
        <v>406.93165341930279</v>
      </c>
      <c r="I510" s="3">
        <v>3.0288659886319264E-2</v>
      </c>
      <c r="J510" s="3">
        <v>9.9420772153541205E-3</v>
      </c>
      <c r="K510" s="1">
        <v>1.6724271439009168E-2</v>
      </c>
      <c r="L510" s="1">
        <v>-85.451120209303269</v>
      </c>
      <c r="M510" s="1">
        <v>-279.42088812644965</v>
      </c>
      <c r="N510" s="1">
        <v>-364.87200833575287</v>
      </c>
      <c r="O510" s="1">
        <v>-364.87200833575292</v>
      </c>
    </row>
    <row r="511" spans="2:15">
      <c r="B511">
        <v>503</v>
      </c>
      <c r="D511">
        <v>862.97244096311942</v>
      </c>
      <c r="E511">
        <v>1346.0515271714651</v>
      </c>
      <c r="F511">
        <v>0.69219426160864617</v>
      </c>
      <c r="G511">
        <v>0.71968915441910664</v>
      </c>
      <c r="H511" s="3">
        <v>392.67112742650352</v>
      </c>
      <c r="I511" s="3">
        <v>1.9468311126844447E-2</v>
      </c>
      <c r="J511" s="3">
        <v>-1.6524524448072869E-4</v>
      </c>
      <c r="K511" s="1">
        <v>6.3792735459609964E-3</v>
      </c>
      <c r="L511" s="1">
        <v>-216.58885351622436</v>
      </c>
      <c r="M511" s="1">
        <v>-413.26471674763218</v>
      </c>
      <c r="N511" s="1">
        <v>-629.85357026385645</v>
      </c>
      <c r="O511" s="1">
        <v>-629.85357026385657</v>
      </c>
    </row>
    <row r="512" spans="2:15">
      <c r="B512">
        <v>504</v>
      </c>
      <c r="D512">
        <v>688.57056982912843</v>
      </c>
      <c r="E512">
        <v>1197.9809372141633</v>
      </c>
      <c r="F512">
        <v>0.69954145249864996</v>
      </c>
      <c r="G512">
        <v>0.73232452621917576</v>
      </c>
      <c r="H512" s="3">
        <v>408.59105808840371</v>
      </c>
      <c r="I512" s="3">
        <v>2.312953693241044E-2</v>
      </c>
      <c r="J512" s="3">
        <v>2.699984027990255E-3</v>
      </c>
      <c r="K512" s="1">
        <v>9.5098349961303154E-3</v>
      </c>
      <c r="L512" s="1">
        <v>-392.81088941692701</v>
      </c>
      <c r="M512" s="1">
        <v>-380.48440939422392</v>
      </c>
      <c r="N512" s="1">
        <v>-773.29529881115093</v>
      </c>
      <c r="O512" s="1">
        <v>-773.29529881115093</v>
      </c>
    </row>
    <row r="513" spans="2:15">
      <c r="B513">
        <v>505</v>
      </c>
      <c r="D513">
        <v>823.11737888423409</v>
      </c>
      <c r="E513">
        <v>1311.8003953231218</v>
      </c>
      <c r="F513">
        <v>0.70594413220680619</v>
      </c>
      <c r="G513">
        <v>0.73378733761812287</v>
      </c>
      <c r="H513" s="3">
        <v>403.6123442392053</v>
      </c>
      <c r="I513" s="3">
        <v>2.0492686539160344E-2</v>
      </c>
      <c r="J513" s="3">
        <v>3.1206932720007768E-4</v>
      </c>
      <c r="K513" s="1">
        <v>7.0389417311868333E-3</v>
      </c>
      <c r="L513" s="1">
        <v>-275.16891272605221</v>
      </c>
      <c r="M513" s="1">
        <v>-445.5549704227447</v>
      </c>
      <c r="N513" s="1">
        <v>-720.72388314879686</v>
      </c>
      <c r="O513" s="1">
        <v>-720.72388314879686</v>
      </c>
    </row>
    <row r="514" spans="2:15">
      <c r="B514">
        <v>506</v>
      </c>
      <c r="D514">
        <v>990.7841600648959</v>
      </c>
      <c r="E514">
        <v>1484.2671434656697</v>
      </c>
      <c r="F514">
        <v>0.69274313716708069</v>
      </c>
      <c r="G514">
        <v>0.7177820486613693</v>
      </c>
      <c r="H514" s="3">
        <v>399.20495095886963</v>
      </c>
      <c r="I514" s="3">
        <v>1.7788665473756363E-2</v>
      </c>
      <c r="J514" s="3">
        <v>-2.17158207418712E-3</v>
      </c>
      <c r="K514" s="1">
        <v>4.4818337751273748E-3</v>
      </c>
      <c r="L514" s="1">
        <v>-321.48658332231435</v>
      </c>
      <c r="M514" s="1">
        <v>-352.39087038591435</v>
      </c>
      <c r="N514" s="1">
        <v>-673.87745370822859</v>
      </c>
      <c r="O514" s="1">
        <v>-673.8774537082287</v>
      </c>
    </row>
    <row r="515" spans="2:15">
      <c r="B515">
        <v>507</v>
      </c>
      <c r="D515">
        <v>687.32978277725613</v>
      </c>
      <c r="E515">
        <v>1179.1103407360581</v>
      </c>
      <c r="F515">
        <v>0.69608099944355195</v>
      </c>
      <c r="G515">
        <v>0.7216120997183888</v>
      </c>
      <c r="H515" s="3">
        <v>407.06159816107345</v>
      </c>
      <c r="I515" s="3">
        <v>1.8001783783721467E-2</v>
      </c>
      <c r="J515" s="3">
        <v>-2.351296124332207E-3</v>
      </c>
      <c r="K515" s="1">
        <v>4.4330638450190175E-3</v>
      </c>
      <c r="L515" s="1">
        <v>-277.43336912415657</v>
      </c>
      <c r="M515" s="1">
        <v>-447.48702673009137</v>
      </c>
      <c r="N515" s="1">
        <v>-724.920395854248</v>
      </c>
      <c r="O515" s="1">
        <v>-724.920395854248</v>
      </c>
    </row>
    <row r="516" spans="2:15">
      <c r="B516">
        <v>508</v>
      </c>
      <c r="D516">
        <v>992.73826868042738</v>
      </c>
      <c r="E516">
        <v>1473.282862458894</v>
      </c>
      <c r="F516">
        <v>0.68288888162198402</v>
      </c>
      <c r="G516">
        <v>0.72194396835794639</v>
      </c>
      <c r="H516" s="3">
        <v>394.48589249492909</v>
      </c>
      <c r="I516" s="3">
        <v>2.7618949446783489E-2</v>
      </c>
      <c r="J516" s="3">
        <v>7.8946548220370331E-3</v>
      </c>
      <c r="K516" s="1">
        <v>1.4469419696952517E-2</v>
      </c>
      <c r="L516" s="1">
        <v>-218.92172834689578</v>
      </c>
      <c r="M516" s="1">
        <v>-431.26293815264387</v>
      </c>
      <c r="N516" s="1">
        <v>-650.18466649953962</v>
      </c>
      <c r="O516" s="1">
        <v>-650.18466649953962</v>
      </c>
    </row>
    <row r="517" spans="2:15">
      <c r="B517">
        <v>509</v>
      </c>
      <c r="D517">
        <v>788.80932054417326</v>
      </c>
      <c r="E517">
        <v>1283.0423282314484</v>
      </c>
      <c r="F517">
        <v>0.68877359114208159</v>
      </c>
      <c r="G517">
        <v>0.71807502938557966</v>
      </c>
      <c r="H517" s="3">
        <v>415.66012162466257</v>
      </c>
      <c r="I517" s="3">
        <v>2.2067828955640297E-2</v>
      </c>
      <c r="J517" s="3">
        <v>1.2848228744071696E-3</v>
      </c>
      <c r="K517" s="1">
        <v>8.2124915681515455E-3</v>
      </c>
      <c r="L517" s="1">
        <v>-478.4069885605619</v>
      </c>
      <c r="M517" s="1">
        <v>-386.00512312764226</v>
      </c>
      <c r="N517" s="1">
        <v>-864.41211168820416</v>
      </c>
      <c r="O517" s="1">
        <v>-864.41211168820416</v>
      </c>
    </row>
    <row r="518" spans="2:15">
      <c r="B518">
        <v>510</v>
      </c>
      <c r="D518">
        <v>1034.536262865812</v>
      </c>
      <c r="E518">
        <v>1511.1103780257977</v>
      </c>
      <c r="F518">
        <v>0.7025576703690819</v>
      </c>
      <c r="G518">
        <v>0.72938614009388425</v>
      </c>
      <c r="H518" s="3">
        <v>392.84597662296443</v>
      </c>
      <c r="I518" s="3">
        <v>1.8216565679092699E-2</v>
      </c>
      <c r="J518" s="3">
        <v>-1.4257331520555229E-3</v>
      </c>
      <c r="K518" s="1">
        <v>5.1216997916605517E-3</v>
      </c>
      <c r="L518" s="1">
        <v>-263.61204203491707</v>
      </c>
      <c r="M518" s="1">
        <v>-314.47831725869094</v>
      </c>
      <c r="N518" s="1">
        <v>-578.09035929360812</v>
      </c>
      <c r="O518" s="1">
        <v>-578.090359293608</v>
      </c>
    </row>
    <row r="519" spans="2:15">
      <c r="B519">
        <v>511</v>
      </c>
      <c r="D519">
        <v>1012.7814587679445</v>
      </c>
      <c r="E519">
        <v>1479.9620296244154</v>
      </c>
      <c r="F519">
        <v>0.69179861234633455</v>
      </c>
      <c r="G519">
        <v>0.72286126884088142</v>
      </c>
      <c r="H519" s="3">
        <v>377.70288628074832</v>
      </c>
      <c r="I519" s="3">
        <v>2.1164647098420294E-2</v>
      </c>
      <c r="J519" s="3">
        <v>2.2795027843828773E-3</v>
      </c>
      <c r="K519" s="1">
        <v>8.5745508890620169E-3</v>
      </c>
      <c r="L519" s="1">
        <v>-51.084560535787872</v>
      </c>
      <c r="M519" s="1">
        <v>-408.77570672916488</v>
      </c>
      <c r="N519" s="1">
        <v>-459.86026726495277</v>
      </c>
      <c r="O519" s="1">
        <v>-459.86026726495277</v>
      </c>
    </row>
    <row r="520" spans="2:15">
      <c r="B520">
        <v>512</v>
      </c>
      <c r="D520">
        <v>715.90636009339516</v>
      </c>
      <c r="E520">
        <v>1218.2981193787673</v>
      </c>
      <c r="F520">
        <v>0.68349465880996996</v>
      </c>
      <c r="G520">
        <v>0.71850683058964548</v>
      </c>
      <c r="H520" s="3">
        <v>412.35023974070799</v>
      </c>
      <c r="I520" s="3">
        <v>2.5125533304627738E-2</v>
      </c>
      <c r="J520" s="3">
        <v>4.5080213175923353E-3</v>
      </c>
      <c r="K520" s="1">
        <v>1.1380525313270804E-2</v>
      </c>
      <c r="L520" s="1">
        <v>-58.135060247318364</v>
      </c>
      <c r="M520" s="1">
        <v>-424.5454601784632</v>
      </c>
      <c r="N520" s="1">
        <v>-482.68052042578154</v>
      </c>
      <c r="O520" s="1">
        <v>-482.68052042578154</v>
      </c>
    </row>
    <row r="521" spans="2:15">
      <c r="B521">
        <v>513</v>
      </c>
      <c r="D521">
        <v>809.50276210645211</v>
      </c>
      <c r="E521">
        <v>1313.3481363329195</v>
      </c>
      <c r="F521">
        <v>0.69221697856560671</v>
      </c>
      <c r="G521">
        <v>0.72623212170663098</v>
      </c>
      <c r="H521" s="3">
        <v>423.22269492412369</v>
      </c>
      <c r="I521" s="3">
        <v>2.5804766484643703E-2</v>
      </c>
      <c r="J521" s="3">
        <v>4.6436317384375217E-3</v>
      </c>
      <c r="K521" s="1">
        <v>1.1697343320506249E-2</v>
      </c>
      <c r="L521" s="1">
        <v>-314.79743966498972</v>
      </c>
      <c r="M521" s="1">
        <v>-386.56215783491166</v>
      </c>
      <c r="N521" s="1">
        <v>-701.35959749990138</v>
      </c>
      <c r="O521" s="1">
        <v>-701.35959749990138</v>
      </c>
    </row>
    <row r="522" spans="2:15">
      <c r="B522">
        <v>514</v>
      </c>
      <c r="D522">
        <v>799.13544174148024</v>
      </c>
      <c r="E522">
        <v>1282.2448247084608</v>
      </c>
      <c r="F522">
        <v>0.69440959479103759</v>
      </c>
      <c r="G522">
        <v>0.73040458115579499</v>
      </c>
      <c r="H522" s="3">
        <v>386.38215925367138</v>
      </c>
      <c r="I522" s="3">
        <v>2.542698242894622E-2</v>
      </c>
      <c r="J522" s="3">
        <v>6.1078744662626493E-3</v>
      </c>
      <c r="K522" s="1">
        <v>1.2547577120490507E-2</v>
      </c>
      <c r="L522" s="1">
        <v>-224.34561763607618</v>
      </c>
      <c r="M522" s="1">
        <v>-235.05982164974435</v>
      </c>
      <c r="N522" s="1">
        <v>-459.40543928582053</v>
      </c>
      <c r="O522" s="1">
        <v>-459.40543928582053</v>
      </c>
    </row>
    <row r="523" spans="2:15">
      <c r="B523">
        <v>515</v>
      </c>
      <c r="D523">
        <v>748.71386016328574</v>
      </c>
      <c r="E523">
        <v>1233.2602837123532</v>
      </c>
      <c r="F523">
        <v>0.68616237677662428</v>
      </c>
      <c r="G523">
        <v>0.72698831186643587</v>
      </c>
      <c r="H523" s="3">
        <v>403.35611787906794</v>
      </c>
      <c r="I523" s="3">
        <v>2.9524070698922197E-2</v>
      </c>
      <c r="J523" s="3">
        <v>9.3562648049687995E-3</v>
      </c>
      <c r="K523" s="1">
        <v>1.6078866769619934E-2</v>
      </c>
      <c r="L523" s="1">
        <v>-204.89079583729693</v>
      </c>
      <c r="M523" s="1">
        <v>-366.34211254358723</v>
      </c>
      <c r="N523" s="1">
        <v>-571.23290838088428</v>
      </c>
      <c r="O523" s="1">
        <v>-571.23290838088417</v>
      </c>
    </row>
    <row r="524" spans="2:15">
      <c r="B524">
        <v>516</v>
      </c>
      <c r="D524">
        <v>989.84946075189259</v>
      </c>
      <c r="E524">
        <v>1462.8111974042386</v>
      </c>
      <c r="F524">
        <v>0.69033672524207024</v>
      </c>
      <c r="G524">
        <v>0.72022686675293823</v>
      </c>
      <c r="H524" s="3">
        <v>376.14711302870563</v>
      </c>
      <c r="I524" s="3">
        <v>2.0781169519282956E-2</v>
      </c>
      <c r="J524" s="3">
        <v>1.9738138678476735E-3</v>
      </c>
      <c r="K524" s="1">
        <v>8.2429324183261009E-3</v>
      </c>
      <c r="L524" s="1">
        <v>-283.51520801694249</v>
      </c>
      <c r="M524" s="1">
        <v>-344.53414087490569</v>
      </c>
      <c r="N524" s="1">
        <v>-628.04934889184824</v>
      </c>
      <c r="O524" s="1">
        <v>-628.04934889184824</v>
      </c>
    </row>
    <row r="525" spans="2:15">
      <c r="B525">
        <v>517</v>
      </c>
      <c r="D525">
        <v>890.30454044064231</v>
      </c>
      <c r="E525">
        <v>1382.227214339804</v>
      </c>
      <c r="F525">
        <v>0.70071407703152933</v>
      </c>
      <c r="G525">
        <v>0.73719864113502998</v>
      </c>
      <c r="H525" s="3">
        <v>409.29810027151461</v>
      </c>
      <c r="I525" s="3">
        <v>2.6860328637792311E-2</v>
      </c>
      <c r="J525" s="3">
        <v>6.395423624216582E-3</v>
      </c>
      <c r="K525" s="1">
        <v>1.3217058628741825E-2</v>
      </c>
      <c r="L525" s="1">
        <v>-129.66771241072223</v>
      </c>
      <c r="M525" s="1">
        <v>-393.46455045959794</v>
      </c>
      <c r="N525" s="1">
        <v>-523.13226287032012</v>
      </c>
      <c r="O525" s="1">
        <v>-523.13226287032012</v>
      </c>
    </row>
    <row r="526" spans="2:15">
      <c r="B526">
        <v>518</v>
      </c>
      <c r="D526">
        <v>902.33445629086509</v>
      </c>
      <c r="E526">
        <v>1381.7144135333363</v>
      </c>
      <c r="F526">
        <v>0.68686536386522368</v>
      </c>
      <c r="G526">
        <v>0.72687410479747094</v>
      </c>
      <c r="H526" s="3">
        <v>398.06544322163387</v>
      </c>
      <c r="I526" s="3">
        <v>2.8605130515057996E-2</v>
      </c>
      <c r="J526" s="3">
        <v>8.7018583539763029E-3</v>
      </c>
      <c r="K526" s="1">
        <v>1.5336282407670199E-2</v>
      </c>
      <c r="L526" s="1">
        <v>-186.19161100882832</v>
      </c>
      <c r="M526" s="1">
        <v>-388.33889655630009</v>
      </c>
      <c r="N526" s="1">
        <v>-574.53050756512835</v>
      </c>
      <c r="O526" s="1">
        <v>-574.53050756512835</v>
      </c>
    </row>
    <row r="527" spans="2:15">
      <c r="B527">
        <v>519</v>
      </c>
      <c r="D527">
        <v>789.327404299975</v>
      </c>
      <c r="E527">
        <v>1267.7031372084289</v>
      </c>
      <c r="F527">
        <v>0.69123519601690087</v>
      </c>
      <c r="G527">
        <v>0.73286893612433324</v>
      </c>
      <c r="H527" s="3">
        <v>389.63879364422024</v>
      </c>
      <c r="I527" s="3">
        <v>2.9106964903445387E-2</v>
      </c>
      <c r="J527" s="3">
        <v>9.6250252212343734E-3</v>
      </c>
      <c r="K527" s="1">
        <v>1.6119005115304712E-2</v>
      </c>
      <c r="L527" s="1">
        <v>-264.73545343946842</v>
      </c>
      <c r="M527" s="1">
        <v>-358.89298822696583</v>
      </c>
      <c r="N527" s="1">
        <v>-623.62844166643436</v>
      </c>
      <c r="O527" s="1">
        <v>-623.62844166643424</v>
      </c>
    </row>
    <row r="528" spans="2:15">
      <c r="B528">
        <v>520</v>
      </c>
      <c r="D528">
        <v>774.63054074718787</v>
      </c>
      <c r="E528">
        <v>1276.9792454252163</v>
      </c>
      <c r="F528">
        <v>0.6986309190536989</v>
      </c>
      <c r="G528">
        <v>0.73271092429290874</v>
      </c>
      <c r="H528" s="3">
        <v>419.12336989291958</v>
      </c>
      <c r="I528" s="3">
        <v>2.4361392368023416E-2</v>
      </c>
      <c r="J528" s="3">
        <v>3.4052238733774387E-3</v>
      </c>
      <c r="K528" s="1">
        <v>1.0390613371592765E-2</v>
      </c>
      <c r="L528" s="1">
        <v>-255.79713500207714</v>
      </c>
      <c r="M528" s="1">
        <v>-360.6458826782457</v>
      </c>
      <c r="N528" s="1">
        <v>-616.4430176803229</v>
      </c>
      <c r="O528" s="1">
        <v>-616.44301768032278</v>
      </c>
    </row>
    <row r="529" spans="2:15">
      <c r="B529">
        <v>521</v>
      </c>
      <c r="D529">
        <v>625.0124282410593</v>
      </c>
      <c r="E529">
        <v>1104.3626841724599</v>
      </c>
      <c r="F529">
        <v>0.69992394514469225</v>
      </c>
      <c r="G529">
        <v>0.733162526324452</v>
      </c>
      <c r="H529" s="3">
        <v>397.15803542763354</v>
      </c>
      <c r="I529" s="3">
        <v>2.3697705107347859E-2</v>
      </c>
      <c r="J529" s="3">
        <v>3.8398033359661812E-3</v>
      </c>
      <c r="K529" s="1">
        <v>1.0459103926426742E-2</v>
      </c>
      <c r="L529" s="1">
        <v>-264.57935311439314</v>
      </c>
      <c r="M529" s="1">
        <v>-411.93484462863711</v>
      </c>
      <c r="N529" s="1">
        <v>-676.51419774303031</v>
      </c>
      <c r="O529" s="1">
        <v>-676.51419774303031</v>
      </c>
    </row>
    <row r="530" spans="2:15">
      <c r="B530">
        <v>522</v>
      </c>
      <c r="D530">
        <v>851.77652546080515</v>
      </c>
      <c r="E530">
        <v>1334.2893166351041</v>
      </c>
      <c r="F530">
        <v>0.69784508455985228</v>
      </c>
      <c r="G530">
        <v>0.7183724920738741</v>
      </c>
      <c r="H530" s="3">
        <v>401.81781223335804</v>
      </c>
      <c r="I530" s="3">
        <v>1.4542192720587026E-2</v>
      </c>
      <c r="J530" s="3">
        <v>-5.548697891080874E-3</v>
      </c>
      <c r="K530" s="1">
        <v>1.1482656461417589E-3</v>
      </c>
      <c r="L530" s="1">
        <v>-259.4489909831907</v>
      </c>
      <c r="M530" s="1">
        <v>-240.45493177282651</v>
      </c>
      <c r="N530" s="1">
        <v>-499.90392275601721</v>
      </c>
      <c r="O530" s="1">
        <v>-499.90392275601721</v>
      </c>
    </row>
    <row r="531" spans="2:15">
      <c r="B531">
        <v>523</v>
      </c>
      <c r="D531">
        <v>844.32997507996197</v>
      </c>
      <c r="E531">
        <v>1342.8975899740274</v>
      </c>
      <c r="F531">
        <v>0.68516973497047817</v>
      </c>
      <c r="G531">
        <v>0.71996359601795745</v>
      </c>
      <c r="H531" s="3">
        <v>412.34524899062438</v>
      </c>
      <c r="I531" s="3">
        <v>2.5224187435771706E-2</v>
      </c>
      <c r="J531" s="3">
        <v>4.6069249862404869E-3</v>
      </c>
      <c r="K531" s="1">
        <v>1.1479345802750892E-2</v>
      </c>
      <c r="L531" s="1">
        <v>-240.10826443635528</v>
      </c>
      <c r="M531" s="1">
        <v>-190.58586987922203</v>
      </c>
      <c r="N531" s="1">
        <v>-430.6941343155774</v>
      </c>
      <c r="O531" s="1">
        <v>-430.69413431557734</v>
      </c>
    </row>
    <row r="532" spans="2:15">
      <c r="B532">
        <v>524</v>
      </c>
      <c r="D532">
        <v>901.07115563631601</v>
      </c>
      <c r="E532">
        <v>1397.4507268008081</v>
      </c>
      <c r="F532">
        <v>0.69417848888217693</v>
      </c>
      <c r="G532">
        <v>0.71645947631442741</v>
      </c>
      <c r="H532" s="3">
        <v>403.01621411334986</v>
      </c>
      <c r="I532" s="3">
        <v>1.6136633485742135E-2</v>
      </c>
      <c r="J532" s="3">
        <v>-4.0141772199253564E-3</v>
      </c>
      <c r="K532" s="1">
        <v>2.7027596819638074E-3</v>
      </c>
      <c r="L532" s="1">
        <v>-282.6037090256317</v>
      </c>
      <c r="M532" s="1">
        <v>-287.2040369882169</v>
      </c>
      <c r="N532" s="1">
        <v>-569.80774601384849</v>
      </c>
      <c r="O532" s="1">
        <v>-569.8077460138486</v>
      </c>
    </row>
    <row r="533" spans="2:15">
      <c r="B533">
        <v>525</v>
      </c>
      <c r="D533">
        <v>931.12517398003308</v>
      </c>
      <c r="E533">
        <v>1441.0086487172341</v>
      </c>
      <c r="F533">
        <v>0.69694070793420571</v>
      </c>
      <c r="G533">
        <v>0.72019305186224158</v>
      </c>
      <c r="H533" s="3">
        <v>405.81725384143436</v>
      </c>
      <c r="I533" s="3">
        <v>1.6429486000625916E-2</v>
      </c>
      <c r="J533" s="3">
        <v>-3.8613766914458031E-3</v>
      </c>
      <c r="K533" s="1">
        <v>2.9022442059114372E-3</v>
      </c>
      <c r="L533" s="1">
        <v>-312.70951016315638</v>
      </c>
      <c r="M533" s="1">
        <v>-411.27951270153653</v>
      </c>
      <c r="N533" s="1">
        <v>-723.98902286469297</v>
      </c>
      <c r="O533" s="1">
        <v>-723.98902286469297</v>
      </c>
    </row>
    <row r="534" spans="2:15">
      <c r="B534">
        <v>526</v>
      </c>
      <c r="D534">
        <v>1033.9455358186788</v>
      </c>
      <c r="E534">
        <v>1506.4555165361219</v>
      </c>
      <c r="F534">
        <v>0.69467215149840078</v>
      </c>
      <c r="G534">
        <v>0.73076598224663225</v>
      </c>
      <c r="H534" s="3">
        <v>381.99619611367876</v>
      </c>
      <c r="I534" s="3">
        <v>2.5559023764424614E-2</v>
      </c>
      <c r="J534" s="3">
        <v>6.4592139587406755E-3</v>
      </c>
      <c r="K534" s="1">
        <v>1.2825817227301988E-2</v>
      </c>
      <c r="L534" s="1">
        <v>-377.42210245339089</v>
      </c>
      <c r="M534" s="1">
        <v>-312.20621380160162</v>
      </c>
      <c r="N534" s="1">
        <v>-689.62831625499246</v>
      </c>
      <c r="O534" s="1">
        <v>-689.62831625499257</v>
      </c>
    </row>
    <row r="535" spans="2:15">
      <c r="B535">
        <v>527</v>
      </c>
      <c r="D535">
        <v>788.02106584175522</v>
      </c>
      <c r="E535">
        <v>1244.5970309404281</v>
      </c>
      <c r="F535">
        <v>0.69220478275994635</v>
      </c>
      <c r="G535">
        <v>0.73283902466299533</v>
      </c>
      <c r="H535" s="3">
        <v>360.64034677223231</v>
      </c>
      <c r="I535" s="3">
        <v>2.7175460885031696E-2</v>
      </c>
      <c r="J535" s="3">
        <v>9.1434435464200804E-3</v>
      </c>
      <c r="K535" s="1">
        <v>1.5154115992623953E-2</v>
      </c>
      <c r="L535" s="1">
        <v>-126.83610934208937</v>
      </c>
      <c r="M535" s="1">
        <v>-262.06331862816864</v>
      </c>
      <c r="N535" s="1">
        <v>-388.89942797025799</v>
      </c>
      <c r="O535" s="1">
        <v>-388.89942797025799</v>
      </c>
    </row>
    <row r="536" spans="2:15">
      <c r="B536">
        <v>528</v>
      </c>
      <c r="D536">
        <v>723.508284247446</v>
      </c>
      <c r="E536">
        <v>1215.976896622793</v>
      </c>
      <c r="F536">
        <v>0.69774249674579347</v>
      </c>
      <c r="G536">
        <v>0.73635035944008698</v>
      </c>
      <c r="H536" s="3">
        <v>410.87024048149954</v>
      </c>
      <c r="I536" s="3">
        <v>2.7963823999343988E-2</v>
      </c>
      <c r="J536" s="3">
        <v>7.4203119752690103E-3</v>
      </c>
      <c r="K536" s="1">
        <v>1.4268149316627336E-2</v>
      </c>
      <c r="L536" s="1">
        <v>-342.88235022522946</v>
      </c>
      <c r="M536" s="1">
        <v>-327.30201706147579</v>
      </c>
      <c r="N536" s="1">
        <v>-670.1843672867052</v>
      </c>
      <c r="O536" s="1">
        <v>-670.18436728670531</v>
      </c>
    </row>
    <row r="537" spans="2:15">
      <c r="B537">
        <v>529</v>
      </c>
      <c r="D537">
        <v>937.06777079573385</v>
      </c>
      <c r="E537">
        <v>1417.527519706892</v>
      </c>
      <c r="F537">
        <v>0.71028608354909606</v>
      </c>
      <c r="G537">
        <v>0.73796522895012462</v>
      </c>
      <c r="H537" s="3">
        <v>381.46661429571935</v>
      </c>
      <c r="I537" s="3">
        <v>1.8633051157873899E-2</v>
      </c>
      <c r="J537" s="3">
        <v>-4.4027955691206683E-4</v>
      </c>
      <c r="K537" s="1">
        <v>5.9174973480165868E-3</v>
      </c>
      <c r="L537" s="1">
        <v>-174.4938411420089</v>
      </c>
      <c r="M537" s="1">
        <v>-190.25952897621576</v>
      </c>
      <c r="N537" s="1">
        <v>-364.75337011822467</v>
      </c>
      <c r="O537" s="1">
        <v>-364.75337011822467</v>
      </c>
    </row>
    <row r="538" spans="2:15">
      <c r="B538">
        <v>530</v>
      </c>
      <c r="D538">
        <v>904.1093127403318</v>
      </c>
      <c r="E538">
        <v>1382.3521331147915</v>
      </c>
      <c r="F538">
        <v>0.69372490779307749</v>
      </c>
      <c r="G538">
        <v>0.72696577341743052</v>
      </c>
      <c r="H538" s="3">
        <v>401.67604224204479</v>
      </c>
      <c r="I538" s="3">
        <v>2.4923612714534863E-2</v>
      </c>
      <c r="J538" s="3">
        <v>4.8398106024326246E-3</v>
      </c>
      <c r="K538" s="1">
        <v>1.1534411306466704E-2</v>
      </c>
      <c r="L538" s="1">
        <v>-278.19935141972149</v>
      </c>
      <c r="M538" s="1">
        <v>-380.94282329959373</v>
      </c>
      <c r="N538" s="1">
        <v>-659.14217471931522</v>
      </c>
      <c r="O538" s="1">
        <v>-659.14217471931522</v>
      </c>
    </row>
    <row r="539" spans="2:15">
      <c r="B539">
        <v>531</v>
      </c>
      <c r="D539">
        <v>791.15684078769891</v>
      </c>
      <c r="E539">
        <v>1293.059812638352</v>
      </c>
      <c r="F539">
        <v>0.70268229429485685</v>
      </c>
      <c r="G539">
        <v>0.72298638626883549</v>
      </c>
      <c r="H539" s="3">
        <v>420.01054656385691</v>
      </c>
      <c r="I539" s="3">
        <v>1.4950578669062643E-2</v>
      </c>
      <c r="J539" s="3">
        <v>-6.0499486591302064E-3</v>
      </c>
      <c r="K539" s="1">
        <v>9.5022711693407667E-4</v>
      </c>
      <c r="L539" s="1">
        <v>-322.31301978012016</v>
      </c>
      <c r="M539" s="1">
        <v>-415.90565975149798</v>
      </c>
      <c r="N539" s="1">
        <v>-738.21867953161814</v>
      </c>
      <c r="O539" s="1">
        <v>-738.21867953161814</v>
      </c>
    </row>
    <row r="540" spans="2:15">
      <c r="B540">
        <v>532</v>
      </c>
      <c r="D540">
        <v>683.66712473247503</v>
      </c>
      <c r="E540">
        <v>1165.4936429103677</v>
      </c>
      <c r="F540">
        <v>0.68768810902481126</v>
      </c>
      <c r="G540">
        <v>0.72677733001571732</v>
      </c>
      <c r="H540" s="3">
        <v>393.49920669965832</v>
      </c>
      <c r="I540" s="3">
        <v>2.7845527384922332E-2</v>
      </c>
      <c r="J540" s="3">
        <v>8.1705670499394173E-3</v>
      </c>
      <c r="K540" s="1">
        <v>1.4728887161600391E-2</v>
      </c>
      <c r="L540" s="1">
        <v>-119.07218103426968</v>
      </c>
      <c r="M540" s="1">
        <v>-290.20528143888856</v>
      </c>
      <c r="N540" s="1">
        <v>-409.27746247315827</v>
      </c>
      <c r="O540" s="1">
        <v>-409.27746247315827</v>
      </c>
    </row>
    <row r="541" spans="2:15">
      <c r="B541">
        <v>533</v>
      </c>
      <c r="D541">
        <v>830.91452039854573</v>
      </c>
      <c r="E541">
        <v>1323.4525352136354</v>
      </c>
      <c r="F541">
        <v>0.69926450730762502</v>
      </c>
      <c r="G541">
        <v>0.73027487006011038</v>
      </c>
      <c r="H541" s="3">
        <v>400.22746315140046</v>
      </c>
      <c r="I541" s="3">
        <v>2.179482867715796E-2</v>
      </c>
      <c r="J541" s="3">
        <v>1.7834555195879384E-3</v>
      </c>
      <c r="K541" s="1">
        <v>8.4539132387779457E-3</v>
      </c>
      <c r="L541" s="1">
        <v>-254.69475487425248</v>
      </c>
      <c r="M541" s="1">
        <v>-447.5924737882882</v>
      </c>
      <c r="N541" s="1">
        <v>-702.28722866254066</v>
      </c>
      <c r="O541" s="1">
        <v>-702.28722866254066</v>
      </c>
    </row>
    <row r="542" spans="2:15">
      <c r="B542">
        <v>534</v>
      </c>
      <c r="D542">
        <v>987.99470447133012</v>
      </c>
      <c r="E542">
        <v>1482.1930535710617</v>
      </c>
      <c r="F542">
        <v>0.69755593529568061</v>
      </c>
      <c r="G542">
        <v>0.72771153358291207</v>
      </c>
      <c r="H542" s="3">
        <v>399.43926975781875</v>
      </c>
      <c r="I542" s="3">
        <v>2.1169096515816888E-2</v>
      </c>
      <c r="J542" s="3">
        <v>1.1971330279259493E-3</v>
      </c>
      <c r="K542" s="1">
        <v>7.854454190556262E-3</v>
      </c>
      <c r="L542" s="1">
        <v>-76.196829153243598</v>
      </c>
      <c r="M542" s="1">
        <v>-254.91487409886483</v>
      </c>
      <c r="N542" s="1">
        <v>-331.11170325210844</v>
      </c>
      <c r="O542" s="1">
        <v>-331.11170325210844</v>
      </c>
    </row>
    <row r="543" spans="2:15">
      <c r="B543">
        <v>535</v>
      </c>
      <c r="D543">
        <v>783.18639270806648</v>
      </c>
      <c r="E543">
        <v>1260.4396585547943</v>
      </c>
      <c r="F543">
        <v>0.70076981903430757</v>
      </c>
      <c r="G543">
        <v>0.73482214449894312</v>
      </c>
      <c r="H543" s="3">
        <v>377.44910869231109</v>
      </c>
      <c r="I543" s="3">
        <v>2.2710895370560369E-2</v>
      </c>
      <c r="J543" s="3">
        <v>3.8384399359448138E-3</v>
      </c>
      <c r="K543" s="1">
        <v>1.0129258414149999E-2</v>
      </c>
      <c r="L543" s="1">
        <v>-297.7295447487848</v>
      </c>
      <c r="M543" s="1">
        <v>-388.7307821019055</v>
      </c>
      <c r="N543" s="1">
        <v>-686.46032685069031</v>
      </c>
      <c r="O543" s="1">
        <v>-686.46032685069031</v>
      </c>
    </row>
    <row r="544" spans="2:15">
      <c r="B544">
        <v>536</v>
      </c>
      <c r="D544">
        <v>965.32272491136609</v>
      </c>
      <c r="E544">
        <v>1423.3249322786673</v>
      </c>
      <c r="F544">
        <v>0.70414022133005971</v>
      </c>
      <c r="G544">
        <v>0.74122605193691193</v>
      </c>
      <c r="H544" s="3">
        <v>372.77848263019928</v>
      </c>
      <c r="I544" s="3">
        <v>2.6629373901366358E-2</v>
      </c>
      <c r="J544" s="3">
        <v>7.9904497698563906E-3</v>
      </c>
      <c r="K544" s="1">
        <v>1.4203424480359713E-2</v>
      </c>
      <c r="L544" s="1">
        <v>-277.96534567416359</v>
      </c>
      <c r="M544" s="1">
        <v>-315.9941262725103</v>
      </c>
      <c r="N544" s="1">
        <v>-593.95947194667383</v>
      </c>
      <c r="O544" s="1">
        <v>-593.95947194667383</v>
      </c>
    </row>
    <row r="545" spans="2:15">
      <c r="B545">
        <v>537</v>
      </c>
      <c r="D545">
        <v>1031.1552179977043</v>
      </c>
      <c r="E545">
        <v>1517.4200301813219</v>
      </c>
      <c r="F545">
        <v>0.6894988760951769</v>
      </c>
      <c r="G545">
        <v>0.71383984537252643</v>
      </c>
      <c r="H545" s="3">
        <v>404.48323885056431</v>
      </c>
      <c r="I545" s="3">
        <v>1.7783440414829786E-2</v>
      </c>
      <c r="J545" s="3">
        <v>-2.4407215276984334E-3</v>
      </c>
      <c r="K545" s="1">
        <v>4.3006657864776403E-3</v>
      </c>
      <c r="L545" s="1">
        <v>-6.1534963116368431</v>
      </c>
      <c r="M545" s="1">
        <v>-381.6833536022055</v>
      </c>
      <c r="N545" s="1">
        <v>-387.83684991384229</v>
      </c>
      <c r="O545" s="1">
        <v>-387.83684991384234</v>
      </c>
    </row>
    <row r="546" spans="2:15">
      <c r="B546">
        <v>538</v>
      </c>
      <c r="D546">
        <v>971.33135251593376</v>
      </c>
      <c r="E546">
        <v>1449.3418756564299</v>
      </c>
      <c r="F546">
        <v>0.69669894594121951</v>
      </c>
      <c r="G546">
        <v>0.72877595833052822</v>
      </c>
      <c r="H546" s="3">
        <v>390.64236723993201</v>
      </c>
      <c r="I546" s="3">
        <v>2.2575792665169802E-2</v>
      </c>
      <c r="J546" s="3">
        <v>3.0436743031732015E-3</v>
      </c>
      <c r="K546" s="1">
        <v>9.5543804238387344E-3</v>
      </c>
      <c r="L546" s="1">
        <v>-341.80777570411084</v>
      </c>
      <c r="M546" s="1">
        <v>-252.95737844467362</v>
      </c>
      <c r="N546" s="1">
        <v>-594.7651541487844</v>
      </c>
      <c r="O546" s="1">
        <v>-594.7651541487844</v>
      </c>
    </row>
    <row r="547" spans="2:15">
      <c r="B547">
        <v>539</v>
      </c>
      <c r="D547">
        <v>964.23336431948564</v>
      </c>
      <c r="E547">
        <v>1435.8575042557991</v>
      </c>
      <c r="F547">
        <v>0.69209884050661885</v>
      </c>
      <c r="G547">
        <v>0.72500611107062862</v>
      </c>
      <c r="H547" s="3">
        <v>384.16290938274409</v>
      </c>
      <c r="I547" s="3">
        <v>2.3810247819215362E-2</v>
      </c>
      <c r="J547" s="3">
        <v>4.6021023500781577E-3</v>
      </c>
      <c r="K547" s="1">
        <v>1.1004817506457225E-2</v>
      </c>
      <c r="L547" s="1">
        <v>-251.59695745286257</v>
      </c>
      <c r="M547" s="1">
        <v>-358.75446229508015</v>
      </c>
      <c r="N547" s="1">
        <v>-610.35141974794283</v>
      </c>
      <c r="O547" s="1">
        <v>-610.35141974794271</v>
      </c>
    </row>
    <row r="548" spans="2:15">
      <c r="B548">
        <v>540</v>
      </c>
      <c r="D548">
        <v>939.05045486147151</v>
      </c>
      <c r="E548">
        <v>1425.2396209219708</v>
      </c>
      <c r="F548">
        <v>0.68999569934519767</v>
      </c>
      <c r="G548">
        <v>0.73159837883105427</v>
      </c>
      <c r="H548" s="3">
        <v>406.32384031530233</v>
      </c>
      <c r="I548" s="3">
        <v>3.0499193610545823E-2</v>
      </c>
      <c r="J548" s="3">
        <v>1.0183001594780704E-2</v>
      </c>
      <c r="K548" s="1">
        <v>1.6955065600035742E-2</v>
      </c>
      <c r="L548" s="1">
        <v>-517.51822871033119</v>
      </c>
      <c r="M548" s="1">
        <v>-244.46862548814354</v>
      </c>
      <c r="N548" s="1">
        <v>-761.9868541984747</v>
      </c>
      <c r="O548" s="1">
        <v>-761.9868541984747</v>
      </c>
    </row>
    <row r="549" spans="2:15">
      <c r="B549">
        <v>541</v>
      </c>
      <c r="D549">
        <v>1043.973300442253</v>
      </c>
      <c r="E549">
        <v>1535.7508470445414</v>
      </c>
      <c r="F549">
        <v>0.69358180992295404</v>
      </c>
      <c r="G549">
        <v>0.72411574190011241</v>
      </c>
      <c r="H549" s="3">
        <v>408.05993284148695</v>
      </c>
      <c r="I549" s="3">
        <v>2.2902275702525295E-2</v>
      </c>
      <c r="J549" s="3">
        <v>2.4992790604509464E-3</v>
      </c>
      <c r="K549" s="1">
        <v>9.3002779411423958E-3</v>
      </c>
      <c r="L549" s="1">
        <v>-63.972992632785498</v>
      </c>
      <c r="M549" s="1">
        <v>-319.44338450340729</v>
      </c>
      <c r="N549" s="1">
        <v>-383.41637713619281</v>
      </c>
      <c r="O549" s="1">
        <v>-383.41637713619281</v>
      </c>
    </row>
    <row r="550" spans="2:15">
      <c r="B550">
        <v>542</v>
      </c>
      <c r="D550">
        <v>912.93691041556121</v>
      </c>
      <c r="E550">
        <v>1410.3237189969568</v>
      </c>
      <c r="F550">
        <v>0.68420622564059619</v>
      </c>
      <c r="G550">
        <v>0.72651036976755778</v>
      </c>
      <c r="H550" s="3">
        <v>406.18412887291123</v>
      </c>
      <c r="I550" s="3">
        <v>2.9599358798776534E-2</v>
      </c>
      <c r="J550" s="3">
        <v>9.2901523551309727E-3</v>
      </c>
      <c r="K550" s="1">
        <v>1.6059887836346161E-2</v>
      </c>
      <c r="L550" s="1">
        <v>-94.926715077568829</v>
      </c>
      <c r="M550" s="1">
        <v>-261.05944576042947</v>
      </c>
      <c r="N550" s="1">
        <v>-355.98616083799834</v>
      </c>
      <c r="O550" s="1">
        <v>-355.98616083799828</v>
      </c>
    </row>
    <row r="551" spans="2:15">
      <c r="B551">
        <v>543</v>
      </c>
      <c r="D551">
        <v>996.91666345422482</v>
      </c>
      <c r="E551">
        <v>1506.845924058535</v>
      </c>
      <c r="F551">
        <v>0.69163986692495227</v>
      </c>
      <c r="G551">
        <v>0.71837140553044276</v>
      </c>
      <c r="H551" s="3">
        <v>420.94609822039382</v>
      </c>
      <c r="I551" s="3">
        <v>1.9032395649074402E-2</v>
      </c>
      <c r="J551" s="3">
        <v>-2.0149092619452871E-3</v>
      </c>
      <c r="K551" s="1">
        <v>5.0008590417279421E-3</v>
      </c>
      <c r="L551" s="1">
        <v>-242.66482676369347</v>
      </c>
      <c r="M551" s="1">
        <v>-505.2536497407425</v>
      </c>
      <c r="N551" s="1">
        <v>-747.91847650443594</v>
      </c>
      <c r="O551" s="1">
        <v>-747.91847650443594</v>
      </c>
    </row>
    <row r="552" spans="2:15">
      <c r="B552">
        <v>544</v>
      </c>
      <c r="D552">
        <v>944.21476179348394</v>
      </c>
      <c r="E552">
        <v>1435.2382005425945</v>
      </c>
      <c r="F552">
        <v>0.70286728345618898</v>
      </c>
      <c r="G552">
        <v>0.73011288575891098</v>
      </c>
      <c r="H552" s="3">
        <v>411.95263335665231</v>
      </c>
      <c r="I552" s="3">
        <v>2.059008906566594E-2</v>
      </c>
      <c r="J552" s="3">
        <v>-7.5426021666769039E-6</v>
      </c>
      <c r="K552" s="1">
        <v>6.8583346204441967E-3</v>
      </c>
      <c r="L552" s="1">
        <v>-298.06215621333666</v>
      </c>
      <c r="M552" s="1">
        <v>-377.74218482419826</v>
      </c>
      <c r="N552" s="1">
        <v>-675.80434103753487</v>
      </c>
      <c r="O552" s="1">
        <v>-675.80434103753487</v>
      </c>
    </row>
    <row r="553" spans="2:15">
      <c r="B553">
        <v>545</v>
      </c>
      <c r="D553">
        <v>784.91655539383885</v>
      </c>
      <c r="E553">
        <v>1283.5283025516678</v>
      </c>
      <c r="F553">
        <v>0.68657578856386692</v>
      </c>
      <c r="G553">
        <v>0.72503044876518752</v>
      </c>
      <c r="H553" s="3">
        <v>386.52477710444566</v>
      </c>
      <c r="I553" s="3">
        <v>2.5438340454694151E-2</v>
      </c>
      <c r="J553" s="3">
        <v>6.1121015994718662E-3</v>
      </c>
      <c r="K553" s="1">
        <v>1.2554181217879294E-2</v>
      </c>
      <c r="L553" s="1">
        <v>-314.85253958848432</v>
      </c>
      <c r="M553" s="1">
        <v>-337.54371985191943</v>
      </c>
      <c r="N553" s="1">
        <v>-652.39625944040381</v>
      </c>
      <c r="O553" s="1">
        <v>-652.39625944040381</v>
      </c>
    </row>
    <row r="554" spans="2:15">
      <c r="B554">
        <v>546</v>
      </c>
      <c r="D554">
        <v>958.26252195831751</v>
      </c>
      <c r="E554">
        <v>1428.5893605697111</v>
      </c>
      <c r="F554">
        <v>0.69180656586372791</v>
      </c>
      <c r="G554">
        <v>0.72675363604187448</v>
      </c>
      <c r="H554" s="3">
        <v>397.02260710881075</v>
      </c>
      <c r="I554" s="3">
        <v>2.6608186608617752E-2</v>
      </c>
      <c r="J554" s="3">
        <v>6.7570562531772162E-3</v>
      </c>
      <c r="K554" s="1">
        <v>1.3374099704990728E-2</v>
      </c>
      <c r="L554" s="1">
        <v>-194.89592825370724</v>
      </c>
      <c r="M554" s="1">
        <v>-422.09383347511323</v>
      </c>
      <c r="N554" s="1">
        <v>-616.98976172882044</v>
      </c>
      <c r="O554" s="1">
        <v>-616.98976172882044</v>
      </c>
    </row>
    <row r="555" spans="2:15">
      <c r="B555">
        <v>547</v>
      </c>
      <c r="D555">
        <v>764.55950177581917</v>
      </c>
      <c r="E555">
        <v>1226.413471385629</v>
      </c>
      <c r="F555">
        <v>0.68096433735738182</v>
      </c>
      <c r="G555">
        <v>0.73678575067835117</v>
      </c>
      <c r="H555" s="3">
        <v>370.14873586987062</v>
      </c>
      <c r="I555" s="3">
        <v>3.963800325417615E-2</v>
      </c>
      <c r="J555" s="3">
        <v>2.113056646068262E-2</v>
      </c>
      <c r="K555" s="1">
        <v>2.7299712058513795E-2</v>
      </c>
      <c r="L555" s="1">
        <v>-162.60418122883002</v>
      </c>
      <c r="M555" s="1">
        <v>-295.18289173072333</v>
      </c>
      <c r="N555" s="1">
        <v>-457.78707295955337</v>
      </c>
      <c r="O555" s="1">
        <v>-457.78707295955337</v>
      </c>
    </row>
    <row r="556" spans="2:15">
      <c r="B556">
        <v>548</v>
      </c>
      <c r="D556">
        <v>980.66816820642828</v>
      </c>
      <c r="E556">
        <v>1455.0072504478246</v>
      </c>
      <c r="F556">
        <v>0.6962119841216774</v>
      </c>
      <c r="G556">
        <v>0.72190008677322293</v>
      </c>
      <c r="H556" s="3">
        <v>405.29953156893396</v>
      </c>
      <c r="I556" s="3">
        <v>1.9574266480474726E-2</v>
      </c>
      <c r="J556" s="3">
        <v>-6.9071009797197144E-4</v>
      </c>
      <c r="K556" s="1">
        <v>6.0642820948435937E-3</v>
      </c>
      <c r="L556" s="1">
        <v>-235.87318375831029</v>
      </c>
      <c r="M556" s="1">
        <v>-462.26968548476827</v>
      </c>
      <c r="N556" s="1">
        <v>-698.14286924307862</v>
      </c>
      <c r="O556" s="1">
        <v>-698.14286924307862</v>
      </c>
    </row>
    <row r="557" spans="2:15">
      <c r="B557">
        <v>549</v>
      </c>
      <c r="D557">
        <v>1223.1967369856213</v>
      </c>
      <c r="E557">
        <v>1692.7707225020474</v>
      </c>
      <c r="F557">
        <v>0.69471627673173642</v>
      </c>
      <c r="G557">
        <v>0.72748430753646476</v>
      </c>
      <c r="H557" s="3">
        <v>386.30070125546388</v>
      </c>
      <c r="I557" s="3">
        <v>2.3426318383928026E-2</v>
      </c>
      <c r="J557" s="3">
        <v>4.1112833211548287E-3</v>
      </c>
      <c r="K557" s="1">
        <v>1.0549628342079228E-2</v>
      </c>
      <c r="L557" s="1">
        <v>-379.2418339434123</v>
      </c>
      <c r="M557" s="1">
        <v>-194.21774369739725</v>
      </c>
      <c r="N557" s="1">
        <v>-573.45957764080958</v>
      </c>
      <c r="O557" s="1">
        <v>-573.45957764080958</v>
      </c>
    </row>
    <row r="558" spans="2:15">
      <c r="B558">
        <v>550</v>
      </c>
      <c r="D558">
        <v>808.95187563024854</v>
      </c>
      <c r="E558">
        <v>1302.1335334250821</v>
      </c>
      <c r="F558">
        <v>0.70435944759873592</v>
      </c>
      <c r="G558">
        <v>0.73421776385561144</v>
      </c>
      <c r="H558" s="3">
        <v>409.77118809519101</v>
      </c>
      <c r="I558" s="3">
        <v>2.2239372248769426E-2</v>
      </c>
      <c r="J558" s="3">
        <v>1.7508128440098768E-3</v>
      </c>
      <c r="K558" s="1">
        <v>8.5803326455963919E-3</v>
      </c>
      <c r="L558" s="1">
        <v>-193.9889774351993</v>
      </c>
      <c r="M558" s="1">
        <v>-300.22521002011399</v>
      </c>
      <c r="N558" s="1">
        <v>-494.21418745531332</v>
      </c>
      <c r="O558" s="1">
        <v>-494.21418745531332</v>
      </c>
    </row>
    <row r="559" spans="2:15">
      <c r="B559">
        <v>551</v>
      </c>
      <c r="D559">
        <v>986.35607306925056</v>
      </c>
      <c r="E559">
        <v>1458.4586309500105</v>
      </c>
      <c r="F559">
        <v>0.6884254848681195</v>
      </c>
      <c r="G559">
        <v>0.72733074805789932</v>
      </c>
      <c r="H559" s="3">
        <v>391.45204535050573</v>
      </c>
      <c r="I559" s="3">
        <v>2.7990503652620784E-2</v>
      </c>
      <c r="J559" s="3">
        <v>8.4179013850954956E-3</v>
      </c>
      <c r="K559" s="1">
        <v>1.4942102140937259E-2</v>
      </c>
      <c r="L559" s="1">
        <v>-224.09529813882892</v>
      </c>
      <c r="M559" s="1">
        <v>-371.19910650513521</v>
      </c>
      <c r="N559" s="1">
        <v>-595.29440464396419</v>
      </c>
      <c r="O559" s="1">
        <v>-595.29440464396407</v>
      </c>
    </row>
    <row r="560" spans="2:15">
      <c r="B560">
        <v>552</v>
      </c>
      <c r="D560">
        <v>949.78445007104369</v>
      </c>
      <c r="E560">
        <v>1424.7960113390873</v>
      </c>
      <c r="F560">
        <v>0.69969693110760467</v>
      </c>
      <c r="G560">
        <v>0.73144889118014478</v>
      </c>
      <c r="H560" s="3">
        <v>373.55982021050096</v>
      </c>
      <c r="I560" s="3">
        <v>2.0872154538137989E-2</v>
      </c>
      <c r="J560" s="3">
        <v>2.1941635276129419E-3</v>
      </c>
      <c r="K560" s="1">
        <v>8.4201605311212905E-3</v>
      </c>
      <c r="L560" s="1">
        <v>-62.081149828499257</v>
      </c>
      <c r="M560" s="1">
        <v>-297.45288302011221</v>
      </c>
      <c r="N560" s="1">
        <v>-359.53403284861145</v>
      </c>
      <c r="O560" s="1">
        <v>-359.53403284861145</v>
      </c>
    </row>
    <row r="561" spans="2:15">
      <c r="B561">
        <v>553</v>
      </c>
      <c r="D561">
        <v>851.3957259359471</v>
      </c>
      <c r="E561">
        <v>1292.6491854496676</v>
      </c>
      <c r="F561">
        <v>0.68146391760017377</v>
      </c>
      <c r="G561">
        <v>0.72766482887632955</v>
      </c>
      <c r="H561" s="3">
        <v>368.74005953673151</v>
      </c>
      <c r="I561" s="3">
        <v>3.3901845937625151E-2</v>
      </c>
      <c r="J561" s="3">
        <v>1.5464842960788577E-2</v>
      </c>
      <c r="K561" s="1">
        <v>2.16105106197341E-2</v>
      </c>
      <c r="L561" s="1">
        <v>-183.56164872862888</v>
      </c>
      <c r="M561" s="1">
        <v>-472.50650124950027</v>
      </c>
      <c r="N561" s="1">
        <v>-656.06814997812921</v>
      </c>
      <c r="O561" s="1">
        <v>-656.06814997812921</v>
      </c>
    </row>
    <row r="562" spans="2:15">
      <c r="B562">
        <v>554</v>
      </c>
      <c r="D562">
        <v>865.12288181151973</v>
      </c>
      <c r="E562">
        <v>1366.6004514054953</v>
      </c>
      <c r="F562">
        <v>0.69161150641543057</v>
      </c>
      <c r="G562">
        <v>0.71785049034206572</v>
      </c>
      <c r="H562" s="3">
        <v>403.11491647194737</v>
      </c>
      <c r="I562" s="3">
        <v>1.7712917256100417E-2</v>
      </c>
      <c r="J562" s="3">
        <v>-2.4428285674969533E-3</v>
      </c>
      <c r="K562" s="1">
        <v>4.2757533737021718E-3</v>
      </c>
      <c r="L562" s="1">
        <v>-73.175321732376972</v>
      </c>
      <c r="M562" s="1">
        <v>-276.41923468109576</v>
      </c>
      <c r="N562" s="1">
        <v>-349.59455641347273</v>
      </c>
      <c r="O562" s="1">
        <v>-349.59455641347273</v>
      </c>
    </row>
    <row r="563" spans="2:15">
      <c r="B563">
        <v>555</v>
      </c>
      <c r="D563">
        <v>810.84561992654551</v>
      </c>
      <c r="E563">
        <v>1326.6869808476617</v>
      </c>
      <c r="F563">
        <v>0.69509228536961265</v>
      </c>
      <c r="G563">
        <v>0.73170542730932853</v>
      </c>
      <c r="H563" s="3">
        <v>420.27284655662766</v>
      </c>
      <c r="I563" s="3">
        <v>2.639521614596976E-2</v>
      </c>
      <c r="J563" s="3">
        <v>5.3815738181383736E-3</v>
      </c>
      <c r="K563" s="1">
        <v>1.2386121260748836E-2</v>
      </c>
      <c r="L563" s="1">
        <v>-162.01400908973099</v>
      </c>
      <c r="M563" s="1">
        <v>-349.4157433998916</v>
      </c>
      <c r="N563" s="1">
        <v>-511.4297524896225</v>
      </c>
      <c r="O563" s="1">
        <v>-511.42975248962262</v>
      </c>
    </row>
    <row r="564" spans="2:15">
      <c r="B564">
        <v>556</v>
      </c>
      <c r="D564">
        <v>813.12346134874826</v>
      </c>
      <c r="E564">
        <v>1323.5242880650633</v>
      </c>
      <c r="F564">
        <v>0.6993033592634792</v>
      </c>
      <c r="G564">
        <v>0.72022269576939646</v>
      </c>
      <c r="H564" s="3">
        <v>387.9329812982358</v>
      </c>
      <c r="I564" s="3">
        <v>1.3634012703306371E-2</v>
      </c>
      <c r="J564" s="3">
        <v>-5.7626363616054155E-3</v>
      </c>
      <c r="K564" s="1">
        <v>7.0291332669851318E-4</v>
      </c>
      <c r="L564" s="1">
        <v>131.40976498608634</v>
      </c>
      <c r="M564" s="1">
        <v>-281.93555541511972</v>
      </c>
      <c r="N564" s="1">
        <v>-150.52579042903338</v>
      </c>
      <c r="O564" s="1">
        <v>-150.52579042903338</v>
      </c>
    </row>
    <row r="565" spans="2:15">
      <c r="B565">
        <v>557</v>
      </c>
      <c r="D565">
        <v>741.6734878263394</v>
      </c>
      <c r="E565">
        <v>1231.433558847752</v>
      </c>
      <c r="F565">
        <v>0.68871220325143401</v>
      </c>
      <c r="G565">
        <v>0.71409493249287792</v>
      </c>
      <c r="H565" s="3">
        <v>385.53231119510855</v>
      </c>
      <c r="I565" s="3">
        <v>1.8143873581364555E-2</v>
      </c>
      <c r="J565" s="3">
        <v>-1.1327419783908714E-3</v>
      </c>
      <c r="K565" s="1">
        <v>5.2927965415276029E-3</v>
      </c>
      <c r="L565" s="1">
        <v>-364.3095555541467</v>
      </c>
      <c r="M565" s="1">
        <v>-318.80851754566061</v>
      </c>
      <c r="N565" s="1">
        <v>-683.11807309980725</v>
      </c>
      <c r="O565" s="1">
        <v>-683.11807309980736</v>
      </c>
    </row>
    <row r="566" spans="2:15">
      <c r="B566">
        <v>558</v>
      </c>
      <c r="D566">
        <v>743.90483014202198</v>
      </c>
      <c r="E566">
        <v>1255.4489571323238</v>
      </c>
      <c r="F566">
        <v>0.69667456006678408</v>
      </c>
      <c r="G566">
        <v>0.73186636336918698</v>
      </c>
      <c r="H566" s="3">
        <v>418.18696064635077</v>
      </c>
      <c r="I566" s="3">
        <v>2.5123087142556375E-2</v>
      </c>
      <c r="J566" s="3">
        <v>4.2137391102388365E-3</v>
      </c>
      <c r="K566" s="1">
        <v>1.1183521787678017E-2</v>
      </c>
      <c r="L566" s="1">
        <v>-161.10094960299969</v>
      </c>
      <c r="M566" s="1">
        <v>-253.64074267037813</v>
      </c>
      <c r="N566" s="1">
        <v>-414.74169227337779</v>
      </c>
      <c r="O566" s="1">
        <v>-414.74169227337779</v>
      </c>
    </row>
    <row r="567" spans="2:15">
      <c r="B567">
        <v>559</v>
      </c>
      <c r="D567">
        <v>876.62863323198235</v>
      </c>
      <c r="E567">
        <v>1389.3138555939283</v>
      </c>
      <c r="F567">
        <v>0.69628516473299706</v>
      </c>
      <c r="G567">
        <v>0.72170876350069979</v>
      </c>
      <c r="H567" s="3">
        <v>417.86620799473184</v>
      </c>
      <c r="I567" s="3">
        <v>1.8104706371752481E-2</v>
      </c>
      <c r="J567" s="3">
        <v>-2.7886040279841151E-3</v>
      </c>
      <c r="K567" s="1">
        <v>4.1758327719280848E-3</v>
      </c>
      <c r="L567" s="1">
        <v>-369.17053059955867</v>
      </c>
      <c r="M567" s="1">
        <v>-450.86126505706579</v>
      </c>
      <c r="N567" s="1">
        <v>-820.03179565662447</v>
      </c>
      <c r="O567" s="1">
        <v>-820.03179565662447</v>
      </c>
    </row>
    <row r="568" spans="2:15">
      <c r="B568">
        <v>560</v>
      </c>
      <c r="D568">
        <v>883.96777665158402</v>
      </c>
      <c r="E568">
        <v>1337.1302044449462</v>
      </c>
      <c r="F568">
        <v>0.6838783013015719</v>
      </c>
      <c r="G568">
        <v>0.7186448338326793</v>
      </c>
      <c r="H568" s="3">
        <v>375.18993847495062</v>
      </c>
      <c r="I568" s="3">
        <v>2.5628519862939413E-2</v>
      </c>
      <c r="J568" s="3">
        <v>6.8690229391918829E-3</v>
      </c>
      <c r="K568" s="1">
        <v>1.312218858044106E-2</v>
      </c>
      <c r="L568" s="1">
        <v>-232.29322514222795</v>
      </c>
      <c r="M568" s="1">
        <v>-355.4447302539308</v>
      </c>
      <c r="N568" s="1">
        <v>-587.73795539615878</v>
      </c>
      <c r="O568" s="1">
        <v>-587.73795539615878</v>
      </c>
    </row>
    <row r="569" spans="2:15">
      <c r="B569">
        <v>561</v>
      </c>
      <c r="D569">
        <v>909.01811213995893</v>
      </c>
      <c r="E569">
        <v>1404.7765349030719</v>
      </c>
      <c r="F569">
        <v>0.70714491676984403</v>
      </c>
      <c r="G569">
        <v>0.72835605205430265</v>
      </c>
      <c r="H569" s="3">
        <v>400.32183701855053</v>
      </c>
      <c r="I569" s="3">
        <v>1.5364203056495097E-2</v>
      </c>
      <c r="J569" s="3">
        <v>-4.6518887944324259E-3</v>
      </c>
      <c r="K569" s="1">
        <v>2.0201418225434149E-3</v>
      </c>
      <c r="L569" s="1">
        <v>-381.87119032217885</v>
      </c>
      <c r="M569" s="1">
        <v>-414.63896987420156</v>
      </c>
      <c r="N569" s="1">
        <v>-796.51016019638041</v>
      </c>
      <c r="O569" s="1">
        <v>-796.51016019638041</v>
      </c>
    </row>
    <row r="570" spans="2:15">
      <c r="B570">
        <v>562</v>
      </c>
      <c r="D570">
        <v>869.47652017963753</v>
      </c>
      <c r="E570">
        <v>1359.9187121108537</v>
      </c>
      <c r="F570">
        <v>0.70093344728424323</v>
      </c>
      <c r="G570">
        <v>0.72719567226408122</v>
      </c>
      <c r="H570" s="3">
        <v>386.02519680648419</v>
      </c>
      <c r="I570" s="3">
        <v>1.7150198813693663E-2</v>
      </c>
      <c r="J570" s="3">
        <v>-2.1510610266305477E-3</v>
      </c>
      <c r="K570" s="1">
        <v>4.2826922534775231E-3</v>
      </c>
      <c r="L570" s="1">
        <v>-126.20070731904588</v>
      </c>
      <c r="M570" s="1">
        <v>-347.65000354765789</v>
      </c>
      <c r="N570" s="1">
        <v>-473.85071086670376</v>
      </c>
      <c r="O570" s="1">
        <v>-473.85071086670376</v>
      </c>
    </row>
    <row r="571" spans="2:15">
      <c r="B571">
        <v>563</v>
      </c>
      <c r="D571">
        <v>990.91476920521222</v>
      </c>
      <c r="E571">
        <v>1529.5738030785212</v>
      </c>
      <c r="F571">
        <v>0.69056602077540297</v>
      </c>
      <c r="G571">
        <v>0.72173444893875416</v>
      </c>
      <c r="H571" s="3">
        <v>449.96481160280115</v>
      </c>
      <c r="I571" s="3">
        <v>2.2748318173730658E-2</v>
      </c>
      <c r="J571" s="3">
        <v>2.5007759359059814E-4</v>
      </c>
      <c r="K571" s="1">
        <v>7.7494911203039515E-3</v>
      </c>
      <c r="L571" s="1">
        <v>-186.23438473054568</v>
      </c>
      <c r="M571" s="1">
        <v>-283.14174558166121</v>
      </c>
      <c r="N571" s="1">
        <v>-469.3761303122069</v>
      </c>
      <c r="O571" s="1">
        <v>-469.3761303122069</v>
      </c>
    </row>
    <row r="572" spans="2:15">
      <c r="B572">
        <v>564</v>
      </c>
      <c r="D572">
        <v>712.20979557413034</v>
      </c>
      <c r="E572">
        <v>1212.4760277866417</v>
      </c>
      <c r="F572">
        <v>0.68686806571819603</v>
      </c>
      <c r="G572">
        <v>0.72052092924691857</v>
      </c>
      <c r="H572" s="3">
        <v>394.84766754697353</v>
      </c>
      <c r="I572" s="3">
        <v>2.2645936186413664E-2</v>
      </c>
      <c r="J572" s="3">
        <v>2.9035528090649888E-3</v>
      </c>
      <c r="K572" s="1">
        <v>9.484347268181214E-3</v>
      </c>
      <c r="L572" s="1">
        <v>-125.09571157476503</v>
      </c>
      <c r="M572" s="1">
        <v>-343.34132430564739</v>
      </c>
      <c r="N572" s="1">
        <v>-468.43703588041251</v>
      </c>
      <c r="O572" s="1">
        <v>-468.4370358804124</v>
      </c>
    </row>
    <row r="573" spans="2:15">
      <c r="B573">
        <v>565</v>
      </c>
      <c r="D573">
        <v>866.32190132857977</v>
      </c>
      <c r="E573">
        <v>1344.3509599531578</v>
      </c>
      <c r="F573">
        <v>0.67287175901552254</v>
      </c>
      <c r="G573">
        <v>0.71170950271183164</v>
      </c>
      <c r="H573" s="3">
        <v>391.79032104767214</v>
      </c>
      <c r="I573" s="3">
        <v>2.787050973708223E-2</v>
      </c>
      <c r="J573" s="3">
        <v>8.2809936846986246E-3</v>
      </c>
      <c r="K573" s="1">
        <v>1.4810832368826493E-2</v>
      </c>
      <c r="L573" s="1">
        <v>-108.73625076503924</v>
      </c>
      <c r="M573" s="1">
        <v>-411.14956796990475</v>
      </c>
      <c r="N573" s="1">
        <v>-519.885818734944</v>
      </c>
      <c r="O573" s="1">
        <v>-519.885818734944</v>
      </c>
    </row>
    <row r="574" spans="2:15">
      <c r="B574">
        <v>566</v>
      </c>
      <c r="D574">
        <v>1095.1762513149747</v>
      </c>
      <c r="E574">
        <v>1561.5633105706686</v>
      </c>
      <c r="F574">
        <v>0.68736130292924624</v>
      </c>
      <c r="G574">
        <v>0.71652469772090921</v>
      </c>
      <c r="H574" s="3">
        <v>375.00070664934162</v>
      </c>
      <c r="I574" s="3">
        <v>2.0392353067149097E-2</v>
      </c>
      <c r="J574" s="3">
        <v>1.6423177346820174E-3</v>
      </c>
      <c r="K574" s="1">
        <v>7.8923295121710452E-3</v>
      </c>
      <c r="L574" s="1">
        <v>-155.27492076038124</v>
      </c>
      <c r="M574" s="1">
        <v>-443.60067728163034</v>
      </c>
      <c r="N574" s="1">
        <v>-598.87559804201146</v>
      </c>
      <c r="O574" s="1">
        <v>-598.87559804201157</v>
      </c>
    </row>
    <row r="575" spans="2:15">
      <c r="B575">
        <v>567</v>
      </c>
      <c r="D575">
        <v>953.49358604363238</v>
      </c>
      <c r="E575">
        <v>1411.5194865100664</v>
      </c>
      <c r="F575">
        <v>0.68484516802281736</v>
      </c>
      <c r="G575">
        <v>0.73544562528511115</v>
      </c>
      <c r="H575" s="3">
        <v>364.1578788154186</v>
      </c>
      <c r="I575" s="3">
        <v>3.363348826607173E-2</v>
      </c>
      <c r="J575" s="3">
        <v>1.5425594325300801E-2</v>
      </c>
      <c r="K575" s="1">
        <v>2.1494892305557775E-2</v>
      </c>
      <c r="L575" s="1">
        <v>-296.12283652489134</v>
      </c>
      <c r="M575" s="1">
        <v>-290.47117180209676</v>
      </c>
      <c r="N575" s="1">
        <v>-586.59400832698805</v>
      </c>
      <c r="O575" s="1">
        <v>-586.59400832698816</v>
      </c>
    </row>
    <row r="576" spans="2:15">
      <c r="B576">
        <v>568</v>
      </c>
      <c r="D576">
        <v>912.32882671103278</v>
      </c>
      <c r="E576">
        <v>1394.4703010106787</v>
      </c>
      <c r="F576">
        <v>0.68823588917989864</v>
      </c>
      <c r="G576">
        <v>0.71834535074130901</v>
      </c>
      <c r="H576" s="3">
        <v>396.713635062972</v>
      </c>
      <c r="I576" s="3">
        <v>2.1249384490447616E-2</v>
      </c>
      <c r="J576" s="3">
        <v>1.4137027372990163E-3</v>
      </c>
      <c r="K576" s="1">
        <v>8.0255966550152168E-3</v>
      </c>
      <c r="L576" s="1">
        <v>-168.71008768732003</v>
      </c>
      <c r="M576" s="1">
        <v>-197.06162365621009</v>
      </c>
      <c r="N576" s="1">
        <v>-365.77171134353011</v>
      </c>
      <c r="O576" s="1">
        <v>-365.77171134353011</v>
      </c>
    </row>
    <row r="577" spans="2:15">
      <c r="B577">
        <v>569</v>
      </c>
      <c r="D577">
        <v>1027.3511679243509</v>
      </c>
      <c r="E577">
        <v>1479.2804898277438</v>
      </c>
      <c r="F577">
        <v>0.69055809201308893</v>
      </c>
      <c r="G577">
        <v>0.72524515549618285</v>
      </c>
      <c r="H577" s="3">
        <v>366.93082093118113</v>
      </c>
      <c r="I577" s="3">
        <v>2.3744174656172113E-2</v>
      </c>
      <c r="J577" s="3">
        <v>5.3976336096130603E-3</v>
      </c>
      <c r="K577" s="1">
        <v>1.1513147291799411E-2</v>
      </c>
      <c r="L577" s="1">
        <v>-495.5468271863644</v>
      </c>
      <c r="M577" s="1">
        <v>-331.3106830374312</v>
      </c>
      <c r="N577" s="1">
        <v>-826.85751022379554</v>
      </c>
      <c r="O577" s="1">
        <v>-826.85751022379554</v>
      </c>
    </row>
    <row r="578" spans="2:15">
      <c r="B578">
        <v>570</v>
      </c>
      <c r="D578">
        <v>858.11438364783271</v>
      </c>
      <c r="E578">
        <v>1325.5642848992613</v>
      </c>
      <c r="F578">
        <v>0.68991470435712166</v>
      </c>
      <c r="G578">
        <v>0.73198072042100393</v>
      </c>
      <c r="H578" s="3">
        <v>387.13137833609505</v>
      </c>
      <c r="I578" s="3">
        <v>3.0295029855542364E-2</v>
      </c>
      <c r="J578" s="3">
        <v>1.0938460938737612E-2</v>
      </c>
      <c r="K578" s="1">
        <v>1.7390650577672528E-2</v>
      </c>
      <c r="L578" s="1">
        <v>-323.32934556689588</v>
      </c>
      <c r="M578" s="1">
        <v>-357.39699350412917</v>
      </c>
      <c r="N578" s="1">
        <v>-680.726339071025</v>
      </c>
      <c r="O578" s="1">
        <v>-680.726339071025</v>
      </c>
    </row>
    <row r="579" spans="2:15">
      <c r="B579">
        <v>571</v>
      </c>
      <c r="D579">
        <v>797.8333015326474</v>
      </c>
      <c r="E579">
        <v>1290.1456492148216</v>
      </c>
      <c r="F579">
        <v>0.68737542180083011</v>
      </c>
      <c r="G579">
        <v>0.72124289952418086</v>
      </c>
      <c r="H579" s="3">
        <v>388.00150384351718</v>
      </c>
      <c r="I579" s="3">
        <v>2.2608911870171531E-2</v>
      </c>
      <c r="J579" s="3">
        <v>3.2088366779956731E-3</v>
      </c>
      <c r="K579" s="1">
        <v>9.6755284087209573E-3</v>
      </c>
      <c r="L579" s="1">
        <v>-158.57001685915009</v>
      </c>
      <c r="M579" s="1">
        <v>-254.57839754413806</v>
      </c>
      <c r="N579" s="1">
        <v>-413.1484144032882</v>
      </c>
      <c r="O579" s="1">
        <v>-413.14841440328814</v>
      </c>
    </row>
    <row r="580" spans="2:15">
      <c r="B580">
        <v>572</v>
      </c>
      <c r="D580">
        <v>895.06674315887847</v>
      </c>
      <c r="E580">
        <v>1408.2364200790278</v>
      </c>
      <c r="F580">
        <v>0.69456151972868552</v>
      </c>
      <c r="G580">
        <v>0.72883078867066564</v>
      </c>
      <c r="H580" s="3">
        <v>400.39571147694784</v>
      </c>
      <c r="I580" s="3">
        <v>2.2889235406667565E-2</v>
      </c>
      <c r="J580" s="3">
        <v>2.8694498328201735E-3</v>
      </c>
      <c r="K580" s="1">
        <v>9.5427116907693035E-3</v>
      </c>
      <c r="L580" s="1">
        <v>-259.16360651308145</v>
      </c>
      <c r="M580" s="1">
        <v>-351.14789626270795</v>
      </c>
      <c r="N580" s="1">
        <v>-610.31150277578945</v>
      </c>
      <c r="O580" s="1">
        <v>-610.31150277578945</v>
      </c>
    </row>
    <row r="581" spans="2:15">
      <c r="B581">
        <v>573</v>
      </c>
      <c r="D581">
        <v>944.72962684833988</v>
      </c>
      <c r="E581">
        <v>1445.0913925134898</v>
      </c>
      <c r="F581">
        <v>0.69473547918681688</v>
      </c>
      <c r="G581">
        <v>0.7241503586120851</v>
      </c>
      <c r="H581" s="3">
        <v>408.8538206042233</v>
      </c>
      <c r="I581" s="3">
        <v>2.1302753727346763E-2</v>
      </c>
      <c r="J581" s="3">
        <v>8.6006269713559749E-4</v>
      </c>
      <c r="K581" s="1">
        <v>7.6742930405393206E-3</v>
      </c>
      <c r="L581" s="1">
        <v>-95.2671153911716</v>
      </c>
      <c r="M581" s="1">
        <v>-357.22854380948468</v>
      </c>
      <c r="N581" s="1">
        <v>-452.49565920065629</v>
      </c>
      <c r="O581" s="1">
        <v>-452.49565920065629</v>
      </c>
    </row>
    <row r="582" spans="2:15">
      <c r="B582">
        <v>574</v>
      </c>
      <c r="D582">
        <v>913.79341873470628</v>
      </c>
      <c r="E582">
        <v>1346.5014508750646</v>
      </c>
      <c r="F582">
        <v>0.67988556882130335</v>
      </c>
      <c r="G582">
        <v>0.72225134494113008</v>
      </c>
      <c r="H582" s="3">
        <v>351.33711337161128</v>
      </c>
      <c r="I582" s="3">
        <v>2.9226698936800553E-2</v>
      </c>
      <c r="J582" s="3">
        <v>1.1659843268219987E-2</v>
      </c>
      <c r="K582" s="1">
        <v>1.7515461824413509E-2</v>
      </c>
      <c r="L582" s="1">
        <v>-350.27473782180709</v>
      </c>
      <c r="M582" s="1">
        <v>-435.48430447842441</v>
      </c>
      <c r="N582" s="1">
        <v>-785.75904230023161</v>
      </c>
      <c r="O582" s="1">
        <v>-785.7590423002315</v>
      </c>
    </row>
    <row r="583" spans="2:15">
      <c r="B583">
        <v>575</v>
      </c>
      <c r="D583">
        <v>1014.258168722607</v>
      </c>
      <c r="E583">
        <v>1473.4597525378877</v>
      </c>
      <c r="F583">
        <v>0.68869704669201326</v>
      </c>
      <c r="G583">
        <v>0.72430199222060321</v>
      </c>
      <c r="H583" s="3">
        <v>368.64519792807801</v>
      </c>
      <c r="I583" s="3">
        <v>2.5120866080174387E-2</v>
      </c>
      <c r="J583" s="3">
        <v>6.6886061837704847E-3</v>
      </c>
      <c r="K583" s="1">
        <v>1.2832692815905119E-2</v>
      </c>
      <c r="L583" s="1">
        <v>-158.88183145760277</v>
      </c>
      <c r="M583" s="1">
        <v>-445.85246946595174</v>
      </c>
      <c r="N583" s="1">
        <v>-604.73430092355443</v>
      </c>
      <c r="O583" s="1">
        <v>-604.73430092355454</v>
      </c>
    </row>
    <row r="584" spans="2:15">
      <c r="B584">
        <v>576</v>
      </c>
      <c r="D584">
        <v>886.07409160709039</v>
      </c>
      <c r="E584">
        <v>1382.3893759424841</v>
      </c>
      <c r="F584">
        <v>0.69269474087179517</v>
      </c>
      <c r="G584">
        <v>0.71792317680365414</v>
      </c>
      <c r="H584" s="3">
        <v>410.68136681419708</v>
      </c>
      <c r="I584" s="3">
        <v>1.8277767061225136E-2</v>
      </c>
      <c r="J584" s="3">
        <v>-2.2563012794847188E-3</v>
      </c>
      <c r="K584" s="1">
        <v>4.5883881674185674E-3</v>
      </c>
      <c r="L584" s="1">
        <v>-224.15556780474924</v>
      </c>
      <c r="M584" s="1">
        <v>-443.19319935899631</v>
      </c>
      <c r="N584" s="1">
        <v>-667.34876716374549</v>
      </c>
      <c r="O584" s="1">
        <v>-667.34876716374561</v>
      </c>
    </row>
    <row r="585" spans="2:15">
      <c r="B585">
        <v>577</v>
      </c>
      <c r="D585">
        <v>919.2075931786153</v>
      </c>
      <c r="E585">
        <v>1372.0831726793754</v>
      </c>
      <c r="F585">
        <v>0.70232983732072518</v>
      </c>
      <c r="G585">
        <v>0.73505377039681641</v>
      </c>
      <c r="H585" s="3">
        <v>377.3477498998169</v>
      </c>
      <c r="I585" s="3">
        <v>2.4257625036475178E-2</v>
      </c>
      <c r="J585" s="3">
        <v>5.3902375414843356E-3</v>
      </c>
      <c r="K585" s="1">
        <v>1.1679366706481283E-2</v>
      </c>
      <c r="L585" s="1">
        <v>-256.77532196651362</v>
      </c>
      <c r="M585" s="1">
        <v>-330.82145718877575</v>
      </c>
      <c r="N585" s="1">
        <v>-587.59677915528937</v>
      </c>
      <c r="O585" s="1">
        <v>-587.59677915528937</v>
      </c>
    </row>
    <row r="586" spans="2:15">
      <c r="B586">
        <v>578</v>
      </c>
      <c r="D586">
        <v>917.78966588179492</v>
      </c>
      <c r="E586">
        <v>1434.0829990432217</v>
      </c>
      <c r="F586">
        <v>0.69071047059570367</v>
      </c>
      <c r="G586">
        <v>0.72100255587099882</v>
      </c>
      <c r="H586" s="3">
        <v>409.7741010669256</v>
      </c>
      <c r="I586" s="3">
        <v>2.1575633059756863E-2</v>
      </c>
      <c r="J586" s="3">
        <v>1.0869280064105848E-3</v>
      </c>
      <c r="K586" s="1">
        <v>7.9164963575260091E-3</v>
      </c>
      <c r="L586" s="1">
        <v>-311.50812579062239</v>
      </c>
      <c r="M586" s="1">
        <v>-325.36445869566234</v>
      </c>
      <c r="N586" s="1">
        <v>-636.87258448628472</v>
      </c>
      <c r="O586" s="1">
        <v>-636.87258448628472</v>
      </c>
    </row>
    <row r="587" spans="2:15">
      <c r="B587">
        <v>579</v>
      </c>
      <c r="D587">
        <v>1012.5778270036303</v>
      </c>
      <c r="E587">
        <v>1519.6279711060811</v>
      </c>
      <c r="F587">
        <v>0.69701163011424583</v>
      </c>
      <c r="G587">
        <v>0.72861107457102348</v>
      </c>
      <c r="H587" s="3">
        <v>392.60948624746948</v>
      </c>
      <c r="I587" s="3">
        <v>2.1101184901464769E-2</v>
      </c>
      <c r="J587" s="3">
        <v>1.4707105890912932E-3</v>
      </c>
      <c r="K587" s="1">
        <v>8.0142020265491186E-3</v>
      </c>
      <c r="L587" s="1">
        <v>-259.50315581589564</v>
      </c>
      <c r="M587" s="1">
        <v>-360.06783629087886</v>
      </c>
      <c r="N587" s="1">
        <v>-619.5709921067745</v>
      </c>
      <c r="O587" s="1">
        <v>-619.5709921067745</v>
      </c>
    </row>
    <row r="588" spans="2:15">
      <c r="B588">
        <v>580</v>
      </c>
      <c r="D588">
        <v>898.38444405640951</v>
      </c>
      <c r="E588">
        <v>1383.5987676345419</v>
      </c>
      <c r="F588">
        <v>0.68478983550461248</v>
      </c>
      <c r="G588">
        <v>0.7126062819745872</v>
      </c>
      <c r="H588" s="3">
        <v>394.89124734205035</v>
      </c>
      <c r="I588" s="3">
        <v>2.0535240569871414E-2</v>
      </c>
      <c r="J588" s="3">
        <v>7.9067820276889494E-4</v>
      </c>
      <c r="K588" s="1">
        <v>7.3721989918030684E-3</v>
      </c>
      <c r="L588" s="1">
        <v>-326.16317809951113</v>
      </c>
      <c r="M588" s="1">
        <v>-428.73442415594593</v>
      </c>
      <c r="N588" s="1">
        <v>-754.89760225545706</v>
      </c>
      <c r="O588" s="1">
        <v>-754.89760225545706</v>
      </c>
    </row>
    <row r="589" spans="2:15">
      <c r="B589">
        <v>581</v>
      </c>
      <c r="D589">
        <v>771.65785943317621</v>
      </c>
      <c r="E589">
        <v>1290.2526050810293</v>
      </c>
      <c r="F589">
        <v>0.68226907245301593</v>
      </c>
      <c r="G589">
        <v>0.7241346316107421</v>
      </c>
      <c r="H589" s="3">
        <v>420.13812774890414</v>
      </c>
      <c r="I589" s="3">
        <v>3.0440470955210807E-2</v>
      </c>
      <c r="J589" s="3">
        <v>9.4335645677655969E-3</v>
      </c>
      <c r="K589" s="1">
        <v>1.6435866696913999E-2</v>
      </c>
      <c r="L589" s="1">
        <v>-367.83901997948055</v>
      </c>
      <c r="M589" s="1">
        <v>-470.24675509232429</v>
      </c>
      <c r="N589" s="1">
        <v>-838.08577507180485</v>
      </c>
      <c r="O589" s="1">
        <v>-838.08577507180485</v>
      </c>
    </row>
    <row r="590" spans="2:15">
      <c r="B590">
        <v>582</v>
      </c>
      <c r="D590">
        <v>1065.6040330103906</v>
      </c>
      <c r="E590">
        <v>1548.3260667695567</v>
      </c>
      <c r="F590">
        <v>0.68526175523815303</v>
      </c>
      <c r="G590">
        <v>0.72617494297600083</v>
      </c>
      <c r="H590" s="3">
        <v>392.92158045997689</v>
      </c>
      <c r="I590" s="3">
        <v>2.8322035826893639E-2</v>
      </c>
      <c r="J590" s="3">
        <v>8.675956803894793E-3</v>
      </c>
      <c r="K590" s="1">
        <v>1.5224649811561077E-2</v>
      </c>
      <c r="L590" s="1">
        <v>-320.09364271700173</v>
      </c>
      <c r="M590" s="1">
        <v>-284.39205580829287</v>
      </c>
      <c r="N590" s="1">
        <v>-604.48569852529465</v>
      </c>
      <c r="O590" s="1">
        <v>-604.48569852529454</v>
      </c>
    </row>
    <row r="591" spans="2:15">
      <c r="B591">
        <v>583</v>
      </c>
      <c r="D591">
        <v>971.90995713381471</v>
      </c>
      <c r="E591">
        <v>1459.3542547938746</v>
      </c>
      <c r="F591">
        <v>0.69816541123683329</v>
      </c>
      <c r="G591">
        <v>0.72557773164970996</v>
      </c>
      <c r="H591" s="3">
        <v>395.83317346388014</v>
      </c>
      <c r="I591" s="3">
        <v>1.9247564218315076E-2</v>
      </c>
      <c r="J591" s="3">
        <v>-5.4409445487893157E-4</v>
      </c>
      <c r="K591" s="1">
        <v>6.0531251028524049E-3</v>
      </c>
      <c r="L591" s="1">
        <v>-221.63440248997176</v>
      </c>
      <c r="M591" s="1">
        <v>-350.37211113311417</v>
      </c>
      <c r="N591" s="1">
        <v>-572.00651362308577</v>
      </c>
      <c r="O591" s="1">
        <v>-572.00651362308599</v>
      </c>
    </row>
    <row r="592" spans="2:15">
      <c r="B592">
        <v>584</v>
      </c>
      <c r="D592">
        <v>772.24824947823538</v>
      </c>
      <c r="E592">
        <v>1291.8515097796603</v>
      </c>
      <c r="F592">
        <v>0.69540764207966921</v>
      </c>
      <c r="G592">
        <v>0.72092156175010202</v>
      </c>
      <c r="H592" s="3">
        <v>429.57675854098693</v>
      </c>
      <c r="I592" s="3">
        <v>1.8749332372559432E-2</v>
      </c>
      <c r="J592" s="3">
        <v>-2.7295055544899124E-3</v>
      </c>
      <c r="K592" s="1">
        <v>4.4301070878598695E-3</v>
      </c>
      <c r="L592" s="1">
        <v>-339.13493517091621</v>
      </c>
      <c r="M592" s="1">
        <v>-488.09232245768169</v>
      </c>
      <c r="N592" s="1">
        <v>-827.22725762859784</v>
      </c>
      <c r="O592" s="1">
        <v>-827.22725762859795</v>
      </c>
    </row>
    <row r="593" spans="2:15">
      <c r="B593">
        <v>585</v>
      </c>
      <c r="D593">
        <v>953.8466357248393</v>
      </c>
      <c r="E593">
        <v>1427.9075879958848</v>
      </c>
      <c r="F593">
        <v>0.67499604352232134</v>
      </c>
      <c r="G593">
        <v>0.71343834081768653</v>
      </c>
      <c r="H593" s="3">
        <v>392.27600912889096</v>
      </c>
      <c r="I593" s="3">
        <v>2.8583058005122959E-2</v>
      </c>
      <c r="J593" s="3">
        <v>8.9692575486784096E-3</v>
      </c>
      <c r="K593" s="1">
        <v>1.5507191034159927E-2</v>
      </c>
      <c r="L593" s="1">
        <v>-306.59244196893627</v>
      </c>
      <c r="M593" s="1">
        <v>-334.36183847275385</v>
      </c>
      <c r="N593" s="1">
        <v>-640.95428044169023</v>
      </c>
      <c r="O593" s="1">
        <v>-640.95428044169012</v>
      </c>
    </row>
    <row r="594" spans="2:15">
      <c r="B594">
        <v>586</v>
      </c>
      <c r="D594">
        <v>882.26056825501371</v>
      </c>
      <c r="E594">
        <v>1371.3934753501608</v>
      </c>
      <c r="F594">
        <v>0.68994067094092526</v>
      </c>
      <c r="G594">
        <v>0.72471071082405136</v>
      </c>
      <c r="H594" s="3">
        <v>408.02764368333845</v>
      </c>
      <c r="I594" s="3">
        <v>2.538508749969616E-2</v>
      </c>
      <c r="J594" s="3">
        <v>4.9837053155292396E-3</v>
      </c>
      <c r="K594" s="1">
        <v>1.1784166043584881E-2</v>
      </c>
      <c r="L594" s="1">
        <v>-88.051331733623996</v>
      </c>
      <c r="M594" s="1">
        <v>-159.17903828370612</v>
      </c>
      <c r="N594" s="1">
        <v>-247.23037001733005</v>
      </c>
      <c r="O594" s="1">
        <v>-247.23037001733013</v>
      </c>
    </row>
    <row r="595" spans="2:15">
      <c r="B595">
        <v>587</v>
      </c>
      <c r="D595">
        <v>961.25145279788671</v>
      </c>
      <c r="E595">
        <v>1435.7400466701008</v>
      </c>
      <c r="F595">
        <v>0.68795624363357533</v>
      </c>
      <c r="G595">
        <v>0.7150855004434119</v>
      </c>
      <c r="H595" s="3">
        <v>379.55703851055318</v>
      </c>
      <c r="I595" s="3">
        <v>1.8971479457321024E-2</v>
      </c>
      <c r="J595" s="3">
        <v>-6.372468206634202E-6</v>
      </c>
      <c r="K595" s="1">
        <v>6.3195781736359175E-3</v>
      </c>
      <c r="L595" s="1">
        <v>54.51127939054652</v>
      </c>
      <c r="M595" s="1">
        <v>-214.15342450694152</v>
      </c>
      <c r="N595" s="1">
        <v>-159.642145116395</v>
      </c>
      <c r="O595" s="1">
        <v>-159.642145116395</v>
      </c>
    </row>
    <row r="596" spans="2:15">
      <c r="B596">
        <v>588</v>
      </c>
      <c r="D596">
        <v>889.21064681413986</v>
      </c>
      <c r="E596">
        <v>1352.5969482357184</v>
      </c>
      <c r="F596">
        <v>0.70091491369909753</v>
      </c>
      <c r="G596">
        <v>0.73396210081445845</v>
      </c>
      <c r="H596" s="3">
        <v>382.79069734876168</v>
      </c>
      <c r="I596" s="3">
        <v>2.3840933952590227E-2</v>
      </c>
      <c r="J596" s="3">
        <v>4.7013990851521442E-3</v>
      </c>
      <c r="K596" s="1">
        <v>1.1081244040964838E-2</v>
      </c>
      <c r="L596" s="1">
        <v>-255.2342680681196</v>
      </c>
      <c r="M596" s="1">
        <v>-244.43190525683551</v>
      </c>
      <c r="N596" s="1">
        <v>-499.66617332495525</v>
      </c>
      <c r="O596" s="1">
        <v>-499.66617332495514</v>
      </c>
    </row>
    <row r="597" spans="2:15">
      <c r="B597">
        <v>589</v>
      </c>
      <c r="D597">
        <v>881.12467981013833</v>
      </c>
      <c r="E597">
        <v>1389.9163815579286</v>
      </c>
      <c r="F597">
        <v>0.70510950637440506</v>
      </c>
      <c r="G597">
        <v>0.72471705953634535</v>
      </c>
      <c r="H597" s="3">
        <v>425.16116663597006</v>
      </c>
      <c r="I597" s="3">
        <v>1.4709793939950611E-2</v>
      </c>
      <c r="J597" s="3">
        <v>-6.5482643918478908E-3</v>
      </c>
      <c r="K597" s="1">
        <v>5.377550520849414E-4</v>
      </c>
      <c r="L597" s="1">
        <v>-264.54059746102484</v>
      </c>
      <c r="M597" s="1">
        <v>-359.59258673792806</v>
      </c>
      <c r="N597" s="1">
        <v>-624.1331841989529</v>
      </c>
      <c r="O597" s="1">
        <v>-624.1331841989529</v>
      </c>
    </row>
    <row r="598" spans="2:15">
      <c r="B598">
        <v>590</v>
      </c>
      <c r="D598">
        <v>1048.3812123272496</v>
      </c>
      <c r="E598">
        <v>1558.0312503918494</v>
      </c>
      <c r="F598">
        <v>0.69276535792381377</v>
      </c>
      <c r="G598">
        <v>0.71597848211117199</v>
      </c>
      <c r="H598" s="3">
        <v>433.50313515258</v>
      </c>
      <c r="I598" s="3">
        <v>1.7822906708970757E-2</v>
      </c>
      <c r="J598" s="3">
        <v>-3.8522500486582421E-3</v>
      </c>
      <c r="K598" s="1">
        <v>3.3728022038847557E-3</v>
      </c>
      <c r="L598" s="1">
        <v>-133.611729220114</v>
      </c>
      <c r="M598" s="1">
        <v>-433.01132923592832</v>
      </c>
      <c r="N598" s="1">
        <v>-566.62305845604249</v>
      </c>
      <c r="O598" s="1">
        <v>-566.62305845604237</v>
      </c>
    </row>
    <row r="599" spans="2:15">
      <c r="B599">
        <v>591</v>
      </c>
      <c r="D599">
        <v>916.76054704740557</v>
      </c>
      <c r="E599">
        <v>1447.9109883947083</v>
      </c>
      <c r="F599">
        <v>0.69497657676454039</v>
      </c>
      <c r="G599">
        <v>0.72309786052059244</v>
      </c>
      <c r="H599" s="3">
        <v>426.11207999209631</v>
      </c>
      <c r="I599" s="3">
        <v>2.022797389221808E-2</v>
      </c>
      <c r="J599" s="3">
        <v>-1.0776301073867345E-3</v>
      </c>
      <c r="K599" s="1">
        <v>6.0242378924815366E-3</v>
      </c>
      <c r="L599" s="1">
        <v>-420.81173741635155</v>
      </c>
      <c r="M599" s="1">
        <v>-345.45433542055355</v>
      </c>
      <c r="N599" s="1">
        <v>-766.2660728369051</v>
      </c>
      <c r="O599" s="1">
        <v>-766.2660728369051</v>
      </c>
    </row>
    <row r="600" spans="2:15">
      <c r="B600">
        <v>592</v>
      </c>
      <c r="D600">
        <v>1085.8995681102058</v>
      </c>
      <c r="E600">
        <v>1553.1448131460393</v>
      </c>
      <c r="F600">
        <v>0.70178183007979433</v>
      </c>
      <c r="G600">
        <v>0.72924205195687575</v>
      </c>
      <c r="H600" s="3">
        <v>390.84680826925211</v>
      </c>
      <c r="I600" s="3">
        <v>1.9647046462900258E-2</v>
      </c>
      <c r="J600" s="3">
        <v>1.0470604943765144E-4</v>
      </c>
      <c r="K600" s="1">
        <v>6.6188195205918541E-3</v>
      </c>
      <c r="L600" s="1">
        <v>-207.49071526669707</v>
      </c>
      <c r="M600" s="1">
        <v>-277.39422088978449</v>
      </c>
      <c r="N600" s="1">
        <v>-484.88493615648156</v>
      </c>
      <c r="O600" s="1">
        <v>-484.88493615648156</v>
      </c>
    </row>
    <row r="601" spans="2:15">
      <c r="B601">
        <v>593</v>
      </c>
      <c r="D601">
        <v>816.03912922432608</v>
      </c>
      <c r="E601">
        <v>1306.7033922313819</v>
      </c>
      <c r="F601">
        <v>0.69244273888199115</v>
      </c>
      <c r="G601">
        <v>0.71914398217399311</v>
      </c>
      <c r="H601" s="3">
        <v>395.62690755344238</v>
      </c>
      <c r="I601" s="3">
        <v>1.8458417066150059E-2</v>
      </c>
      <c r="J601" s="3">
        <v>-1.3229283115220591E-3</v>
      </c>
      <c r="K601" s="1">
        <v>5.270853481035313E-3</v>
      </c>
      <c r="L601" s="1">
        <v>-306.46912916642543</v>
      </c>
      <c r="M601" s="1">
        <v>-218.32780293476199</v>
      </c>
      <c r="N601" s="1">
        <v>-524.79693210118751</v>
      </c>
      <c r="O601" s="1">
        <v>-524.79693210118739</v>
      </c>
    </row>
    <row r="602" spans="2:15">
      <c r="B602">
        <v>594</v>
      </c>
      <c r="D602">
        <v>812.2877707372445</v>
      </c>
      <c r="E602">
        <v>1306.064073534608</v>
      </c>
      <c r="F602">
        <v>0.68695866804629424</v>
      </c>
      <c r="G602">
        <v>0.72759843590180762</v>
      </c>
      <c r="H602" s="3">
        <v>427.0863401410823</v>
      </c>
      <c r="I602" s="3">
        <v>3.1649674762965582E-2</v>
      </c>
      <c r="J602" s="3">
        <v>1.0295357755911467E-2</v>
      </c>
      <c r="K602" s="1">
        <v>1.7413463424929505E-2</v>
      </c>
      <c r="L602" s="1">
        <v>-544.03616795568689</v>
      </c>
      <c r="M602" s="1">
        <v>-394.57145468797785</v>
      </c>
      <c r="N602" s="1">
        <v>-938.60762264366485</v>
      </c>
      <c r="O602" s="1">
        <v>-938.60762264366474</v>
      </c>
    </row>
    <row r="603" spans="2:15">
      <c r="B603">
        <v>595</v>
      </c>
      <c r="D603">
        <v>1042.109591685434</v>
      </c>
      <c r="E603">
        <v>1470.0652659080063</v>
      </c>
      <c r="F603">
        <v>0.69050757823287257</v>
      </c>
      <c r="G603">
        <v>0.73018657753889082</v>
      </c>
      <c r="H603" s="3">
        <v>347.11203645742245</v>
      </c>
      <c r="I603" s="3">
        <v>2.7187424210256193E-2</v>
      </c>
      <c r="J603" s="3">
        <v>9.8318223873850724E-3</v>
      </c>
      <c r="K603" s="1">
        <v>1.561702299500878E-2</v>
      </c>
      <c r="L603" s="1">
        <v>-108.83383287303366</v>
      </c>
      <c r="M603" s="1">
        <v>-252.02114663648072</v>
      </c>
      <c r="N603" s="1">
        <v>-360.85497950951435</v>
      </c>
      <c r="O603" s="1">
        <v>-360.85497950951435</v>
      </c>
    </row>
    <row r="604" spans="2:15">
      <c r="B604">
        <v>596</v>
      </c>
      <c r="D604">
        <v>894.94430111498036</v>
      </c>
      <c r="E604">
        <v>1367.4841440296825</v>
      </c>
      <c r="F604">
        <v>0.68569345028479556</v>
      </c>
      <c r="G604">
        <v>0.71650687907572796</v>
      </c>
      <c r="H604" s="3">
        <v>395.71715426603311</v>
      </c>
      <c r="I604" s="3">
        <v>2.2948036834227595E-2</v>
      </c>
      <c r="J604" s="3">
        <v>3.1621791209259405E-3</v>
      </c>
      <c r="K604" s="1">
        <v>9.7574650253598252E-3</v>
      </c>
      <c r="L604" s="1">
        <v>-151.98186037259069</v>
      </c>
      <c r="M604" s="1">
        <v>-370.68639020702415</v>
      </c>
      <c r="N604" s="1">
        <v>-522.66825057961501</v>
      </c>
      <c r="O604" s="1">
        <v>-522.66825057961478</v>
      </c>
    </row>
    <row r="605" spans="2:15">
      <c r="B605">
        <v>597</v>
      </c>
      <c r="D605">
        <v>799.23147482256923</v>
      </c>
      <c r="E605">
        <v>1291.1908298547071</v>
      </c>
      <c r="F605">
        <v>0.69735590820297655</v>
      </c>
      <c r="G605">
        <v>0.73788138482102539</v>
      </c>
      <c r="H605" s="3">
        <v>413.45214138093354</v>
      </c>
      <c r="I605" s="3">
        <v>3.024122057142432E-2</v>
      </c>
      <c r="J605" s="3">
        <v>9.5686135023776465E-3</v>
      </c>
      <c r="K605" s="1">
        <v>1.6459482525393206E-2</v>
      </c>
      <c r="L605" s="1">
        <v>-407.02181102781384</v>
      </c>
      <c r="M605" s="1">
        <v>-314.46044272105337</v>
      </c>
      <c r="N605" s="1">
        <v>-721.48225374886715</v>
      </c>
      <c r="O605" s="1">
        <v>-721.48225374886715</v>
      </c>
    </row>
    <row r="606" spans="2:15">
      <c r="B606">
        <v>598</v>
      </c>
      <c r="D606">
        <v>1063.5130951913332</v>
      </c>
      <c r="E606">
        <v>1549.4836523445861</v>
      </c>
      <c r="F606">
        <v>0.67852027809817339</v>
      </c>
      <c r="G606">
        <v>0.70263850872744427</v>
      </c>
      <c r="H606" s="3">
        <v>382.94782271511423</v>
      </c>
      <c r="I606" s="3">
        <v>1.6366759489686574E-2</v>
      </c>
      <c r="J606" s="3">
        <v>-2.7806316460691378E-3</v>
      </c>
      <c r="K606" s="1">
        <v>3.6018320658494328E-3</v>
      </c>
      <c r="L606" s="1">
        <v>-226.90817793596409</v>
      </c>
      <c r="M606" s="1">
        <v>-434.14101451873881</v>
      </c>
      <c r="N606" s="1">
        <v>-661.04919245470296</v>
      </c>
      <c r="O606" s="1">
        <v>-661.04919245470296</v>
      </c>
    </row>
    <row r="607" spans="2:15">
      <c r="B607">
        <v>599</v>
      </c>
      <c r="D607">
        <v>878.59096295975382</v>
      </c>
      <c r="E607">
        <v>1362.4830011198992</v>
      </c>
      <c r="F607">
        <v>0.70135533680408424</v>
      </c>
      <c r="G607">
        <v>0.72575567791631124</v>
      </c>
      <c r="H607" s="3">
        <v>393.52432798912321</v>
      </c>
      <c r="I607" s="3">
        <v>1.7159482593500544E-2</v>
      </c>
      <c r="J607" s="3">
        <v>-2.5167338059556149E-3</v>
      </c>
      <c r="K607" s="1">
        <v>4.042004993863103E-3</v>
      </c>
      <c r="L607" s="1">
        <v>-122.89937559834287</v>
      </c>
      <c r="M607" s="1">
        <v>-311.4080372477834</v>
      </c>
      <c r="N607" s="1">
        <v>-434.30741284612617</v>
      </c>
      <c r="O607" s="1">
        <v>-434.30741284612628</v>
      </c>
    </row>
    <row r="608" spans="2:15">
      <c r="B608">
        <v>600</v>
      </c>
      <c r="D608">
        <v>701.32165985301708</v>
      </c>
      <c r="E608">
        <v>1197.0056011306071</v>
      </c>
      <c r="F608">
        <v>0.69849310094810546</v>
      </c>
      <c r="G608">
        <v>0.73102146087359354</v>
      </c>
      <c r="H608" s="3">
        <v>411.05379090611478</v>
      </c>
      <c r="I608" s="3">
        <v>2.3574927822825067E-2</v>
      </c>
      <c r="J608" s="3">
        <v>3.022238277519327E-3</v>
      </c>
      <c r="K608" s="1">
        <v>9.8731347926212416E-3</v>
      </c>
      <c r="L608" s="1">
        <v>-532.11457127605763</v>
      </c>
      <c r="M608" s="1">
        <v>-473.25422724019427</v>
      </c>
      <c r="N608" s="1">
        <v>-1005.3687985162519</v>
      </c>
      <c r="O608" s="1">
        <v>-1005.3687985162519</v>
      </c>
    </row>
    <row r="609" spans="2:15">
      <c r="B609">
        <v>601</v>
      </c>
      <c r="D609">
        <v>976.99020525053584</v>
      </c>
      <c r="E609">
        <v>1503.4039532746356</v>
      </c>
      <c r="F609">
        <v>0.69086672037118801</v>
      </c>
      <c r="G609">
        <v>0.72290454545222749</v>
      </c>
      <c r="H609" s="3">
        <v>419.6330895332535</v>
      </c>
      <c r="I609" s="3">
        <v>2.2310056273289882E-2</v>
      </c>
      <c r="J609" s="3">
        <v>1.3284017966272085E-3</v>
      </c>
      <c r="K609" s="1">
        <v>8.3222866221814313E-3</v>
      </c>
      <c r="L609" s="1">
        <v>-329.0671896084686</v>
      </c>
      <c r="M609" s="1">
        <v>-181.61538332012654</v>
      </c>
      <c r="N609" s="1">
        <v>-510.68257292859516</v>
      </c>
      <c r="O609" s="1">
        <v>-510.68257292859516</v>
      </c>
    </row>
    <row r="610" spans="2:15">
      <c r="B610">
        <v>602</v>
      </c>
      <c r="D610">
        <v>837.20083585788655</v>
      </c>
      <c r="E610">
        <v>1345.0184273260111</v>
      </c>
      <c r="F610">
        <v>0.69971697136971067</v>
      </c>
      <c r="G610">
        <v>0.72644651411540195</v>
      </c>
      <c r="H610" s="3">
        <v>407.28766869517284</v>
      </c>
      <c r="I610" s="3">
        <v>1.8184187487648207E-2</v>
      </c>
      <c r="J610" s="3">
        <v>-2.1801959471104346E-3</v>
      </c>
      <c r="K610" s="1">
        <v>4.60793186447578E-3</v>
      </c>
      <c r="L610" s="1">
        <v>-286.41070393182059</v>
      </c>
      <c r="M610" s="1">
        <v>-409.67310806953537</v>
      </c>
      <c r="N610" s="1">
        <v>-696.08381200135591</v>
      </c>
      <c r="O610" s="1">
        <v>-696.08381200135591</v>
      </c>
    </row>
    <row r="611" spans="2:15">
      <c r="B611">
        <v>603</v>
      </c>
      <c r="D611">
        <v>794.35815007362362</v>
      </c>
      <c r="E611">
        <v>1320.7381326450716</v>
      </c>
      <c r="F611">
        <v>0.69946070214275358</v>
      </c>
      <c r="G611">
        <v>0.71742097937941407</v>
      </c>
      <c r="H611" s="3">
        <v>436.30500520858675</v>
      </c>
      <c r="I611" s="3">
        <v>1.3445244101635447E-2</v>
      </c>
      <c r="J611" s="3">
        <v>-8.3700061587938922E-3</v>
      </c>
      <c r="K611" s="1">
        <v>-1.098256071984112E-3</v>
      </c>
      <c r="L611" s="1">
        <v>-24.62051964699598</v>
      </c>
      <c r="M611" s="1">
        <v>-437.51841321553155</v>
      </c>
      <c r="N611" s="1">
        <v>-462.1389328625275</v>
      </c>
      <c r="O611" s="1">
        <v>-462.13893286252755</v>
      </c>
    </row>
    <row r="612" spans="2:15">
      <c r="B612">
        <v>604</v>
      </c>
      <c r="D612">
        <v>782.87354621072495</v>
      </c>
      <c r="E612">
        <v>1297.2121060518623</v>
      </c>
      <c r="F612">
        <v>0.69673186196877024</v>
      </c>
      <c r="G612">
        <v>0.73551057532875574</v>
      </c>
      <c r="H612" s="3">
        <v>419.1822787102771</v>
      </c>
      <c r="I612" s="3">
        <v>2.7020487148785851E-2</v>
      </c>
      <c r="J612" s="3">
        <v>6.0613732132719991E-3</v>
      </c>
      <c r="K612" s="1">
        <v>1.3047744525109949E-2</v>
      </c>
      <c r="L612" s="1">
        <v>-360.53397323207128</v>
      </c>
      <c r="M612" s="1">
        <v>-351.82988048196881</v>
      </c>
      <c r="N612" s="1">
        <v>-712.36385371404003</v>
      </c>
      <c r="O612" s="1">
        <v>-712.36385371404003</v>
      </c>
    </row>
    <row r="613" spans="2:15">
      <c r="B613">
        <v>605</v>
      </c>
      <c r="D613">
        <v>784.7503359414884</v>
      </c>
      <c r="E613">
        <v>1262.926224870343</v>
      </c>
      <c r="F613">
        <v>0.67994513683802027</v>
      </c>
      <c r="G613">
        <v>0.71886745385725026</v>
      </c>
      <c r="H613" s="3">
        <v>401.3930668952857</v>
      </c>
      <c r="I613" s="3">
        <v>2.9022505851760874E-2</v>
      </c>
      <c r="J613" s="3">
        <v>8.9528525069965878E-3</v>
      </c>
      <c r="K613" s="1">
        <v>1.5642736955251348E-2</v>
      </c>
      <c r="L613" s="1">
        <v>-166.72265939966312</v>
      </c>
      <c r="M613" s="1">
        <v>-341.13791342641366</v>
      </c>
      <c r="N613" s="1">
        <v>-507.8605728260768</v>
      </c>
      <c r="O613" s="1">
        <v>-507.8605728260768</v>
      </c>
    </row>
    <row r="614" spans="2:15">
      <c r="B614">
        <v>606</v>
      </c>
      <c r="D614">
        <v>730.27693418838101</v>
      </c>
      <c r="E614">
        <v>1224.8399508238331</v>
      </c>
      <c r="F614">
        <v>0.68972004533038</v>
      </c>
      <c r="G614">
        <v>0.72711694944023797</v>
      </c>
      <c r="H614" s="3">
        <v>404.02284044915979</v>
      </c>
      <c r="I614" s="3">
        <v>2.7064746526077054E-2</v>
      </c>
      <c r="J614" s="3">
        <v>6.863604503619062E-3</v>
      </c>
      <c r="K614" s="1">
        <v>1.359731851110506E-2</v>
      </c>
      <c r="L614" s="1">
        <v>-215.68016864717168</v>
      </c>
      <c r="M614" s="1">
        <v>-377.16987641174939</v>
      </c>
      <c r="N614" s="1">
        <v>-592.85004505892107</v>
      </c>
      <c r="O614" s="1">
        <v>-592.85004505892107</v>
      </c>
    </row>
    <row r="615" spans="2:15">
      <c r="B615">
        <v>607</v>
      </c>
      <c r="D615">
        <v>841.42730475830888</v>
      </c>
      <c r="E615">
        <v>1321.6490141203808</v>
      </c>
      <c r="F615">
        <v>0.6985913907489586</v>
      </c>
      <c r="G615">
        <v>0.73479019192271355</v>
      </c>
      <c r="H615" s="3">
        <v>406.41184738896874</v>
      </c>
      <c r="I615" s="3">
        <v>2.6677054143722255E-2</v>
      </c>
      <c r="J615" s="3">
        <v>6.3564617742738194E-3</v>
      </c>
      <c r="K615" s="1">
        <v>1.3129992564089964E-2</v>
      </c>
      <c r="L615" s="1">
        <v>-230.09587611743194</v>
      </c>
      <c r="M615" s="1">
        <v>-337.79422266261463</v>
      </c>
      <c r="N615" s="1">
        <v>-567.89009878004663</v>
      </c>
      <c r="O615" s="1">
        <v>-567.89009878004663</v>
      </c>
    </row>
    <row r="616" spans="2:15">
      <c r="B616">
        <v>608</v>
      </c>
      <c r="D616">
        <v>1178.9180193142997</v>
      </c>
      <c r="E616">
        <v>1677.7577663836389</v>
      </c>
      <c r="F616">
        <v>0.69630872359495255</v>
      </c>
      <c r="G616">
        <v>0.72458516569712916</v>
      </c>
      <c r="H616" s="3">
        <v>400.38669115789583</v>
      </c>
      <c r="I616" s="3">
        <v>1.9535491507152773E-2</v>
      </c>
      <c r="J616" s="3">
        <v>-4.8384305074201939E-4</v>
      </c>
      <c r="K616" s="1">
        <v>6.1892684685562454E-3</v>
      </c>
      <c r="L616" s="1">
        <v>-379.77274600057842</v>
      </c>
      <c r="M616" s="1">
        <v>-385.51781282229894</v>
      </c>
      <c r="N616" s="1">
        <v>-765.2905588228773</v>
      </c>
      <c r="O616" s="1">
        <v>-765.2905588228773</v>
      </c>
    </row>
    <row r="617" spans="2:15">
      <c r="B617">
        <v>609</v>
      </c>
      <c r="D617">
        <v>900.17729129862778</v>
      </c>
      <c r="E617">
        <v>1327.9562145891466</v>
      </c>
      <c r="F617">
        <v>0.69076250661050964</v>
      </c>
      <c r="G617">
        <v>0.73761944186125794</v>
      </c>
      <c r="H617" s="3">
        <v>360.41260553947444</v>
      </c>
      <c r="I617" s="3">
        <v>3.4904929465936284E-2</v>
      </c>
      <c r="J617" s="3">
        <v>1.6884299188962563E-2</v>
      </c>
      <c r="K617" s="1">
        <v>2.2891175947953802E-2</v>
      </c>
      <c r="L617" s="1">
        <v>-293.11884123588897</v>
      </c>
      <c r="M617" s="1">
        <v>-374.59785458878889</v>
      </c>
      <c r="N617" s="1">
        <v>-667.7166958246778</v>
      </c>
      <c r="O617" s="1">
        <v>-667.7166958246778</v>
      </c>
    </row>
    <row r="618" spans="2:15">
      <c r="B618">
        <v>610</v>
      </c>
      <c r="D618">
        <v>771.8365613245162</v>
      </c>
      <c r="E618">
        <v>1241.0723755615134</v>
      </c>
      <c r="F618">
        <v>0.6951659497517928</v>
      </c>
      <c r="G618">
        <v>0.7345218998146833</v>
      </c>
      <c r="H618" s="3">
        <v>373.7471541177602</v>
      </c>
      <c r="I618" s="3">
        <v>2.6477340270645171E-2</v>
      </c>
      <c r="J618" s="3">
        <v>7.7899825647571655E-3</v>
      </c>
      <c r="K618" s="1">
        <v>1.4019101800053167E-2</v>
      </c>
      <c r="L618" s="1">
        <v>-158.23572031973862</v>
      </c>
      <c r="M618" s="1">
        <v>-312.93887130463276</v>
      </c>
      <c r="N618" s="1">
        <v>-471.17459162437132</v>
      </c>
      <c r="O618" s="1">
        <v>-471.17459162437137</v>
      </c>
    </row>
    <row r="619" spans="2:15">
      <c r="B619">
        <v>611</v>
      </c>
      <c r="D619">
        <v>926.67692215899444</v>
      </c>
      <c r="E619">
        <v>1389.5901291685923</v>
      </c>
      <c r="F619">
        <v>0.69223760249539945</v>
      </c>
      <c r="G619">
        <v>0.72553253095008619</v>
      </c>
      <c r="H619" s="3">
        <v>371.38924278380921</v>
      </c>
      <c r="I619" s="3">
        <v>2.2657445936076329E-2</v>
      </c>
      <c r="J619" s="3">
        <v>4.0879837968858697E-3</v>
      </c>
      <c r="K619" s="1">
        <v>1.0277804509949355E-2</v>
      </c>
      <c r="L619" s="1">
        <v>-334.98834309550807</v>
      </c>
      <c r="M619" s="1">
        <v>-288.28308945209494</v>
      </c>
      <c r="N619" s="1">
        <v>-623.27143254760301</v>
      </c>
      <c r="O619" s="1">
        <v>-623.27143254760301</v>
      </c>
    </row>
    <row r="620" spans="2:15">
      <c r="B620">
        <v>612</v>
      </c>
      <c r="D620">
        <v>875.72473623917972</v>
      </c>
      <c r="E620">
        <v>1342.7437929258892</v>
      </c>
      <c r="F620">
        <v>0.67917314425103559</v>
      </c>
      <c r="G620">
        <v>0.70930874125198817</v>
      </c>
      <c r="H620" s="3">
        <v>387.03297586557539</v>
      </c>
      <c r="I620" s="3">
        <v>2.2405331638568372E-2</v>
      </c>
      <c r="J620" s="3">
        <v>3.0536828452896042E-3</v>
      </c>
      <c r="K620" s="1">
        <v>9.5042324430491942E-3</v>
      </c>
      <c r="L620" s="1">
        <v>1.3246793070339891</v>
      </c>
      <c r="M620" s="1">
        <v>-259.65322658692168</v>
      </c>
      <c r="N620" s="1">
        <v>-258.32854727988763</v>
      </c>
      <c r="O620" s="1">
        <v>-258.32854727988769</v>
      </c>
    </row>
    <row r="621" spans="2:15">
      <c r="B621">
        <v>613</v>
      </c>
      <c r="D621">
        <v>925.71854979748457</v>
      </c>
      <c r="E621">
        <v>1387.6487770698241</v>
      </c>
      <c r="F621">
        <v>0.68450696144213008</v>
      </c>
      <c r="G621">
        <v>0.71815092282888271</v>
      </c>
      <c r="H621" s="3">
        <v>381.2949783908968</v>
      </c>
      <c r="I621" s="3">
        <v>2.417914753754484E-2</v>
      </c>
      <c r="J621" s="3">
        <v>5.114398618000001E-3</v>
      </c>
      <c r="K621" s="1">
        <v>1.1469314924514947E-2</v>
      </c>
      <c r="L621" s="1">
        <v>-219.94328802633424</v>
      </c>
      <c r="M621" s="1">
        <v>-362.80831768920973</v>
      </c>
      <c r="N621" s="1">
        <v>-582.75160571554409</v>
      </c>
      <c r="O621" s="1">
        <v>-582.75160571554397</v>
      </c>
    </row>
    <row r="622" spans="2:15">
      <c r="B622">
        <v>614</v>
      </c>
      <c r="D622">
        <v>946.3344231968772</v>
      </c>
      <c r="E622">
        <v>1456.169022155301</v>
      </c>
      <c r="F622">
        <v>0.68325696618569809</v>
      </c>
      <c r="G622">
        <v>0.72376947612466669</v>
      </c>
      <c r="H622" s="3">
        <v>426.19509932693427</v>
      </c>
      <c r="I622" s="3">
        <v>2.9119127516287507E-2</v>
      </c>
      <c r="J622" s="3">
        <v>7.8093725499407927E-3</v>
      </c>
      <c r="K622" s="1">
        <v>1.4912624205389698E-2</v>
      </c>
      <c r="L622" s="1">
        <v>-244.84328445063971</v>
      </c>
      <c r="M622" s="1">
        <v>-292.31052048212433</v>
      </c>
      <c r="N622" s="1">
        <v>-537.15380493276405</v>
      </c>
      <c r="O622" s="1">
        <v>-537.15380493276405</v>
      </c>
    </row>
    <row r="623" spans="2:15">
      <c r="B623">
        <v>615</v>
      </c>
      <c r="D623">
        <v>892.94696264151571</v>
      </c>
      <c r="E623">
        <v>1374.0545512626195</v>
      </c>
      <c r="F623">
        <v>0.68810063226790674</v>
      </c>
      <c r="G623">
        <v>0.71644418851766356</v>
      </c>
      <c r="H623" s="3">
        <v>385.08195422818761</v>
      </c>
      <c r="I623" s="3">
        <v>1.9174846229413907E-2</v>
      </c>
      <c r="J623" s="3">
        <v>-7.9251481995470247E-5</v>
      </c>
      <c r="K623" s="1">
        <v>6.3387810884743215E-3</v>
      </c>
      <c r="L623" s="1">
        <v>-245.47254630924289</v>
      </c>
      <c r="M623" s="1">
        <v>-246.16637740078528</v>
      </c>
      <c r="N623" s="1">
        <v>-491.63892371002811</v>
      </c>
      <c r="O623" s="1">
        <v>-491.63892371002817</v>
      </c>
    </row>
    <row r="624" spans="2:15">
      <c r="B624">
        <v>616</v>
      </c>
      <c r="D624">
        <v>807.97691073875967</v>
      </c>
      <c r="E624">
        <v>1275.4335141056176</v>
      </c>
      <c r="F624">
        <v>0.69756931004579026</v>
      </c>
      <c r="G624">
        <v>0.72661042739729065</v>
      </c>
      <c r="H624" s="3">
        <v>390.70443261031181</v>
      </c>
      <c r="I624" s="3">
        <v>2.1597017292609058E-2</v>
      </c>
      <c r="J624" s="3">
        <v>2.0617956620934685E-3</v>
      </c>
      <c r="K624" s="1">
        <v>8.5735362055986645E-3</v>
      </c>
      <c r="L624" s="1">
        <v>-425.64070960253133</v>
      </c>
      <c r="M624" s="1">
        <v>-386.18117300538529</v>
      </c>
      <c r="N624" s="1">
        <v>-811.82188260791668</v>
      </c>
      <c r="O624" s="1">
        <v>-811.82188260791668</v>
      </c>
    </row>
    <row r="625" spans="2:15">
      <c r="B625">
        <v>617</v>
      </c>
      <c r="D625">
        <v>950.21543489489727</v>
      </c>
      <c r="E625">
        <v>1471.9968966221829</v>
      </c>
      <c r="F625">
        <v>0.70205800472819602</v>
      </c>
      <c r="G625">
        <v>0.72432342715543452</v>
      </c>
      <c r="H625" s="3">
        <v>433.43618251083944</v>
      </c>
      <c r="I625" s="3">
        <v>1.6517290120338667E-2</v>
      </c>
      <c r="J625" s="3">
        <v>-5.1545190052033063E-3</v>
      </c>
      <c r="K625" s="1">
        <v>2.0694173699773513E-3</v>
      </c>
      <c r="L625" s="1">
        <v>-383.57110819103127</v>
      </c>
      <c r="M625" s="1">
        <v>-265.23411552320687</v>
      </c>
      <c r="N625" s="1">
        <v>-648.80522371423808</v>
      </c>
      <c r="O625" s="1">
        <v>-648.80522371423808</v>
      </c>
    </row>
    <row r="626" spans="2:15">
      <c r="B626">
        <v>618</v>
      </c>
      <c r="D626">
        <v>641.16559436458249</v>
      </c>
      <c r="E626">
        <v>1124.2625380342279</v>
      </c>
      <c r="F626">
        <v>0.69906516935592</v>
      </c>
      <c r="G626">
        <v>0.72953289128359189</v>
      </c>
      <c r="H626" s="3">
        <v>382.05193952497496</v>
      </c>
      <c r="I626" s="3">
        <v>2.0862576111502315E-2</v>
      </c>
      <c r="J626" s="3">
        <v>1.7599791352535671E-3</v>
      </c>
      <c r="K626" s="1">
        <v>8.127511460669817E-3</v>
      </c>
      <c r="L626" s="1">
        <v>-279.35802830157309</v>
      </c>
      <c r="M626" s="1">
        <v>-311.82676781594517</v>
      </c>
      <c r="N626" s="1">
        <v>-591.18479611751832</v>
      </c>
      <c r="O626" s="1">
        <v>-591.18479611751832</v>
      </c>
    </row>
    <row r="627" spans="2:15">
      <c r="B627">
        <v>619</v>
      </c>
      <c r="D627">
        <v>1123.0531876752459</v>
      </c>
      <c r="E627">
        <v>1605.0859453539629</v>
      </c>
      <c r="F627">
        <v>0.68786298678145752</v>
      </c>
      <c r="G627">
        <v>0.72079583787148693</v>
      </c>
      <c r="H627" s="3">
        <v>399.6035800811095</v>
      </c>
      <c r="I627" s="3">
        <v>2.4970795023360033E-2</v>
      </c>
      <c r="J627" s="3">
        <v>4.9906160193045578E-3</v>
      </c>
      <c r="K627" s="1">
        <v>1.165067568732305E-2</v>
      </c>
      <c r="L627" s="1">
        <v>-292.643694530652</v>
      </c>
      <c r="M627" s="1">
        <v>-404.73823592224539</v>
      </c>
      <c r="N627" s="1">
        <v>-697.38193045289745</v>
      </c>
      <c r="O627" s="1">
        <v>-697.38193045289745</v>
      </c>
    </row>
    <row r="628" spans="2:15">
      <c r="B628">
        <v>620</v>
      </c>
      <c r="D628">
        <v>803.79611683896371</v>
      </c>
      <c r="E628">
        <v>1286.346866317795</v>
      </c>
      <c r="F628">
        <v>0.69881692705893017</v>
      </c>
      <c r="G628">
        <v>0.73406889679646092</v>
      </c>
      <c r="H628" s="3">
        <v>397.85533592209464</v>
      </c>
      <c r="I628" s="3">
        <v>2.5396511182945555E-2</v>
      </c>
      <c r="J628" s="3">
        <v>5.5037443868408212E-3</v>
      </c>
      <c r="K628" s="1">
        <v>1.2134666652209067E-2</v>
      </c>
      <c r="L628" s="1">
        <v>-360.30934304056655</v>
      </c>
      <c r="M628" s="1">
        <v>-388.97635228550274</v>
      </c>
      <c r="N628" s="1">
        <v>-749.28569532606946</v>
      </c>
      <c r="O628" s="1">
        <v>-749.28569532606934</v>
      </c>
    </row>
    <row r="629" spans="2:15">
      <c r="B629">
        <v>621</v>
      </c>
      <c r="D629">
        <v>746.40728152406905</v>
      </c>
      <c r="E629">
        <v>1248.7004286985687</v>
      </c>
      <c r="F629">
        <v>0.69347384709411608</v>
      </c>
      <c r="G629">
        <v>0.71321947988830148</v>
      </c>
      <c r="H629" s="3">
        <v>408.0880160138334</v>
      </c>
      <c r="I629" s="3">
        <v>1.4636717494082612E-2</v>
      </c>
      <c r="J629" s="3">
        <v>-5.7676833066090567E-3</v>
      </c>
      <c r="K629" s="1">
        <v>1.0337836269548317E-3</v>
      </c>
      <c r="L629" s="1">
        <v>-225.68905338993758</v>
      </c>
      <c r="M629" s="1">
        <v>-408.92078656680218</v>
      </c>
      <c r="N629" s="1">
        <v>-634.60983995673973</v>
      </c>
      <c r="O629" s="1">
        <v>-634.60983995673973</v>
      </c>
    </row>
    <row r="630" spans="2:15">
      <c r="B630">
        <v>622</v>
      </c>
      <c r="D630">
        <v>1018.6180339821774</v>
      </c>
      <c r="E630">
        <v>1503.3536605568677</v>
      </c>
      <c r="F630">
        <v>0.68921172183059765</v>
      </c>
      <c r="G630">
        <v>0.72551315832620245</v>
      </c>
      <c r="H630" s="3">
        <v>409.17196749225195</v>
      </c>
      <c r="I630" s="3">
        <v>2.7149692514504085E-2</v>
      </c>
      <c r="J630" s="3">
        <v>6.6910941398914889E-3</v>
      </c>
      <c r="K630" s="1">
        <v>1.351062693142902E-2</v>
      </c>
      <c r="L630" s="1">
        <v>-50.387003275879366</v>
      </c>
      <c r="M630" s="1">
        <v>-417.52239916642611</v>
      </c>
      <c r="N630" s="1">
        <v>-467.90940244230546</v>
      </c>
      <c r="O630" s="1">
        <v>-467.90940244230546</v>
      </c>
    </row>
    <row r="631" spans="2:15">
      <c r="B631">
        <v>623</v>
      </c>
      <c r="D631">
        <v>774.11534436176476</v>
      </c>
      <c r="E631">
        <v>1252.7486730780033</v>
      </c>
      <c r="F631">
        <v>0.69221167992544497</v>
      </c>
      <c r="G631">
        <v>0.73386438587082603</v>
      </c>
      <c r="H631" s="3">
        <v>406.43255741739631</v>
      </c>
      <c r="I631" s="3">
        <v>3.1289441988703495E-2</v>
      </c>
      <c r="J631" s="3">
        <v>1.096781411783368E-2</v>
      </c>
      <c r="K631" s="1">
        <v>1.7741690074790283E-2</v>
      </c>
      <c r="L631" s="1">
        <v>-214.85775410198809</v>
      </c>
      <c r="M631" s="1">
        <v>-291.9675971538735</v>
      </c>
      <c r="N631" s="1">
        <v>-506.82535125586156</v>
      </c>
      <c r="O631" s="1">
        <v>-506.82535125586162</v>
      </c>
    </row>
    <row r="632" spans="2:15">
      <c r="B632">
        <v>624</v>
      </c>
      <c r="D632">
        <v>756.29001957272169</v>
      </c>
      <c r="E632">
        <v>1279.5180471693898</v>
      </c>
      <c r="F632">
        <v>0.69646380331729907</v>
      </c>
      <c r="G632">
        <v>0.71776522033360124</v>
      </c>
      <c r="H632" s="3">
        <v>442.82372442238341</v>
      </c>
      <c r="I632" s="3">
        <v>1.526208320934694E-2</v>
      </c>
      <c r="J632" s="3">
        <v>-6.8791030117722318E-3</v>
      </c>
      <c r="K632" s="1">
        <v>5.0129239526749275E-4</v>
      </c>
      <c r="L632" s="1">
        <v>-213.28109431807047</v>
      </c>
      <c r="M632" s="1">
        <v>-405.47896901433296</v>
      </c>
      <c r="N632" s="1">
        <v>-618.76006333240343</v>
      </c>
      <c r="O632" s="1">
        <v>-618.76006333240343</v>
      </c>
    </row>
    <row r="633" spans="2:15">
      <c r="B633">
        <v>625</v>
      </c>
      <c r="D633">
        <v>1051.6761547809533</v>
      </c>
      <c r="E633">
        <v>1517.0071214372788</v>
      </c>
      <c r="F633">
        <v>0.68656302838711325</v>
      </c>
      <c r="G633">
        <v>0.72444143550355722</v>
      </c>
      <c r="H633" s="3">
        <v>375.58551605685199</v>
      </c>
      <c r="I633" s="3">
        <v>2.638267022216282E-2</v>
      </c>
      <c r="J633" s="3">
        <v>7.6033944193202203E-3</v>
      </c>
      <c r="K633" s="1">
        <v>1.3863153020267754E-2</v>
      </c>
      <c r="L633" s="1">
        <v>-143.75857696983888</v>
      </c>
      <c r="M633" s="1">
        <v>-314.19373048001785</v>
      </c>
      <c r="N633" s="1">
        <v>-457.95230744985679</v>
      </c>
      <c r="O633" s="1">
        <v>-457.95230744985673</v>
      </c>
    </row>
    <row r="634" spans="2:15">
      <c r="B634">
        <v>626</v>
      </c>
      <c r="D634">
        <v>956.03215185193608</v>
      </c>
      <c r="E634">
        <v>1439.3558685307366</v>
      </c>
      <c r="F634">
        <v>0.69102444942907582</v>
      </c>
      <c r="G634">
        <v>0.72519926702451365</v>
      </c>
      <c r="H634" s="3">
        <v>402.99820571798068</v>
      </c>
      <c r="I634" s="3">
        <v>2.5120392808496095E-2</v>
      </c>
      <c r="J634" s="3">
        <v>4.9704825225970611E-3</v>
      </c>
      <c r="K634" s="1">
        <v>1.1687119284563405E-2</v>
      </c>
      <c r="L634" s="1">
        <v>-386.67557450284687</v>
      </c>
      <c r="M634" s="1">
        <v>-378.82745827644356</v>
      </c>
      <c r="N634" s="1">
        <v>-765.50303277929049</v>
      </c>
      <c r="O634" s="1">
        <v>-765.50303277929038</v>
      </c>
    </row>
    <row r="635" spans="2:15">
      <c r="B635">
        <v>627</v>
      </c>
      <c r="D635">
        <v>825.40521810933842</v>
      </c>
      <c r="E635">
        <v>1306.3606878162079</v>
      </c>
      <c r="F635">
        <v>0.68058286830175918</v>
      </c>
      <c r="G635">
        <v>0.71873313486503954</v>
      </c>
      <c r="H635" s="3">
        <v>411.29284351953726</v>
      </c>
      <c r="I635" s="3">
        <v>2.9507789566175443E-2</v>
      </c>
      <c r="J635" s="3">
        <v>8.9431473901985768E-3</v>
      </c>
      <c r="K635" s="1">
        <v>1.57980281155242E-2</v>
      </c>
      <c r="L635" s="1">
        <v>-421.82224554286165</v>
      </c>
      <c r="M635" s="1">
        <v>-411.57275730004989</v>
      </c>
      <c r="N635" s="1">
        <v>-833.39500284291171</v>
      </c>
      <c r="O635" s="1">
        <v>-833.39500284291148</v>
      </c>
    </row>
    <row r="636" spans="2:15">
      <c r="B636">
        <v>628</v>
      </c>
      <c r="D636">
        <v>827.61482268965756</v>
      </c>
      <c r="E636">
        <v>1293.2996199346767</v>
      </c>
      <c r="F636">
        <v>0.69106305512641142</v>
      </c>
      <c r="G636">
        <v>0.72649200545863557</v>
      </c>
      <c r="H636" s="3">
        <v>388.28632744768851</v>
      </c>
      <c r="I636" s="3">
        <v>2.5904097944662852E-2</v>
      </c>
      <c r="J636" s="3">
        <v>6.4897815722784261E-3</v>
      </c>
      <c r="K636" s="1">
        <v>1.2961220363073235E-2</v>
      </c>
      <c r="L636" s="1">
        <v>-407.51327677785594</v>
      </c>
      <c r="M636" s="1">
        <v>-170.4023249793311</v>
      </c>
      <c r="N636" s="1">
        <v>-577.91560175718701</v>
      </c>
      <c r="O636" s="1">
        <v>-577.91560175718701</v>
      </c>
    </row>
    <row r="637" spans="2:15">
      <c r="B637">
        <v>629</v>
      </c>
      <c r="D637">
        <v>995.33974246159551</v>
      </c>
      <c r="E637">
        <v>1472.3701930327934</v>
      </c>
      <c r="F637">
        <v>0.6959369410176881</v>
      </c>
      <c r="G637">
        <v>0.72828290514303684</v>
      </c>
      <c r="H637" s="3">
        <v>393.39593816869944</v>
      </c>
      <c r="I637" s="3">
        <v>2.2872380945118426E-2</v>
      </c>
      <c r="J637" s="3">
        <v>3.2025840366834528E-3</v>
      </c>
      <c r="K637" s="1">
        <v>9.7591830061617771E-3</v>
      </c>
      <c r="L637" s="1">
        <v>-277.56264136738059</v>
      </c>
      <c r="M637" s="1">
        <v>-345.57448495976575</v>
      </c>
      <c r="N637" s="1">
        <v>-623.13712632714646</v>
      </c>
      <c r="O637" s="1">
        <v>-623.13712632714635</v>
      </c>
    </row>
    <row r="638" spans="2:15">
      <c r="B638">
        <v>630</v>
      </c>
      <c r="D638">
        <v>801.40521100981687</v>
      </c>
      <c r="E638">
        <v>1308.3802126796004</v>
      </c>
      <c r="F638">
        <v>0.67545393565659373</v>
      </c>
      <c r="G638">
        <v>0.72182573315235554</v>
      </c>
      <c r="H638" s="3">
        <v>423.13823002004045</v>
      </c>
      <c r="I638" s="3">
        <v>3.4274859644661815E-2</v>
      </c>
      <c r="J638" s="3">
        <v>1.3117948143659793E-2</v>
      </c>
      <c r="K638" s="1">
        <v>2.0170251977327133E-2</v>
      </c>
      <c r="L638" s="1">
        <v>-474.36342196389717</v>
      </c>
      <c r="M638" s="1">
        <v>-340.12897686984491</v>
      </c>
      <c r="N638" s="1">
        <v>-814.49239883374207</v>
      </c>
      <c r="O638" s="1">
        <v>-814.49239883374207</v>
      </c>
    </row>
    <row r="639" spans="2:15">
      <c r="B639">
        <v>631</v>
      </c>
      <c r="D639">
        <v>996.67936163116542</v>
      </c>
      <c r="E639">
        <v>1495.9441953706541</v>
      </c>
      <c r="F639">
        <v>0.7007234273492341</v>
      </c>
      <c r="G639">
        <v>0.73454911231012066</v>
      </c>
      <c r="H639" s="3">
        <v>406.3252229446461</v>
      </c>
      <c r="I639" s="3">
        <v>2.3621810537160143E-2</v>
      </c>
      <c r="J639" s="3">
        <v>3.3055493899278379E-3</v>
      </c>
      <c r="K639" s="1">
        <v>1.0077636439005272E-2</v>
      </c>
      <c r="L639" s="1">
        <v>-203.00204147928116</v>
      </c>
      <c r="M639" s="1">
        <v>-345.47156941694811</v>
      </c>
      <c r="N639" s="1">
        <v>-548.47361089622927</v>
      </c>
      <c r="O639" s="1">
        <v>-548.47361089622927</v>
      </c>
    </row>
    <row r="640" spans="2:15">
      <c r="B640">
        <v>632</v>
      </c>
      <c r="D640">
        <v>761.86305261525149</v>
      </c>
      <c r="E640">
        <v>1269.3186115816186</v>
      </c>
      <c r="F640">
        <v>0.68405653069125982</v>
      </c>
      <c r="G640">
        <v>0.72186848984840735</v>
      </c>
      <c r="H640" s="3">
        <v>422.21508237359063</v>
      </c>
      <c r="I640" s="3">
        <v>2.779580484098812E-2</v>
      </c>
      <c r="J640" s="3">
        <v>6.6850507223085893E-3</v>
      </c>
      <c r="K640" s="1">
        <v>1.3721968761868432E-2</v>
      </c>
      <c r="L640" s="1">
        <v>-161.69677163523588</v>
      </c>
      <c r="M640" s="1">
        <v>-410.90458425403045</v>
      </c>
      <c r="N640" s="1">
        <v>-572.6013558892663</v>
      </c>
      <c r="O640" s="1">
        <v>-572.6013558892663</v>
      </c>
    </row>
    <row r="641" spans="2:15">
      <c r="B641">
        <v>633</v>
      </c>
      <c r="D641">
        <v>802.61431058178232</v>
      </c>
      <c r="E641">
        <v>1274.3503800597109</v>
      </c>
      <c r="F641">
        <v>0.69429823868861895</v>
      </c>
      <c r="G641">
        <v>0.72452390273500411</v>
      </c>
      <c r="H641" s="3">
        <v>380.24872272181665</v>
      </c>
      <c r="I641" s="3">
        <v>2.1051687063778579E-2</v>
      </c>
      <c r="J641" s="3">
        <v>2.0392509276877455E-3</v>
      </c>
      <c r="K641" s="1">
        <v>8.3767296397180245E-3</v>
      </c>
      <c r="L641" s="1">
        <v>-279.8851142252704</v>
      </c>
      <c r="M641" s="1">
        <v>-238.3315462102089</v>
      </c>
      <c r="N641" s="1">
        <v>-518.2166604354793</v>
      </c>
      <c r="O641" s="1">
        <v>-518.2166604354793</v>
      </c>
    </row>
    <row r="642" spans="2:15">
      <c r="B642">
        <v>634</v>
      </c>
      <c r="D642">
        <v>670.71685132814548</v>
      </c>
      <c r="E642">
        <v>1186.1652600627183</v>
      </c>
      <c r="F642">
        <v>0.70533254204417017</v>
      </c>
      <c r="G642">
        <v>0.72715289798579152</v>
      </c>
      <c r="H642" s="3">
        <v>415.31494822522939</v>
      </c>
      <c r="I642" s="3">
        <v>1.5234378213120934E-2</v>
      </c>
      <c r="J642" s="3">
        <v>-5.5313691981405365E-3</v>
      </c>
      <c r="K642" s="1">
        <v>1.3905466056132881E-3</v>
      </c>
      <c r="L642" s="1">
        <v>-154.82680574709337</v>
      </c>
      <c r="M642" s="1">
        <v>-389.31367735220908</v>
      </c>
      <c r="N642" s="1">
        <v>-544.1404830993024</v>
      </c>
      <c r="O642" s="1">
        <v>-544.1404830993024</v>
      </c>
    </row>
    <row r="643" spans="2:15">
      <c r="B643">
        <v>635</v>
      </c>
      <c r="D643">
        <v>828.25134735498773</v>
      </c>
      <c r="E643">
        <v>1284.5761261108253</v>
      </c>
      <c r="F643">
        <v>0.68417988173499045</v>
      </c>
      <c r="G643">
        <v>0.72455520623603542</v>
      </c>
      <c r="H643" s="3">
        <v>376.25709177450108</v>
      </c>
      <c r="I643" s="3">
        <v>2.9122117964095889E-2</v>
      </c>
      <c r="J643" s="3">
        <v>1.0309263375370834E-2</v>
      </c>
      <c r="K643" s="1">
        <v>1.6580214904945854E-2</v>
      </c>
      <c r="L643" s="1">
        <v>-332.70036040751961</v>
      </c>
      <c r="M643" s="1">
        <v>-350.36507171703954</v>
      </c>
      <c r="N643" s="1">
        <v>-683.06543212455915</v>
      </c>
      <c r="O643" s="1">
        <v>-683.06543212455915</v>
      </c>
    </row>
    <row r="644" spans="2:15">
      <c r="B644">
        <v>636</v>
      </c>
      <c r="D644">
        <v>705.49313294621231</v>
      </c>
      <c r="E644">
        <v>1169.3898241326021</v>
      </c>
      <c r="F644">
        <v>0.68779203002695555</v>
      </c>
      <c r="G644">
        <v>0.73313780219588032</v>
      </c>
      <c r="H644" s="3">
        <v>370.17186188202004</v>
      </c>
      <c r="I644" s="3">
        <v>3.0519801333346065E-2</v>
      </c>
      <c r="J644" s="3">
        <v>1.2011208239245064E-2</v>
      </c>
      <c r="K644" s="1">
        <v>1.8180739270612062E-2</v>
      </c>
      <c r="L644" s="1">
        <v>-207.53111411577197</v>
      </c>
      <c r="M644" s="1">
        <v>-202.44586884387269</v>
      </c>
      <c r="N644" s="1">
        <v>-409.97698295964472</v>
      </c>
      <c r="O644" s="1">
        <v>-409.97698295964466</v>
      </c>
    </row>
    <row r="645" spans="2:15">
      <c r="B645">
        <v>637</v>
      </c>
      <c r="D645">
        <v>698.23829817447108</v>
      </c>
      <c r="E645">
        <v>1198.1650896020994</v>
      </c>
      <c r="F645">
        <v>0.69558607110853665</v>
      </c>
      <c r="G645">
        <v>0.72743782372540899</v>
      </c>
      <c r="H645" s="3">
        <v>407.0654315102858</v>
      </c>
      <c r="I645" s="3">
        <v>2.2931208031689038E-2</v>
      </c>
      <c r="J645" s="3">
        <v>2.5779364561747467E-3</v>
      </c>
      <c r="K645" s="1">
        <v>9.36236031467951E-3</v>
      </c>
      <c r="L645" s="1">
        <v>-19.803799976229712</v>
      </c>
      <c r="M645" s="1">
        <v>-351.06667133241569</v>
      </c>
      <c r="N645" s="1">
        <v>-370.87047130864534</v>
      </c>
      <c r="O645" s="1">
        <v>-370.87047130864539</v>
      </c>
    </row>
    <row r="646" spans="2:15">
      <c r="B646">
        <v>638</v>
      </c>
      <c r="D646">
        <v>859.994387374697</v>
      </c>
      <c r="E646">
        <v>1339.7774426244491</v>
      </c>
      <c r="F646">
        <v>0.6882851485153243</v>
      </c>
      <c r="G646">
        <v>0.72301753932853352</v>
      </c>
      <c r="H646" s="3">
        <v>407.84683366605202</v>
      </c>
      <c r="I646" s="3">
        <v>2.609289067705985E-2</v>
      </c>
      <c r="J646" s="3">
        <v>5.7005489937572498E-3</v>
      </c>
      <c r="K646" s="1">
        <v>1.2497996221524782E-2</v>
      </c>
      <c r="L646" s="1">
        <v>-193.51988478390939</v>
      </c>
      <c r="M646" s="1">
        <v>-486.35807993094011</v>
      </c>
      <c r="N646" s="1">
        <v>-679.87796471484955</v>
      </c>
      <c r="O646" s="1">
        <v>-679.87796471484944</v>
      </c>
    </row>
    <row r="647" spans="2:15">
      <c r="B647">
        <v>639</v>
      </c>
      <c r="D647">
        <v>1002.0671948754384</v>
      </c>
      <c r="E647">
        <v>1474.4265779716277</v>
      </c>
      <c r="F647">
        <v>0.69700472768511679</v>
      </c>
      <c r="G647">
        <v>0.72710239779918617</v>
      </c>
      <c r="H647" s="3">
        <v>386.74807575359796</v>
      </c>
      <c r="I647" s="3">
        <v>2.1615341658279875E-2</v>
      </c>
      <c r="J647" s="3">
        <v>2.2779378705999782E-3</v>
      </c>
      <c r="K647" s="1">
        <v>8.7237391331599443E-3</v>
      </c>
      <c r="L647" s="1">
        <v>-411.02903281073009</v>
      </c>
      <c r="M647" s="1">
        <v>-453.69756709434</v>
      </c>
      <c r="N647" s="1">
        <v>-864.72659990507009</v>
      </c>
      <c r="O647" s="1">
        <v>-864.72659990507009</v>
      </c>
    </row>
    <row r="648" spans="2:15">
      <c r="B648">
        <v>640</v>
      </c>
      <c r="D648">
        <v>844.18144536181057</v>
      </c>
      <c r="E648">
        <v>1346.1604258322818</v>
      </c>
      <c r="F648">
        <v>0.70543425563756579</v>
      </c>
      <c r="G648">
        <v>0.73314464326878082</v>
      </c>
      <c r="H648" s="3">
        <v>414.86415973054216</v>
      </c>
      <c r="I648" s="3">
        <v>1.9802197171328726E-2</v>
      </c>
      <c r="J648" s="3">
        <v>-9.4101081519838009E-4</v>
      </c>
      <c r="K648" s="1">
        <v>5.9733918469773214E-3</v>
      </c>
      <c r="L648" s="1">
        <v>-71.558820844113114</v>
      </c>
      <c r="M648" s="1">
        <v>-391.58433442423797</v>
      </c>
      <c r="N648" s="1">
        <v>-463.14315526835099</v>
      </c>
      <c r="O648" s="1">
        <v>-463.14315526835105</v>
      </c>
    </row>
    <row r="649" spans="2:15">
      <c r="B649">
        <v>641</v>
      </c>
      <c r="D649">
        <v>998.84006421019171</v>
      </c>
      <c r="E649">
        <v>1528.7794987197083</v>
      </c>
      <c r="F649">
        <v>0.70263327354718874</v>
      </c>
      <c r="G649">
        <v>0.72094720754566166</v>
      </c>
      <c r="H649" s="3">
        <v>444.51448287474125</v>
      </c>
      <c r="I649" s="3">
        <v>1.3558331094918552E-2</v>
      </c>
      <c r="J649" s="3">
        <v>-8.6673930488185107E-3</v>
      </c>
      <c r="K649" s="1">
        <v>-1.2588183342394903E-3</v>
      </c>
      <c r="L649" s="1">
        <v>-326.30791815503795</v>
      </c>
      <c r="M649" s="1">
        <v>-317.41532428186781</v>
      </c>
      <c r="N649" s="1">
        <v>-643.72324243690559</v>
      </c>
      <c r="O649" s="1">
        <v>-643.72324243690582</v>
      </c>
    </row>
    <row r="650" spans="2:15">
      <c r="B650">
        <v>642</v>
      </c>
      <c r="D650">
        <v>818.30027978477438</v>
      </c>
      <c r="E650">
        <v>1294.1271240972626</v>
      </c>
      <c r="F650">
        <v>0.69349819237864518</v>
      </c>
      <c r="G650">
        <v>0.73392006556807798</v>
      </c>
      <c r="H650" s="3">
        <v>395.92450566625223</v>
      </c>
      <c r="I650" s="3">
        <v>2.9573236075913334E-2</v>
      </c>
      <c r="J650" s="3">
        <v>9.7770107926007238E-3</v>
      </c>
      <c r="K650" s="1">
        <v>1.6375752553704926E-2</v>
      </c>
      <c r="L650" s="1">
        <v>-431.48053600962908</v>
      </c>
      <c r="M650" s="1">
        <v>-309.46556414520933</v>
      </c>
      <c r="N650" s="1">
        <v>-740.9461001548384</v>
      </c>
      <c r="O650" s="1">
        <v>-740.9461001548384</v>
      </c>
    </row>
    <row r="651" spans="2:15">
      <c r="B651">
        <v>643</v>
      </c>
      <c r="D651">
        <v>893.69210408600634</v>
      </c>
      <c r="E651">
        <v>1385.813495699238</v>
      </c>
      <c r="F651">
        <v>0.68781127247643137</v>
      </c>
      <c r="G651">
        <v>0.7212430036887969</v>
      </c>
      <c r="H651" s="3">
        <v>386.16484799956879</v>
      </c>
      <c r="I651" s="3">
        <v>2.2330744122572372E-2</v>
      </c>
      <c r="J651" s="3">
        <v>3.022501722593933E-3</v>
      </c>
      <c r="K651" s="1">
        <v>9.4585825225867448E-3</v>
      </c>
      <c r="L651" s="1">
        <v>-297.84780493233563</v>
      </c>
      <c r="M651" s="1">
        <v>-395.83023793030731</v>
      </c>
      <c r="N651" s="1">
        <v>-693.67804286264288</v>
      </c>
      <c r="O651" s="1">
        <v>-693.678042862643</v>
      </c>
    </row>
    <row r="652" spans="2:15">
      <c r="B652">
        <v>644</v>
      </c>
      <c r="D652">
        <v>791.21291320276077</v>
      </c>
      <c r="E652">
        <v>1283.8360410382959</v>
      </c>
      <c r="F652">
        <v>0.6834455328429897</v>
      </c>
      <c r="G652">
        <v>0.7062307287718943</v>
      </c>
      <c r="H652" s="3">
        <v>389.41837972770298</v>
      </c>
      <c r="I652" s="3">
        <v>1.4630212570961993E-2</v>
      </c>
      <c r="J652" s="3">
        <v>-4.8407064154231579E-3</v>
      </c>
      <c r="K652" s="1">
        <v>1.6495999133718936E-3</v>
      </c>
      <c r="L652" s="1">
        <v>-146.12512183263684</v>
      </c>
      <c r="M652" s="1">
        <v>-274.92799042411275</v>
      </c>
      <c r="N652" s="1">
        <v>-421.05311225674961</v>
      </c>
      <c r="O652" s="1">
        <v>-421.05311225674961</v>
      </c>
    </row>
    <row r="653" spans="2:15">
      <c r="B653">
        <v>645</v>
      </c>
      <c r="D653">
        <v>957.77564004471924</v>
      </c>
      <c r="E653">
        <v>1433.6993523392337</v>
      </c>
      <c r="F653">
        <v>0.69088202195924375</v>
      </c>
      <c r="G653">
        <v>0.73005391701478539</v>
      </c>
      <c r="H653" s="3">
        <v>390.84597068185207</v>
      </c>
      <c r="I653" s="3">
        <v>2.8611027185732718E-2</v>
      </c>
      <c r="J653" s="3">
        <v>9.0687286516401185E-3</v>
      </c>
      <c r="K653" s="1">
        <v>1.5582828163004318E-2</v>
      </c>
      <c r="L653" s="1">
        <v>40.247640114767279</v>
      </c>
      <c r="M653" s="1">
        <v>-462.77865448770365</v>
      </c>
      <c r="N653" s="1">
        <v>-422.5310143729364</v>
      </c>
      <c r="O653" s="1">
        <v>-422.5310143729364</v>
      </c>
    </row>
    <row r="654" spans="2:15">
      <c r="B654">
        <v>646</v>
      </c>
      <c r="D654">
        <v>737.69830547432048</v>
      </c>
      <c r="E654">
        <v>1231.8756270747713</v>
      </c>
      <c r="F654">
        <v>0.6993768917855343</v>
      </c>
      <c r="G654">
        <v>0.72337208335220915</v>
      </c>
      <c r="H654" s="3">
        <v>411.08029695113936</v>
      </c>
      <c r="I654" s="3">
        <v>1.7882837447173932E-2</v>
      </c>
      <c r="J654" s="3">
        <v>-2.671177400383036E-3</v>
      </c>
      <c r="K654" s="1">
        <v>4.1801608821359533E-3</v>
      </c>
      <c r="L654" s="1">
        <v>-289.80424046593237</v>
      </c>
      <c r="M654" s="1">
        <v>-374.55701725532936</v>
      </c>
      <c r="N654" s="1">
        <v>-664.36125772126184</v>
      </c>
      <c r="O654" s="1">
        <v>-664.36125772126172</v>
      </c>
    </row>
    <row r="655" spans="2:15">
      <c r="B655">
        <v>647</v>
      </c>
      <c r="D655">
        <v>938.85587247389708</v>
      </c>
      <c r="E655">
        <v>1429.9114312841602</v>
      </c>
      <c r="F655">
        <v>0.70248188323546201</v>
      </c>
      <c r="G655">
        <v>0.72618959523717264</v>
      </c>
      <c r="H655" s="3">
        <v>396.05069976969384</v>
      </c>
      <c r="I655" s="3">
        <v>1.579496067321463E-2</v>
      </c>
      <c r="J655" s="3">
        <v>-4.0075743152700599E-3</v>
      </c>
      <c r="K655" s="1">
        <v>2.5932706808915046E-3</v>
      </c>
      <c r="L655" s="1">
        <v>-284.17485750561417</v>
      </c>
      <c r="M655" s="1">
        <v>-301.39988385269572</v>
      </c>
      <c r="N655" s="1">
        <v>-585.57474135830989</v>
      </c>
      <c r="O655" s="1">
        <v>-585.57474135830989</v>
      </c>
    </row>
    <row r="656" spans="2:15">
      <c r="B656">
        <v>648</v>
      </c>
      <c r="D656">
        <v>875.76733554241946</v>
      </c>
      <c r="E656">
        <v>1324.3427441831045</v>
      </c>
      <c r="F656">
        <v>0.69963737214451238</v>
      </c>
      <c r="G656">
        <v>0.73721916073254168</v>
      </c>
      <c r="H656" s="3">
        <v>360.7447831814066</v>
      </c>
      <c r="I656" s="3">
        <v>2.4937376923956187E-2</v>
      </c>
      <c r="J656" s="3">
        <v>6.9001377648858601E-3</v>
      </c>
      <c r="K656" s="1">
        <v>1.2912550817909301E-2</v>
      </c>
      <c r="L656" s="1">
        <v>-91.116787689285914</v>
      </c>
      <c r="M656" s="1">
        <v>-344.14014993251328</v>
      </c>
      <c r="N656" s="1">
        <v>-435.25693762179918</v>
      </c>
      <c r="O656" s="1">
        <v>-435.25693762179918</v>
      </c>
    </row>
    <row r="657" spans="2:15">
      <c r="B657">
        <v>649</v>
      </c>
      <c r="D657">
        <v>856.28039333122877</v>
      </c>
      <c r="E657">
        <v>1357.7224492813534</v>
      </c>
      <c r="F657">
        <v>0.68821481800509821</v>
      </c>
      <c r="G657">
        <v>0.73056617174720018</v>
      </c>
      <c r="H657" s="3">
        <v>416.76821087623472</v>
      </c>
      <c r="I657" s="3">
        <v>3.0506788902177177E-2</v>
      </c>
      <c r="J657" s="3">
        <v>9.6683783583654363E-3</v>
      </c>
      <c r="K657" s="1">
        <v>1.6614515206302687E-2</v>
      </c>
      <c r="L657" s="1">
        <v>-39.584680307553953</v>
      </c>
      <c r="M657" s="1">
        <v>-378.75014468632287</v>
      </c>
      <c r="N657" s="1">
        <v>-418.33482499387685</v>
      </c>
      <c r="O657" s="1">
        <v>-418.33482499387685</v>
      </c>
    </row>
    <row r="658" spans="2:15">
      <c r="B658">
        <v>650</v>
      </c>
      <c r="D658">
        <v>790.36099789659579</v>
      </c>
      <c r="E658">
        <v>1272.0794403090806</v>
      </c>
      <c r="F658">
        <v>0.69505884081587155</v>
      </c>
      <c r="G658">
        <v>0.72995800400329647</v>
      </c>
      <c r="H658" s="3">
        <v>393.26950469916602</v>
      </c>
      <c r="I658" s="3">
        <v>2.4913358578611752E-2</v>
      </c>
      <c r="J658" s="3">
        <v>5.2498833436534498E-3</v>
      </c>
      <c r="K658" s="1">
        <v>1.1804375088639549E-2</v>
      </c>
      <c r="L658" s="1">
        <v>-184.15091664491206</v>
      </c>
      <c r="M658" s="1">
        <v>-481.88857182935635</v>
      </c>
      <c r="N658" s="1">
        <v>-666.0394884742683</v>
      </c>
      <c r="O658" s="1">
        <v>-666.03948847426841</v>
      </c>
    </row>
    <row r="659" spans="2:15">
      <c r="B659">
        <v>651</v>
      </c>
      <c r="D659">
        <v>986.1794336801762</v>
      </c>
      <c r="E659">
        <v>1471.7372234067434</v>
      </c>
      <c r="F659">
        <v>0.67911954009421227</v>
      </c>
      <c r="G659">
        <v>0.71397098081683064</v>
      </c>
      <c r="H659" s="3">
        <v>407.2931097637761</v>
      </c>
      <c r="I659" s="3">
        <v>2.5772675116050199E-2</v>
      </c>
      <c r="J659" s="3">
        <v>5.4080196278613948E-3</v>
      </c>
      <c r="K659" s="1">
        <v>1.2196238123924329E-2</v>
      </c>
      <c r="L659" s="1">
        <v>-229.30303690353185</v>
      </c>
      <c r="M659" s="1">
        <v>-276.76284963065598</v>
      </c>
      <c r="N659" s="1">
        <v>-506.06588653418783</v>
      </c>
      <c r="O659" s="1">
        <v>-506.06588653418783</v>
      </c>
    </row>
    <row r="660" spans="2:15">
      <c r="B660">
        <v>652</v>
      </c>
      <c r="D660">
        <v>776.87595836644823</v>
      </c>
      <c r="E660">
        <v>1259.6807856840489</v>
      </c>
      <c r="F660">
        <v>0.67807838524971109</v>
      </c>
      <c r="G660">
        <v>0.7168445280514496</v>
      </c>
      <c r="H660" s="3">
        <v>404.01098779998523</v>
      </c>
      <c r="I660" s="3">
        <v>2.9117276740791662E-2</v>
      </c>
      <c r="J660" s="3">
        <v>8.9167273507923979E-3</v>
      </c>
      <c r="K660" s="1">
        <v>1.5650243814125483E-2</v>
      </c>
      <c r="L660" s="1">
        <v>-48.893181427187578</v>
      </c>
      <c r="M660" s="1">
        <v>-454.03988205721737</v>
      </c>
      <c r="N660" s="1">
        <v>-502.9330634844049</v>
      </c>
      <c r="O660" s="1">
        <v>-502.93306348440495</v>
      </c>
    </row>
    <row r="661" spans="2:15">
      <c r="B661">
        <v>653</v>
      </c>
      <c r="D661">
        <v>753.07235447450239</v>
      </c>
      <c r="E661">
        <v>1252.3177341992296</v>
      </c>
      <c r="F661">
        <v>0.69656555869342274</v>
      </c>
      <c r="G661">
        <v>0.72951038567933368</v>
      </c>
      <c r="H661" s="3">
        <v>402.62678894836569</v>
      </c>
      <c r="I661" s="3">
        <v>2.2955775781296296E-2</v>
      </c>
      <c r="J661" s="3">
        <v>2.8244363338780117E-3</v>
      </c>
      <c r="K661" s="1">
        <v>9.5348828163507732E-3</v>
      </c>
      <c r="L661" s="1">
        <v>-408.78806441727204</v>
      </c>
      <c r="M661" s="1">
        <v>-190.21123719169981</v>
      </c>
      <c r="N661" s="1">
        <v>-598.9993016089719</v>
      </c>
      <c r="O661" s="1">
        <v>-598.99930160897179</v>
      </c>
    </row>
    <row r="662" spans="2:15">
      <c r="B662">
        <v>654</v>
      </c>
      <c r="D662">
        <v>838.9998585592848</v>
      </c>
      <c r="E662">
        <v>1310.1445232432802</v>
      </c>
      <c r="F662">
        <v>0.6988856767050271</v>
      </c>
      <c r="G662">
        <v>0.73320001561276349</v>
      </c>
      <c r="H662" s="3">
        <v>381.76496239505042</v>
      </c>
      <c r="I662" s="3">
        <v>2.4234017213147514E-2</v>
      </c>
      <c r="J662" s="3">
        <v>5.1457690933949911E-3</v>
      </c>
      <c r="K662" s="1">
        <v>1.1508518466645834E-2</v>
      </c>
      <c r="L662" s="1">
        <v>-163.4687986983954</v>
      </c>
      <c r="M662" s="1">
        <v>-314.86957217302427</v>
      </c>
      <c r="N662" s="1">
        <v>-478.33837087141967</v>
      </c>
      <c r="O662" s="1">
        <v>-478.33837087141967</v>
      </c>
    </row>
    <row r="663" spans="2:15">
      <c r="B663">
        <v>655</v>
      </c>
      <c r="D663">
        <v>896.31504810588035</v>
      </c>
      <c r="E663">
        <v>1402.793332893506</v>
      </c>
      <c r="F663">
        <v>0.70062155071865628</v>
      </c>
      <c r="G663">
        <v>0.72467514274931566</v>
      </c>
      <c r="H663" s="3">
        <v>429.70705890775224</v>
      </c>
      <c r="I663" s="3">
        <v>1.8380081383859392E-2</v>
      </c>
      <c r="J663" s="3">
        <v>-3.1052715615282195E-3</v>
      </c>
      <c r="K663" s="1">
        <v>4.0565127536009837E-3</v>
      </c>
      <c r="L663" s="1">
        <v>-444.93886714710851</v>
      </c>
      <c r="M663" s="1">
        <v>-381.21902694341838</v>
      </c>
      <c r="N663" s="1">
        <v>-826.15789409052695</v>
      </c>
      <c r="O663" s="1">
        <v>-826.15789409052695</v>
      </c>
    </row>
    <row r="664" spans="2:15">
      <c r="B664">
        <v>656</v>
      </c>
      <c r="D664">
        <v>865.97998836778697</v>
      </c>
      <c r="E664">
        <v>1329.0507158719463</v>
      </c>
      <c r="F664">
        <v>0.68069485898850379</v>
      </c>
      <c r="G664">
        <v>0.72532468804391514</v>
      </c>
      <c r="H664" s="3">
        <v>396.34395930580001</v>
      </c>
      <c r="I664" s="3">
        <v>3.3656849290674036E-2</v>
      </c>
      <c r="J664" s="3">
        <v>1.3839651325384037E-2</v>
      </c>
      <c r="K664" s="1">
        <v>2.0445383980480705E-2</v>
      </c>
      <c r="L664" s="1">
        <v>-144.23655753150581</v>
      </c>
      <c r="M664" s="1">
        <v>-208.54232009452244</v>
      </c>
      <c r="N664" s="1">
        <v>-352.77887762602825</v>
      </c>
      <c r="O664" s="1">
        <v>-352.77887762602825</v>
      </c>
    </row>
    <row r="665" spans="2:15">
      <c r="B665">
        <v>657</v>
      </c>
      <c r="D665">
        <v>955.92551472421906</v>
      </c>
      <c r="E665">
        <v>1422.9627901858048</v>
      </c>
      <c r="F665">
        <v>0.68010212998493458</v>
      </c>
      <c r="G665">
        <v>0.72172174231263619</v>
      </c>
      <c r="H665" s="3">
        <v>392.22986614067128</v>
      </c>
      <c r="I665" s="3">
        <v>3.1567319962155428E-2</v>
      </c>
      <c r="J665" s="3">
        <v>1.1955826655121866E-2</v>
      </c>
      <c r="K665" s="1">
        <v>1.8492991090799719E-2</v>
      </c>
      <c r="L665" s="1">
        <v>-273.34372182699929</v>
      </c>
      <c r="M665" s="1">
        <v>-467.83714214958906</v>
      </c>
      <c r="N665" s="1">
        <v>-741.1808639765884</v>
      </c>
      <c r="O665" s="1">
        <v>-741.1808639765884</v>
      </c>
    </row>
    <row r="666" spans="2:15">
      <c r="B666">
        <v>658</v>
      </c>
      <c r="D666">
        <v>692.93998625558129</v>
      </c>
      <c r="E666">
        <v>1180.8420184762811</v>
      </c>
      <c r="F666">
        <v>0.68706349730232863</v>
      </c>
      <c r="G666">
        <v>0.71611814880401536</v>
      </c>
      <c r="H666" s="3">
        <v>394.03333853779901</v>
      </c>
      <c r="I666" s="3">
        <v>2.0907897919307233E-2</v>
      </c>
      <c r="J666" s="3">
        <v>1.2062309924172794E-3</v>
      </c>
      <c r="K666" s="1">
        <v>7.7734533013805972E-3</v>
      </c>
      <c r="L666" s="1">
        <v>-478.56479048847063</v>
      </c>
      <c r="M666" s="1">
        <v>-322.51714715743071</v>
      </c>
      <c r="N666" s="1">
        <v>-801.08193764590135</v>
      </c>
      <c r="O666" s="1">
        <v>-801.08193764590135</v>
      </c>
    </row>
    <row r="667" spans="2:15">
      <c r="B667">
        <v>659</v>
      </c>
      <c r="D667">
        <v>960.73469656894326</v>
      </c>
      <c r="E667">
        <v>1461.9827435283958</v>
      </c>
      <c r="F667">
        <v>0.68933351098801321</v>
      </c>
      <c r="G667">
        <v>0.71707587441695653</v>
      </c>
      <c r="H667" s="3">
        <v>402.37338161456091</v>
      </c>
      <c r="I667" s="3">
        <v>1.9804067182123287E-2</v>
      </c>
      <c r="J667" s="3">
        <v>-3.1460189860475773E-4</v>
      </c>
      <c r="K667" s="1">
        <v>6.3916211283045893E-3</v>
      </c>
      <c r="L667" s="1">
        <v>-419.19957479204925</v>
      </c>
      <c r="M667" s="1">
        <v>-277.65654858918253</v>
      </c>
      <c r="N667" s="1">
        <v>-696.85612338123178</v>
      </c>
      <c r="O667" s="1">
        <v>-696.85612338123178</v>
      </c>
    </row>
    <row r="668" spans="2:15">
      <c r="B668">
        <v>660</v>
      </c>
      <c r="D668">
        <v>995.26799010473962</v>
      </c>
      <c r="E668">
        <v>1483.7316836451164</v>
      </c>
      <c r="F668">
        <v>0.69292019889944256</v>
      </c>
      <c r="G668">
        <v>0.71841794932230429</v>
      </c>
      <c r="H668" s="3">
        <v>393.80508551635768</v>
      </c>
      <c r="I668" s="3">
        <v>1.8255171040955736E-2</v>
      </c>
      <c r="J668" s="3">
        <v>-1.4350832348621508E-3</v>
      </c>
      <c r="K668" s="1">
        <v>5.1283348570771454E-3</v>
      </c>
      <c r="L668" s="1">
        <v>-179.45672734891437</v>
      </c>
      <c r="M668" s="1">
        <v>-379.70396409473312</v>
      </c>
      <c r="N668" s="1">
        <v>-559.16069144364747</v>
      </c>
      <c r="O668" s="1">
        <v>-559.16069144364747</v>
      </c>
    </row>
    <row r="669" spans="2:15">
      <c r="B669">
        <v>661</v>
      </c>
      <c r="D669">
        <v>999.27651729666741</v>
      </c>
      <c r="E669">
        <v>1487.4732871078438</v>
      </c>
      <c r="F669">
        <v>0.67892235274602497</v>
      </c>
      <c r="G669">
        <v>0.71498610256188933</v>
      </c>
      <c r="H669" s="3">
        <v>408.73450044440705</v>
      </c>
      <c r="I669" s="3">
        <v>2.7166816493405719E-2</v>
      </c>
      <c r="J669" s="3">
        <v>6.7300914711853621E-3</v>
      </c>
      <c r="K669" s="1">
        <v>1.3542333145258816E-2</v>
      </c>
      <c r="L669" s="1">
        <v>-374.3612900254318</v>
      </c>
      <c r="M669" s="1">
        <v>-338.06721302228306</v>
      </c>
      <c r="N669" s="1">
        <v>-712.42850304771491</v>
      </c>
      <c r="O669" s="1">
        <v>-712.42850304771491</v>
      </c>
    </row>
    <row r="670" spans="2:15">
      <c r="B670">
        <v>662</v>
      </c>
      <c r="D670">
        <v>822.24455004299307</v>
      </c>
      <c r="E670">
        <v>1289.996804644356</v>
      </c>
      <c r="F670">
        <v>0.68647389898089073</v>
      </c>
      <c r="G670">
        <v>0.72154612121854078</v>
      </c>
      <c r="H670" s="3">
        <v>368.12761505594244</v>
      </c>
      <c r="I670" s="3">
        <v>2.3225874831837062E-2</v>
      </c>
      <c r="J670" s="3">
        <v>4.8194940790399349E-3</v>
      </c>
      <c r="K670" s="1">
        <v>1.0954954329972311E-2</v>
      </c>
      <c r="L670" s="1">
        <v>-313.60105367556139</v>
      </c>
      <c r="M670" s="1">
        <v>-241.88087609561185</v>
      </c>
      <c r="N670" s="1">
        <v>-555.48192977117321</v>
      </c>
      <c r="O670" s="1">
        <v>-555.48192977117321</v>
      </c>
    </row>
    <row r="671" spans="2:15">
      <c r="B671">
        <v>663</v>
      </c>
      <c r="D671">
        <v>774.42901838091905</v>
      </c>
      <c r="E671">
        <v>1266.9490424319802</v>
      </c>
      <c r="F671">
        <v>0.67861774135108976</v>
      </c>
      <c r="G671">
        <v>0.71052043341853355</v>
      </c>
      <c r="H671" s="3">
        <v>384.78852782306029</v>
      </c>
      <c r="I671" s="3">
        <v>2.1984122530130261E-2</v>
      </c>
      <c r="J671" s="3">
        <v>2.7446961389772477E-3</v>
      </c>
      <c r="K671" s="1">
        <v>9.1578382693615866E-3</v>
      </c>
      <c r="L671" s="1">
        <v>-260.06434226782926</v>
      </c>
      <c r="M671" s="1">
        <v>-353.85460260543579</v>
      </c>
      <c r="N671" s="1">
        <v>-613.9189448732651</v>
      </c>
      <c r="O671" s="1">
        <v>-613.91894487326499</v>
      </c>
    </row>
    <row r="672" spans="2:15">
      <c r="B672">
        <v>664</v>
      </c>
      <c r="D672">
        <v>948.72592587473036</v>
      </c>
      <c r="E672">
        <v>1416.2723334376262</v>
      </c>
      <c r="F672">
        <v>0.69352779467141534</v>
      </c>
      <c r="G672">
        <v>0.72814563898738993</v>
      </c>
      <c r="H672" s="3">
        <v>388.95076227503364</v>
      </c>
      <c r="I672" s="3">
        <v>2.5553998411754129E-2</v>
      </c>
      <c r="J672" s="3">
        <v>6.1064602980024432E-3</v>
      </c>
      <c r="K672" s="1">
        <v>1.2588973002586339E-2</v>
      </c>
      <c r="L672" s="1">
        <v>-335.13590386951273</v>
      </c>
      <c r="M672" s="1">
        <v>-388.38752596985478</v>
      </c>
      <c r="N672" s="1">
        <v>-723.52342983936751</v>
      </c>
      <c r="O672" s="1">
        <v>-723.52342983936751</v>
      </c>
    </row>
    <row r="673" spans="2:15">
      <c r="B673">
        <v>665</v>
      </c>
      <c r="D673">
        <v>1054.1903351342187</v>
      </c>
      <c r="E673">
        <v>1521.4233737327729</v>
      </c>
      <c r="F673">
        <v>0.69680506146157928</v>
      </c>
      <c r="G673">
        <v>0.7263878839534873</v>
      </c>
      <c r="H673" s="3">
        <v>377.25783612067903</v>
      </c>
      <c r="I673" s="3">
        <v>2.0964021213262532E-2</v>
      </c>
      <c r="J673" s="3">
        <v>2.1011294072285809E-3</v>
      </c>
      <c r="K673" s="1">
        <v>8.3887600092398974E-3</v>
      </c>
      <c r="L673" s="1">
        <v>-203.74274618746907</v>
      </c>
      <c r="M673" s="1">
        <v>-222.01479972642505</v>
      </c>
      <c r="N673" s="1">
        <v>-425.75754591389409</v>
      </c>
      <c r="O673" s="1">
        <v>-425.75754591389409</v>
      </c>
    </row>
    <row r="674" spans="2:15">
      <c r="B674">
        <v>666</v>
      </c>
      <c r="D674">
        <v>1011.6693639400225</v>
      </c>
      <c r="E674">
        <v>1486.7257113923959</v>
      </c>
      <c r="F674">
        <v>0.69759373811490355</v>
      </c>
      <c r="G674">
        <v>0.72793804985743504</v>
      </c>
      <c r="H674" s="3">
        <v>398.22299985609692</v>
      </c>
      <c r="I674" s="3">
        <v>2.3150279550649428E-2</v>
      </c>
      <c r="J674" s="3">
        <v>3.2391295578445799E-3</v>
      </c>
      <c r="K674" s="1">
        <v>9.8761795554461948E-3</v>
      </c>
      <c r="L674" s="1">
        <v>-122.86549843792437</v>
      </c>
      <c r="M674" s="1">
        <v>-390.61660022802704</v>
      </c>
      <c r="N674" s="1">
        <v>-513.48209866595141</v>
      </c>
      <c r="O674" s="1">
        <v>-513.48209866595141</v>
      </c>
    </row>
    <row r="675" spans="2:15">
      <c r="B675">
        <v>667</v>
      </c>
      <c r="D675">
        <v>889.51031734061939</v>
      </c>
      <c r="E675">
        <v>1387.425779846111</v>
      </c>
      <c r="F675">
        <v>0.69813715591615333</v>
      </c>
      <c r="G675">
        <v>0.7281887037659962</v>
      </c>
      <c r="H675" s="3">
        <v>410.47939379762397</v>
      </c>
      <c r="I675" s="3">
        <v>2.1257079763153861E-2</v>
      </c>
      <c r="J675" s="3">
        <v>7.3311007327266434E-4</v>
      </c>
      <c r="K675" s="1">
        <v>7.5744333032330621E-3</v>
      </c>
      <c r="L675" s="1">
        <v>-186.97169433897585</v>
      </c>
      <c r="M675" s="1">
        <v>-315.48232026759081</v>
      </c>
      <c r="N675" s="1">
        <v>-502.4540146065666</v>
      </c>
      <c r="O675" s="1">
        <v>-502.45401460656666</v>
      </c>
    </row>
    <row r="676" spans="2:15">
      <c r="B676">
        <v>668</v>
      </c>
      <c r="D676">
        <v>861.30818975662567</v>
      </c>
      <c r="E676">
        <v>1369.1378097299821</v>
      </c>
      <c r="F676">
        <v>0.69124492406973792</v>
      </c>
      <c r="G676">
        <v>0.72285731378989493</v>
      </c>
      <c r="H676" s="3">
        <v>417.27182060672584</v>
      </c>
      <c r="I676" s="3">
        <v>2.2266903114042443E-2</v>
      </c>
      <c r="J676" s="3">
        <v>1.40331208370615E-3</v>
      </c>
      <c r="K676" s="1">
        <v>8.3578424271515822E-3</v>
      </c>
      <c r="L676" s="1">
        <v>-266.54019593042642</v>
      </c>
      <c r="M676" s="1">
        <v>-314.799605369365</v>
      </c>
      <c r="N676" s="1">
        <v>-581.33980129979147</v>
      </c>
      <c r="O676" s="1">
        <v>-581.33980129979136</v>
      </c>
    </row>
    <row r="677" spans="2:15">
      <c r="B677">
        <v>669</v>
      </c>
      <c r="D677">
        <v>816.99047277302179</v>
      </c>
      <c r="E677">
        <v>1323.8093823892868</v>
      </c>
      <c r="F677">
        <v>0.68939025337493176</v>
      </c>
      <c r="G677">
        <v>0.7045861080035104</v>
      </c>
      <c r="H677" s="3">
        <v>424.69813913756155</v>
      </c>
      <c r="I677" s="3">
        <v>1.1117214058017454E-2</v>
      </c>
      <c r="J677" s="3">
        <v>-1.0117692898860624E-2</v>
      </c>
      <c r="K677" s="1">
        <v>-3.0393905799012653E-3</v>
      </c>
      <c r="L677" s="1">
        <v>-287.6026103439911</v>
      </c>
      <c r="M677" s="1">
        <v>-440.58934489971909</v>
      </c>
      <c r="N677" s="1">
        <v>-728.19195524371025</v>
      </c>
      <c r="O677" s="1">
        <v>-728.19195524371025</v>
      </c>
    </row>
    <row r="678" spans="2:15">
      <c r="B678">
        <v>670</v>
      </c>
      <c r="D678">
        <v>774.88441193208337</v>
      </c>
      <c r="E678">
        <v>1245.8812442220317</v>
      </c>
      <c r="F678">
        <v>0.69053314663018761</v>
      </c>
      <c r="G678">
        <v>0.73087652522971802</v>
      </c>
      <c r="H678" s="3">
        <v>383.39794038665934</v>
      </c>
      <c r="I678" s="3">
        <v>2.9066343823488813E-2</v>
      </c>
      <c r="J678" s="3">
        <v>9.8964468041558458E-3</v>
      </c>
      <c r="K678" s="1">
        <v>1.6286412477266837E-2</v>
      </c>
      <c r="L678" s="1">
        <v>-175.68076127223409</v>
      </c>
      <c r="M678" s="1">
        <v>-217.57088676022039</v>
      </c>
      <c r="N678" s="1">
        <v>-393.25164803245445</v>
      </c>
      <c r="O678" s="1">
        <v>-393.25164803245445</v>
      </c>
    </row>
    <row r="679" spans="2:15">
      <c r="B679">
        <v>671</v>
      </c>
      <c r="D679">
        <v>1270.139540601165</v>
      </c>
      <c r="E679">
        <v>1741.5530247728145</v>
      </c>
      <c r="F679">
        <v>0.68227537974203245</v>
      </c>
      <c r="G679">
        <v>0.71748463632516712</v>
      </c>
      <c r="H679" s="3">
        <v>391.77613800242381</v>
      </c>
      <c r="I679" s="3">
        <v>2.490487820770557E-2</v>
      </c>
      <c r="J679" s="3">
        <v>5.3160713075843767E-3</v>
      </c>
      <c r="K679" s="1">
        <v>1.1845673607624774E-2</v>
      </c>
      <c r="L679" s="1">
        <v>-271.55072884332424</v>
      </c>
      <c r="M679" s="1">
        <v>-288.63107317373613</v>
      </c>
      <c r="N679" s="1">
        <v>-560.18180201706036</v>
      </c>
      <c r="O679" s="1">
        <v>-560.18180201706036</v>
      </c>
    </row>
    <row r="680" spans="2:15">
      <c r="B680">
        <v>672</v>
      </c>
      <c r="D680">
        <v>746.37636606573108</v>
      </c>
      <c r="E680">
        <v>1238.5979731082948</v>
      </c>
      <c r="F680">
        <v>0.6945271278403562</v>
      </c>
      <c r="G680">
        <v>0.7302593293107984</v>
      </c>
      <c r="H680" s="3">
        <v>410.45173937858914</v>
      </c>
      <c r="I680" s="3">
        <v>2.5749348529290537E-2</v>
      </c>
      <c r="J680" s="3">
        <v>5.2267615603610804E-3</v>
      </c>
      <c r="K680" s="1">
        <v>1.2067623883337566E-2</v>
      </c>
      <c r="L680" s="1">
        <v>-144.99764240307357</v>
      </c>
      <c r="M680" s="1">
        <v>-278.8248847317526</v>
      </c>
      <c r="N680" s="1">
        <v>-423.82252713482603</v>
      </c>
      <c r="O680" s="1">
        <v>-423.82252713482615</v>
      </c>
    </row>
    <row r="681" spans="2:15">
      <c r="B681">
        <v>673</v>
      </c>
      <c r="D681">
        <v>965.71811480917017</v>
      </c>
      <c r="E681">
        <v>1441.7781352796721</v>
      </c>
      <c r="F681">
        <v>0.69792807346269181</v>
      </c>
      <c r="G681">
        <v>0.73507508209014361</v>
      </c>
      <c r="H681" s="3">
        <v>398.67256979041974</v>
      </c>
      <c r="I681" s="3">
        <v>2.7306769064810204E-2</v>
      </c>
      <c r="J681" s="3">
        <v>7.3731405752892193E-3</v>
      </c>
      <c r="K681" s="1">
        <v>1.4017683405129547E-2</v>
      </c>
      <c r="L681" s="1">
        <v>-441.93796347652977</v>
      </c>
      <c r="M681" s="1">
        <v>-431.45605640577304</v>
      </c>
      <c r="N681" s="1">
        <v>-873.39401988230281</v>
      </c>
      <c r="O681" s="1">
        <v>-873.39401988230281</v>
      </c>
    </row>
    <row r="682" spans="2:15">
      <c r="B682">
        <v>674</v>
      </c>
      <c r="D682">
        <v>911.2950646553013</v>
      </c>
      <c r="E682">
        <v>1394.3273722773565</v>
      </c>
      <c r="F682">
        <v>0.68932509551172638</v>
      </c>
      <c r="G682">
        <v>0.72110915849962998</v>
      </c>
      <c r="H682" s="3">
        <v>408.14396104035859</v>
      </c>
      <c r="I682" s="3">
        <v>2.4203474582395395E-2</v>
      </c>
      <c r="J682" s="3">
        <v>3.7962765303774688E-3</v>
      </c>
      <c r="K682" s="1">
        <v>1.059867588105011E-2</v>
      </c>
      <c r="L682" s="1">
        <v>-266.70846840192058</v>
      </c>
      <c r="M682" s="1">
        <v>-322.48405515751904</v>
      </c>
      <c r="N682" s="1">
        <v>-589.19252355943968</v>
      </c>
      <c r="O682" s="1">
        <v>-589.19252355943968</v>
      </c>
    </row>
    <row r="683" spans="2:15">
      <c r="B683">
        <v>675</v>
      </c>
      <c r="D683">
        <v>752.75154077066577</v>
      </c>
      <c r="E683">
        <v>1263.4005067633789</v>
      </c>
      <c r="F683">
        <v>0.69836474351325351</v>
      </c>
      <c r="G683">
        <v>0.71712384974672361</v>
      </c>
      <c r="H683" s="3">
        <v>404.57897055582623</v>
      </c>
      <c r="I683" s="3">
        <v>1.4010109178538491E-2</v>
      </c>
      <c r="J683" s="3">
        <v>-6.2188393492528197E-3</v>
      </c>
      <c r="K683" s="1">
        <v>5.2414349334428331E-4</v>
      </c>
      <c r="L683" s="1">
        <v>-352.03301605917358</v>
      </c>
      <c r="M683" s="1">
        <v>-214.02001726192685</v>
      </c>
      <c r="N683" s="1">
        <v>-566.05303332110043</v>
      </c>
      <c r="O683" s="1">
        <v>-566.05303332110043</v>
      </c>
    </row>
    <row r="684" spans="2:15">
      <c r="B684">
        <v>676</v>
      </c>
      <c r="D684">
        <v>1188.9677652126477</v>
      </c>
      <c r="E684">
        <v>1669.7132214327701</v>
      </c>
      <c r="F684">
        <v>0.68632798024175434</v>
      </c>
      <c r="G684">
        <v>0.72171761424478897</v>
      </c>
      <c r="H684" s="3">
        <v>405.01831951707737</v>
      </c>
      <c r="I684" s="3">
        <v>2.6440281032374571E-2</v>
      </c>
      <c r="J684" s="3">
        <v>6.1893650565207035E-3</v>
      </c>
      <c r="K684" s="1">
        <v>1.2939670381805326E-2</v>
      </c>
      <c r="L684" s="1">
        <v>-360.22069789194234</v>
      </c>
      <c r="M684" s="1">
        <v>-249.6602525562501</v>
      </c>
      <c r="N684" s="1">
        <v>-609.88095044819238</v>
      </c>
      <c r="O684" s="1">
        <v>-609.88095044819238</v>
      </c>
    </row>
    <row r="685" spans="2:15">
      <c r="B685">
        <v>677</v>
      </c>
      <c r="D685">
        <v>708.64063445735655</v>
      </c>
      <c r="E685">
        <v>1211.2737496119153</v>
      </c>
      <c r="F685">
        <v>0.68869269911057251</v>
      </c>
      <c r="G685">
        <v>0.71068581857871016</v>
      </c>
      <c r="H685" s="3">
        <v>420.06615287932118</v>
      </c>
      <c r="I685" s="3">
        <v>1.6032152618073434E-2</v>
      </c>
      <c r="J685" s="3">
        <v>-4.9711550258926297E-3</v>
      </c>
      <c r="K685" s="1">
        <v>2.0299475220960598E-3</v>
      </c>
      <c r="L685" s="1">
        <v>-334.78582683681782</v>
      </c>
      <c r="M685" s="1">
        <v>-362.56982121690982</v>
      </c>
      <c r="N685" s="1">
        <v>-697.35564805372769</v>
      </c>
      <c r="O685" s="1">
        <v>-697.35564805372769</v>
      </c>
    </row>
    <row r="686" spans="2:15">
      <c r="B686">
        <v>678</v>
      </c>
      <c r="D686">
        <v>890.88569109952675</v>
      </c>
      <c r="E686">
        <v>1383.3804043263433</v>
      </c>
      <c r="F686">
        <v>0.69150274675278067</v>
      </c>
      <c r="G686">
        <v>0.73732737811548321</v>
      </c>
      <c r="H686" s="3">
        <v>410.70233824798316</v>
      </c>
      <c r="I686" s="3">
        <v>3.4156133996185022E-2</v>
      </c>
      <c r="J686" s="3">
        <v>1.3621017083785866E-2</v>
      </c>
      <c r="K686" s="1">
        <v>2.0466056054585582E-2</v>
      </c>
      <c r="L686" s="1">
        <v>27.511538424561579</v>
      </c>
      <c r="M686" s="1">
        <v>-438.05878439570193</v>
      </c>
      <c r="N686" s="1">
        <v>-410.54724597114034</v>
      </c>
      <c r="O686" s="1">
        <v>-410.54724597114034</v>
      </c>
    </row>
    <row r="687" spans="2:15">
      <c r="B687">
        <v>679</v>
      </c>
      <c r="D687">
        <v>869.04470349597045</v>
      </c>
      <c r="E687">
        <v>1316.4308317530495</v>
      </c>
      <c r="F687">
        <v>0.67605954989290651</v>
      </c>
      <c r="G687">
        <v>0.72172467225446724</v>
      </c>
      <c r="H687" s="3">
        <v>371.38243696352987</v>
      </c>
      <c r="I687" s="3">
        <v>3.3537553087130072E-2</v>
      </c>
      <c r="J687" s="3">
        <v>1.496843123895358E-2</v>
      </c>
      <c r="K687" s="1">
        <v>2.1158138521679075E-2</v>
      </c>
      <c r="L687" s="1">
        <v>-459.63827249659926</v>
      </c>
      <c r="M687" s="1">
        <v>-419.98545704650672</v>
      </c>
      <c r="N687" s="1">
        <v>-879.62372954310604</v>
      </c>
      <c r="O687" s="1">
        <v>-879.62372954310604</v>
      </c>
    </row>
    <row r="688" spans="2:15">
      <c r="B688">
        <v>680</v>
      </c>
      <c r="D688">
        <v>908.68573921396023</v>
      </c>
      <c r="E688">
        <v>1416.6820588513003</v>
      </c>
      <c r="F688">
        <v>0.69360782936194365</v>
      </c>
      <c r="G688">
        <v>0.72375795600044424</v>
      </c>
      <c r="H688" s="3">
        <v>407.43907061384226</v>
      </c>
      <c r="I688" s="3">
        <v>2.0795889369962756E-2</v>
      </c>
      <c r="J688" s="3">
        <v>4.2393583927064632E-4</v>
      </c>
      <c r="K688" s="1">
        <v>7.2145870161680163E-3</v>
      </c>
      <c r="L688" s="1">
        <v>-168.26329234661753</v>
      </c>
      <c r="M688" s="1">
        <v>-394.00391890467495</v>
      </c>
      <c r="N688" s="1">
        <v>-562.26721125129245</v>
      </c>
      <c r="O688" s="1">
        <v>-562.26721125129245</v>
      </c>
    </row>
    <row r="689" spans="2:15">
      <c r="B689">
        <v>681</v>
      </c>
      <c r="D689">
        <v>964.5939527868527</v>
      </c>
      <c r="E689">
        <v>1468.5750285511408</v>
      </c>
      <c r="F689">
        <v>0.68517652992585554</v>
      </c>
      <c r="G689">
        <v>0.71137429146600994</v>
      </c>
      <c r="H689" s="3">
        <v>425.55537801765269</v>
      </c>
      <c r="I689" s="3">
        <v>1.9822636848315343E-2</v>
      </c>
      <c r="J689" s="3">
        <v>-1.4551320525672887E-3</v>
      </c>
      <c r="K689" s="1">
        <v>5.6374575810602557E-3</v>
      </c>
      <c r="L689" s="1">
        <v>-389.32451670014814</v>
      </c>
      <c r="M689" s="1">
        <v>-378.72236420015753</v>
      </c>
      <c r="N689" s="1">
        <v>-768.04688090030572</v>
      </c>
      <c r="O689" s="1">
        <v>-768.04688090030572</v>
      </c>
    </row>
    <row r="690" spans="2:15">
      <c r="B690">
        <v>682</v>
      </c>
      <c r="D690">
        <v>770.57403530844988</v>
      </c>
      <c r="E690">
        <v>1230.0603066599892</v>
      </c>
      <c r="F690">
        <v>0.6795914160951656</v>
      </c>
      <c r="G690">
        <v>0.72042925035983152</v>
      </c>
      <c r="H690" s="3">
        <v>374.87249684219614</v>
      </c>
      <c r="I690" s="3">
        <v>2.966077828644343E-2</v>
      </c>
      <c r="J690" s="3">
        <v>1.0917153444333624E-2</v>
      </c>
      <c r="K690" s="1">
        <v>1.7165028391703561E-2</v>
      </c>
      <c r="L690" s="1">
        <v>-79.612171281461954</v>
      </c>
      <c r="M690" s="1">
        <v>-397.92043052000059</v>
      </c>
      <c r="N690" s="1">
        <v>-477.53260180146265</v>
      </c>
      <c r="O690" s="1">
        <v>-477.53260180146253</v>
      </c>
    </row>
    <row r="691" spans="2:15">
      <c r="B691">
        <v>683</v>
      </c>
      <c r="D691">
        <v>900.23535351681369</v>
      </c>
      <c r="E691">
        <v>1396.3394478233647</v>
      </c>
      <c r="F691">
        <v>0.6802781885498711</v>
      </c>
      <c r="G691">
        <v>0.70941829642605336</v>
      </c>
      <c r="H691" s="3">
        <v>401.04664953220259</v>
      </c>
      <c r="I691" s="3">
        <v>2.1165592048913048E-2</v>
      </c>
      <c r="J691" s="3">
        <v>1.1132595723029153E-3</v>
      </c>
      <c r="K691" s="1">
        <v>7.7973703978396255E-3</v>
      </c>
      <c r="L691" s="1">
        <v>-181.43814447700572</v>
      </c>
      <c r="M691" s="1">
        <v>-408.43363731509663</v>
      </c>
      <c r="N691" s="1">
        <v>-589.87178179210241</v>
      </c>
      <c r="O691" s="1">
        <v>-589.87178179210241</v>
      </c>
    </row>
    <row r="692" spans="2:15">
      <c r="B692">
        <v>684</v>
      </c>
      <c r="D692">
        <v>796.91114761612414</v>
      </c>
      <c r="E692">
        <v>1273.9056487311032</v>
      </c>
      <c r="F692">
        <v>0.68524182105127962</v>
      </c>
      <c r="G692">
        <v>0.73071428888359757</v>
      </c>
      <c r="H692" s="3">
        <v>389.61825027611701</v>
      </c>
      <c r="I692" s="3">
        <v>3.2549389368158273E-2</v>
      </c>
      <c r="J692" s="3">
        <v>1.3068476854352421E-2</v>
      </c>
      <c r="K692" s="1">
        <v>1.9562114358954372E-2</v>
      </c>
      <c r="L692" s="1">
        <v>-226.56990963578264</v>
      </c>
      <c r="M692" s="1">
        <v>-463.99265904949749</v>
      </c>
      <c r="N692" s="1">
        <v>-690.56256868527998</v>
      </c>
      <c r="O692" s="1">
        <v>-690.5625686852801</v>
      </c>
    </row>
    <row r="693" spans="2:15">
      <c r="B693">
        <v>685</v>
      </c>
      <c r="D693">
        <v>763.49865037100665</v>
      </c>
      <c r="E693">
        <v>1248.0928478422829</v>
      </c>
      <c r="F693">
        <v>0.69248636937209906</v>
      </c>
      <c r="G693">
        <v>0.72427715497570977</v>
      </c>
      <c r="H693" s="3">
        <v>394.28793840098001</v>
      </c>
      <c r="I693" s="3">
        <v>2.3531040848618751E-2</v>
      </c>
      <c r="J693" s="3">
        <v>3.8166439285697504E-3</v>
      </c>
      <c r="K693" s="1">
        <v>1.0388109568586084E-2</v>
      </c>
      <c r="L693" s="1">
        <v>-409.9986740722922</v>
      </c>
      <c r="M693" s="1">
        <v>-396.24569832919099</v>
      </c>
      <c r="N693" s="1">
        <v>-806.24437240148325</v>
      </c>
      <c r="O693" s="1">
        <v>-806.24437240148313</v>
      </c>
    </row>
    <row r="694" spans="2:15">
      <c r="B694">
        <v>686</v>
      </c>
      <c r="D694">
        <v>914.75573590964291</v>
      </c>
      <c r="E694">
        <v>1387.3203628599601</v>
      </c>
      <c r="F694">
        <v>0.69448411309517599</v>
      </c>
      <c r="G694">
        <v>0.72762557865068189</v>
      </c>
      <c r="H694" s="3">
        <v>382.34680757006356</v>
      </c>
      <c r="I694" s="3">
        <v>2.289393432553289E-2</v>
      </c>
      <c r="J694" s="3">
        <v>3.7765939470297133E-3</v>
      </c>
      <c r="K694" s="1">
        <v>1.0149040739864106E-2</v>
      </c>
      <c r="L694" s="1">
        <v>-439.42651249441667</v>
      </c>
      <c r="M694" s="1">
        <v>-232.64722872088646</v>
      </c>
      <c r="N694" s="1">
        <v>-672.07374121530313</v>
      </c>
      <c r="O694" s="1">
        <v>-672.07374121530313</v>
      </c>
    </row>
    <row r="695" spans="2:15">
      <c r="B695">
        <v>687</v>
      </c>
      <c r="D695">
        <v>790.04174210456131</v>
      </c>
      <c r="E695">
        <v>1301.0566953629288</v>
      </c>
      <c r="F695">
        <v>0.69734410006471337</v>
      </c>
      <c r="G695">
        <v>0.72767472073584039</v>
      </c>
      <c r="H695" s="3">
        <v>421.83279600911476</v>
      </c>
      <c r="I695" s="3">
        <v>2.1513308365774218E-2</v>
      </c>
      <c r="J695" s="3">
        <v>4.2166856531847957E-4</v>
      </c>
      <c r="K695" s="1">
        <v>7.4522151654703925E-3</v>
      </c>
      <c r="L695" s="1">
        <v>-278.29186670161255</v>
      </c>
      <c r="M695" s="1">
        <v>-287.03207684332386</v>
      </c>
      <c r="N695" s="1">
        <v>-565.32394354493647</v>
      </c>
      <c r="O695" s="1">
        <v>-565.32394354493636</v>
      </c>
    </row>
    <row r="696" spans="2:15">
      <c r="B696">
        <v>688</v>
      </c>
      <c r="D696">
        <v>953.71552718034877</v>
      </c>
      <c r="E696">
        <v>1468.9644561302125</v>
      </c>
      <c r="F696">
        <v>0.68537321077902646</v>
      </c>
      <c r="G696">
        <v>0.71526102455341967</v>
      </c>
      <c r="H696" s="3">
        <v>444.46651510867702</v>
      </c>
      <c r="I696" s="3">
        <v>2.3386708131448049E-2</v>
      </c>
      <c r="J696" s="3">
        <v>1.1633823760141999E-3</v>
      </c>
      <c r="K696" s="1">
        <v>8.571157627825482E-3</v>
      </c>
      <c r="L696" s="1">
        <v>-200.25282886511133</v>
      </c>
      <c r="M696" s="1">
        <v>-317.80128438115395</v>
      </c>
      <c r="N696" s="1">
        <v>-518.05411324626527</v>
      </c>
      <c r="O696" s="1">
        <v>-518.05411324626527</v>
      </c>
    </row>
    <row r="697" spans="2:15">
      <c r="B697">
        <v>689</v>
      </c>
      <c r="D697">
        <v>822.01306504179888</v>
      </c>
      <c r="E697">
        <v>1335.2207831453034</v>
      </c>
      <c r="F697">
        <v>0.69397562316293104</v>
      </c>
      <c r="G697">
        <v>0.71863982368017476</v>
      </c>
      <c r="H697" s="3">
        <v>423.51622910133119</v>
      </c>
      <c r="I697" s="3">
        <v>1.7491145265716705E-2</v>
      </c>
      <c r="J697" s="3">
        <v>-3.6846661893498549E-3</v>
      </c>
      <c r="K697" s="1">
        <v>3.3739376290056657E-3</v>
      </c>
      <c r="L697" s="1">
        <v>-412.54721014550506</v>
      </c>
      <c r="M697" s="1">
        <v>-313.95515853617928</v>
      </c>
      <c r="N697" s="1">
        <v>-726.50236868168429</v>
      </c>
      <c r="O697" s="1">
        <v>-726.5023686816844</v>
      </c>
    </row>
    <row r="698" spans="2:15">
      <c r="B698">
        <v>690</v>
      </c>
      <c r="D698">
        <v>920.83586826953251</v>
      </c>
      <c r="E698">
        <v>1402.0461059947447</v>
      </c>
      <c r="F698">
        <v>0.68341354114841824</v>
      </c>
      <c r="G698">
        <v>0.71867303974595775</v>
      </c>
      <c r="H698" s="3">
        <v>383.81760387074013</v>
      </c>
      <c r="I698" s="3">
        <v>2.35464000714329E-2</v>
      </c>
      <c r="J698" s="3">
        <v>4.3555198778958935E-3</v>
      </c>
      <c r="K698" s="1">
        <v>1.0752479942408228E-2</v>
      </c>
      <c r="L698" s="1">
        <v>-273.51026886467565</v>
      </c>
      <c r="M698" s="1">
        <v>-335.18189416130031</v>
      </c>
      <c r="N698" s="1">
        <v>-608.69216302597601</v>
      </c>
      <c r="O698" s="1">
        <v>-608.69216302597601</v>
      </c>
    </row>
    <row r="699" spans="2:15">
      <c r="B699">
        <v>691</v>
      </c>
      <c r="D699">
        <v>816.51440751543123</v>
      </c>
      <c r="E699">
        <v>1311.7826280487561</v>
      </c>
      <c r="F699">
        <v>0.69008948748802901</v>
      </c>
      <c r="G699">
        <v>0.72824497896380858</v>
      </c>
      <c r="H699" s="3">
        <v>397.81687007548658</v>
      </c>
      <c r="I699" s="3">
        <v>2.6912657837174447E-2</v>
      </c>
      <c r="J699" s="3">
        <v>7.0218143334001178E-3</v>
      </c>
      <c r="K699" s="1">
        <v>1.3652095501324894E-2</v>
      </c>
      <c r="L699" s="1">
        <v>-221.50996265645821</v>
      </c>
      <c r="M699" s="1">
        <v>-284.53882174134986</v>
      </c>
      <c r="N699" s="1">
        <v>-506.04878439780811</v>
      </c>
      <c r="O699" s="1">
        <v>-506.04878439780805</v>
      </c>
    </row>
    <row r="700" spans="2:15">
      <c r="B700">
        <v>692</v>
      </c>
      <c r="D700">
        <v>961.40965509127602</v>
      </c>
      <c r="E700">
        <v>1469.0274742669146</v>
      </c>
      <c r="F700">
        <v>0.70656570208915981</v>
      </c>
      <c r="G700">
        <v>0.71973146529549203</v>
      </c>
      <c r="H700" s="3">
        <v>415.4801368002552</v>
      </c>
      <c r="I700" s="3">
        <v>9.5896530134184626E-3</v>
      </c>
      <c r="J700" s="3">
        <v>-1.1184353826594296E-2</v>
      </c>
      <c r="K700" s="1">
        <v>-4.2596848799233769E-3</v>
      </c>
      <c r="L700" s="1">
        <v>-182.18290138042283</v>
      </c>
      <c r="M700" s="1">
        <v>-370.70631829202614</v>
      </c>
      <c r="N700" s="1">
        <v>-552.88921967244903</v>
      </c>
      <c r="O700" s="1">
        <v>-552.88921967244892</v>
      </c>
    </row>
    <row r="701" spans="2:15">
      <c r="B701">
        <v>693</v>
      </c>
      <c r="D701">
        <v>910.83059593107305</v>
      </c>
      <c r="E701">
        <v>1411.1721001282851</v>
      </c>
      <c r="F701">
        <v>0.68838758772110931</v>
      </c>
      <c r="G701">
        <v>0.72167461907844388</v>
      </c>
      <c r="H701" s="3">
        <v>414.63530710568989</v>
      </c>
      <c r="I701" s="3">
        <v>2.4169816823911745E-2</v>
      </c>
      <c r="J701" s="3">
        <v>3.4380514686272491E-3</v>
      </c>
      <c r="K701" s="1">
        <v>1.0348639920388748E-2</v>
      </c>
      <c r="L701" s="1">
        <v>-224.24294527178671</v>
      </c>
      <c r="M701" s="1">
        <v>-377.44658396116773</v>
      </c>
      <c r="N701" s="1">
        <v>-601.68952923295444</v>
      </c>
      <c r="O701" s="1">
        <v>-601.68952923295444</v>
      </c>
    </row>
    <row r="702" spans="2:15">
      <c r="B702">
        <v>694</v>
      </c>
      <c r="D702">
        <v>803.79742656292285</v>
      </c>
      <c r="E702">
        <v>1314.9432804476696</v>
      </c>
      <c r="F702">
        <v>0.70466800088297432</v>
      </c>
      <c r="G702">
        <v>0.73144984288471782</v>
      </c>
      <c r="H702" s="3">
        <v>422.98632802068931</v>
      </c>
      <c r="I702" s="3">
        <v>1.9799066350067902E-2</v>
      </c>
      <c r="J702" s="3">
        <v>-1.3502500509665651E-3</v>
      </c>
      <c r="K702" s="1">
        <v>5.6995220827115913E-3</v>
      </c>
      <c r="L702" s="1">
        <v>-176.13774882111491</v>
      </c>
      <c r="M702" s="1">
        <v>-303.68731931470461</v>
      </c>
      <c r="N702" s="1">
        <v>-479.82506813581949</v>
      </c>
      <c r="O702" s="1">
        <v>-479.82506813581949</v>
      </c>
    </row>
    <row r="703" spans="2:15">
      <c r="B703">
        <v>695</v>
      </c>
      <c r="D703">
        <v>1033.1090226121314</v>
      </c>
      <c r="E703">
        <v>1487.6830296951882</v>
      </c>
      <c r="F703">
        <v>0.69974689334518236</v>
      </c>
      <c r="G703">
        <v>0.73196596785691848</v>
      </c>
      <c r="H703" s="3">
        <v>376.07039355763618</v>
      </c>
      <c r="I703" s="3">
        <v>2.226087281772739E-2</v>
      </c>
      <c r="J703" s="3">
        <v>3.4573531398455828E-3</v>
      </c>
      <c r="K703" s="1">
        <v>9.7251930324728526E-3</v>
      </c>
      <c r="L703" s="1">
        <v>-453.356019253478</v>
      </c>
      <c r="M703" s="1">
        <v>-407.61171891409003</v>
      </c>
      <c r="N703" s="1">
        <v>-860.96773816756786</v>
      </c>
      <c r="O703" s="1">
        <v>-860.96773816756809</v>
      </c>
    </row>
    <row r="704" spans="2:15">
      <c r="B704">
        <v>696</v>
      </c>
      <c r="D704">
        <v>881.10593188521693</v>
      </c>
      <c r="E704">
        <v>1329.9418701551272</v>
      </c>
      <c r="F704">
        <v>0.69634213591079264</v>
      </c>
      <c r="G704">
        <v>0.73568656959689815</v>
      </c>
      <c r="H704" s="3">
        <v>370.00856920743416</v>
      </c>
      <c r="I704" s="3">
        <v>2.8017852796412567E-2</v>
      </c>
      <c r="J704" s="3">
        <v>9.5174243360408584E-3</v>
      </c>
      <c r="K704" s="1">
        <v>1.5684233822831427E-2</v>
      </c>
      <c r="L704" s="1">
        <v>-309.51427399532599</v>
      </c>
      <c r="M704" s="1">
        <v>-298.37665482882301</v>
      </c>
      <c r="N704" s="1">
        <v>-607.89092882414889</v>
      </c>
      <c r="O704" s="1">
        <v>-607.890928824149</v>
      </c>
    </row>
    <row r="705" spans="2:15">
      <c r="B705">
        <v>697</v>
      </c>
      <c r="D705">
        <v>821.89882839163965</v>
      </c>
      <c r="E705">
        <v>1309.5301869750708</v>
      </c>
      <c r="F705">
        <v>0.6833515639167872</v>
      </c>
      <c r="G705">
        <v>0.71304339004608086</v>
      </c>
      <c r="H705" s="3">
        <v>384.7405501606321</v>
      </c>
      <c r="I705" s="3">
        <v>1.9002929711869485E-2</v>
      </c>
      <c r="J705" s="3">
        <v>-2.3409779616212142E-4</v>
      </c>
      <c r="K705" s="1">
        <v>6.1782447065150802E-3</v>
      </c>
      <c r="L705" s="1">
        <v>-313.03740735320821</v>
      </c>
      <c r="M705" s="1">
        <v>-362.50245264870046</v>
      </c>
      <c r="N705" s="1">
        <v>-675.53986000190855</v>
      </c>
      <c r="O705" s="1">
        <v>-675.53986000190866</v>
      </c>
    </row>
    <row r="706" spans="2:15">
      <c r="B706">
        <v>698</v>
      </c>
      <c r="D706">
        <v>947.77156494283452</v>
      </c>
      <c r="E706">
        <v>1447.7671724447146</v>
      </c>
      <c r="F706">
        <v>0.68953970354859151</v>
      </c>
      <c r="G706">
        <v>0.71465317110632343</v>
      </c>
      <c r="H706" s="3">
        <v>402.04639969669614</v>
      </c>
      <c r="I706" s="3">
        <v>1.8051021657951607E-2</v>
      </c>
      <c r="J706" s="3">
        <v>-2.0512983268832011E-3</v>
      </c>
      <c r="K706" s="1">
        <v>4.6494750013950682E-3</v>
      </c>
      <c r="L706" s="1">
        <v>-239.42512103461328</v>
      </c>
      <c r="M706" s="1">
        <v>-289.97146664907262</v>
      </c>
      <c r="N706" s="1">
        <v>-529.39658768368588</v>
      </c>
      <c r="O706" s="1">
        <v>-529.39658768368588</v>
      </c>
    </row>
    <row r="707" spans="2:15">
      <c r="B707">
        <v>699</v>
      </c>
      <c r="D707">
        <v>1013.8986734166662</v>
      </c>
      <c r="E707">
        <v>1457.5296165023774</v>
      </c>
      <c r="F707">
        <v>0.67791146413530246</v>
      </c>
      <c r="G707">
        <v>0.72319029250235523</v>
      </c>
      <c r="H707" s="3">
        <v>372.8067712559216</v>
      </c>
      <c r="I707" s="3">
        <v>3.2466252248483603E-2</v>
      </c>
      <c r="J707" s="3">
        <v>1.3825913685687523E-2</v>
      </c>
      <c r="K707" s="1">
        <v>2.0039359873286214E-2</v>
      </c>
      <c r="L707" s="1">
        <v>-354.99123804613265</v>
      </c>
      <c r="M707" s="1">
        <v>-305.83432386912915</v>
      </c>
      <c r="N707" s="1">
        <v>-660.8255619152618</v>
      </c>
      <c r="O707" s="1">
        <v>-660.8255619152618</v>
      </c>
    </row>
    <row r="708" spans="2:15">
      <c r="B708">
        <v>700</v>
      </c>
      <c r="D708">
        <v>874.39004402216824</v>
      </c>
      <c r="E708">
        <v>1360.9506983865585</v>
      </c>
      <c r="F708">
        <v>0.68707142600391169</v>
      </c>
      <c r="G708">
        <v>0.72533793533614355</v>
      </c>
      <c r="H708" s="3">
        <v>395.4926481448673</v>
      </c>
      <c r="I708" s="3">
        <v>2.7156772895190577E-2</v>
      </c>
      <c r="J708" s="3">
        <v>7.3821404879472162E-3</v>
      </c>
      <c r="K708" s="1">
        <v>1.3973684623695002E-2</v>
      </c>
      <c r="L708" s="1">
        <v>-174.60639066983168</v>
      </c>
      <c r="M708" s="1">
        <v>-381.42790514339339</v>
      </c>
      <c r="N708" s="1">
        <v>-556.03429581322507</v>
      </c>
      <c r="O708" s="1">
        <v>-556.03429581322507</v>
      </c>
    </row>
    <row r="709" spans="2:15">
      <c r="B709">
        <v>701</v>
      </c>
      <c r="D709">
        <v>941.12712762155752</v>
      </c>
      <c r="E709">
        <v>1463.1270326721501</v>
      </c>
      <c r="F709">
        <v>0.69618427576759623</v>
      </c>
      <c r="G709">
        <v>0.71720020359347125</v>
      </c>
      <c r="H709" s="3">
        <v>416.79079412779447</v>
      </c>
      <c r="I709" s="3">
        <v>1.4357304351320661E-2</v>
      </c>
      <c r="J709" s="3">
        <v>-6.4822353550690638E-3</v>
      </c>
      <c r="K709" s="1">
        <v>4.6427788039417849E-4</v>
      </c>
      <c r="L709" s="1">
        <v>-503.59586205748127</v>
      </c>
      <c r="M709" s="1">
        <v>-379.99772924073676</v>
      </c>
      <c r="N709" s="1">
        <v>-883.59359129821803</v>
      </c>
      <c r="O709" s="1">
        <v>-883.59359129821803</v>
      </c>
    </row>
    <row r="710" spans="2:15">
      <c r="B710">
        <v>702</v>
      </c>
      <c r="D710">
        <v>1273.211569403707</v>
      </c>
      <c r="E710">
        <v>1753.4623076487303</v>
      </c>
      <c r="F710">
        <v>0.69230074611589631</v>
      </c>
      <c r="G710">
        <v>0.71853525485871883</v>
      </c>
      <c r="H710" s="3">
        <v>389.61219732285258</v>
      </c>
      <c r="I710" s="3">
        <v>1.8814967639979321E-2</v>
      </c>
      <c r="J710" s="3">
        <v>-6.6564222616330784E-4</v>
      </c>
      <c r="K710" s="1">
        <v>5.8278943958842352E-3</v>
      </c>
      <c r="L710" s="1">
        <v>-320.13684442216601</v>
      </c>
      <c r="M710" s="1">
        <v>-275.23066031582925</v>
      </c>
      <c r="N710" s="1">
        <v>-595.36750473799532</v>
      </c>
      <c r="O710" s="1">
        <v>-595.3675047379952</v>
      </c>
    </row>
    <row r="711" spans="2:15">
      <c r="B711">
        <v>703</v>
      </c>
      <c r="D711">
        <v>1025.2995118628862</v>
      </c>
      <c r="E711">
        <v>1493.9292468748051</v>
      </c>
      <c r="F711">
        <v>0.68778665827298091</v>
      </c>
      <c r="G711">
        <v>0.7232281560731767</v>
      </c>
      <c r="H711" s="3">
        <v>377.58472766993748</v>
      </c>
      <c r="I711" s="3">
        <v>2.4742049476222237E-2</v>
      </c>
      <c r="J711" s="3">
        <v>5.8628130927253636E-3</v>
      </c>
      <c r="K711" s="1">
        <v>1.2155891887224322E-2</v>
      </c>
      <c r="L711" s="1">
        <v>-146.47188704604133</v>
      </c>
      <c r="M711" s="1">
        <v>-354.16398963855795</v>
      </c>
      <c r="N711" s="1">
        <v>-500.63587668459922</v>
      </c>
      <c r="O711" s="1">
        <v>-500.63587668459928</v>
      </c>
    </row>
    <row r="712" spans="2:15">
      <c r="B712">
        <v>704</v>
      </c>
      <c r="D712">
        <v>837.16071617521879</v>
      </c>
      <c r="E712">
        <v>1340.6723011278091</v>
      </c>
      <c r="F712">
        <v>0.6923898391606691</v>
      </c>
      <c r="G712">
        <v>0.73402188403866775</v>
      </c>
      <c r="H712" s="3">
        <v>409.05931503887876</v>
      </c>
      <c r="I712" s="3">
        <v>2.9908733571640166E-2</v>
      </c>
      <c r="J712" s="3">
        <v>9.4557678196962279E-3</v>
      </c>
      <c r="K712" s="1">
        <v>1.6273423070344205E-2</v>
      </c>
      <c r="L712" s="1">
        <v>-460.34970427979658</v>
      </c>
      <c r="M712" s="1">
        <v>-246.29475062168291</v>
      </c>
      <c r="N712" s="1">
        <v>-706.64445490147943</v>
      </c>
      <c r="O712" s="1">
        <v>-706.64445490147955</v>
      </c>
    </row>
    <row r="713" spans="2:15">
      <c r="B713">
        <v>705</v>
      </c>
      <c r="D713">
        <v>748.14840753209683</v>
      </c>
      <c r="E713">
        <v>1237.4324331297237</v>
      </c>
      <c r="F713">
        <v>0.68258170046388755</v>
      </c>
      <c r="G713">
        <v>0.71238879785874931</v>
      </c>
      <c r="H713" s="3">
        <v>387.07975989786485</v>
      </c>
      <c r="I713" s="3">
        <v>2.0044064733751938E-2</v>
      </c>
      <c r="J713" s="3">
        <v>6.9007673885869425E-4</v>
      </c>
      <c r="K713" s="1">
        <v>7.1414060704897767E-3</v>
      </c>
      <c r="L713" s="1">
        <v>-178.68488772161487</v>
      </c>
      <c r="M713" s="1">
        <v>-272.13972145220453</v>
      </c>
      <c r="N713" s="1">
        <v>-450.82460917381923</v>
      </c>
      <c r="O713" s="1">
        <v>-450.8246091738194</v>
      </c>
    </row>
    <row r="714" spans="2:15">
      <c r="B714">
        <v>706</v>
      </c>
      <c r="D714">
        <v>946.44530703192811</v>
      </c>
      <c r="E714">
        <v>1425.6311398918783</v>
      </c>
      <c r="F714">
        <v>0.7040627252050411</v>
      </c>
      <c r="G714">
        <v>0.73719037475303373</v>
      </c>
      <c r="H714" s="3">
        <v>406.1328983594081</v>
      </c>
      <c r="I714" s="3">
        <v>2.441930549243463E-2</v>
      </c>
      <c r="J714" s="3">
        <v>4.1126605744642233E-3</v>
      </c>
      <c r="K714" s="1">
        <v>1.0881542213787693E-2</v>
      </c>
      <c r="L714" s="1">
        <v>-331.79434623932104</v>
      </c>
      <c r="M714" s="1">
        <v>-402.0664685941781</v>
      </c>
      <c r="N714" s="1">
        <v>-733.86081483349915</v>
      </c>
      <c r="O714" s="1">
        <v>-733.86081483349915</v>
      </c>
    </row>
    <row r="715" spans="2:15">
      <c r="B715">
        <v>707</v>
      </c>
      <c r="D715">
        <v>631.23407957933466</v>
      </c>
      <c r="E715">
        <v>1135.9560851565939</v>
      </c>
      <c r="F715">
        <v>0.6944356865285306</v>
      </c>
      <c r="G715">
        <v>0.72020193615155037</v>
      </c>
      <c r="H715" s="3">
        <v>425.08554423745522</v>
      </c>
      <c r="I715" s="3">
        <v>1.9216804999434341E-2</v>
      </c>
      <c r="J715" s="3">
        <v>-2.0374722124384195E-3</v>
      </c>
      <c r="K715" s="1">
        <v>5.0472868581858347E-3</v>
      </c>
      <c r="L715" s="1">
        <v>-274.74314081308478</v>
      </c>
      <c r="M715" s="1">
        <v>-356.52081697847444</v>
      </c>
      <c r="N715" s="1">
        <v>-631.26395779155928</v>
      </c>
      <c r="O715" s="1">
        <v>-631.26395779155928</v>
      </c>
    </row>
    <row r="716" spans="2:15">
      <c r="B716">
        <v>708</v>
      </c>
      <c r="D716">
        <v>860.82694109070258</v>
      </c>
      <c r="E716">
        <v>1343.2281897008713</v>
      </c>
      <c r="F716">
        <v>0.68226334536099864</v>
      </c>
      <c r="G716">
        <v>0.7142438549949961</v>
      </c>
      <c r="H716" s="3">
        <v>396.56645153912973</v>
      </c>
      <c r="I716" s="3">
        <v>2.2559577738012725E-2</v>
      </c>
      <c r="J716" s="3">
        <v>2.7312551610562397E-3</v>
      </c>
      <c r="K716" s="1">
        <v>9.3406960200417329E-3</v>
      </c>
      <c r="L716" s="1">
        <v>-337.44156410971806</v>
      </c>
      <c r="M716" s="1">
        <v>-339.16415956369519</v>
      </c>
      <c r="N716" s="1">
        <v>-676.60572367341319</v>
      </c>
      <c r="O716" s="1">
        <v>-676.60572367341319</v>
      </c>
    </row>
    <row r="717" spans="2:15">
      <c r="B717">
        <v>709</v>
      </c>
      <c r="D717">
        <v>973.55420601062269</v>
      </c>
      <c r="E717">
        <v>1431.9366087305943</v>
      </c>
      <c r="F717">
        <v>0.69049167898099939</v>
      </c>
      <c r="G717">
        <v>0.72543700968895597</v>
      </c>
      <c r="H717" s="3">
        <v>377.23955164756325</v>
      </c>
      <c r="I717" s="3">
        <v>2.4398333091027541E-2</v>
      </c>
      <c r="J717" s="3">
        <v>5.5363555086493793E-3</v>
      </c>
      <c r="K717" s="1">
        <v>1.1823681369442099E-2</v>
      </c>
      <c r="L717" s="1">
        <v>-270.49805378624393</v>
      </c>
      <c r="M717" s="1">
        <v>-306.46062840035916</v>
      </c>
      <c r="N717" s="1">
        <v>-576.95868218660303</v>
      </c>
      <c r="O717" s="1">
        <v>-576.95868218660303</v>
      </c>
    </row>
    <row r="718" spans="2:15">
      <c r="B718">
        <v>710</v>
      </c>
      <c r="D718">
        <v>923.00166517759715</v>
      </c>
      <c r="E718">
        <v>1412.7417528323399</v>
      </c>
      <c r="F718">
        <v>0.69552246721238742</v>
      </c>
      <c r="G718">
        <v>0.73020743155402812</v>
      </c>
      <c r="H718" s="3">
        <v>381.8037580658704</v>
      </c>
      <c r="I718" s="3">
        <v>2.2772789883486789E-2</v>
      </c>
      <c r="J718" s="3">
        <v>3.6826019801932675E-3</v>
      </c>
      <c r="K718" s="1">
        <v>1.0045997947957776E-2</v>
      </c>
      <c r="L718" s="1">
        <v>-384.31958929950378</v>
      </c>
      <c r="M718" s="1">
        <v>-286.34216239531372</v>
      </c>
      <c r="N718" s="1">
        <v>-670.66175169481744</v>
      </c>
      <c r="O718" s="1">
        <v>-670.66175169481744</v>
      </c>
    </row>
    <row r="719" spans="2:15">
      <c r="B719">
        <v>711</v>
      </c>
      <c r="D719">
        <v>820.19644969168542</v>
      </c>
      <c r="E719">
        <v>1314.3285287289962</v>
      </c>
      <c r="F719">
        <v>0.69150713179825996</v>
      </c>
      <c r="G719">
        <v>0.72505109085202402</v>
      </c>
      <c r="H719" s="3">
        <v>417.09174940482859</v>
      </c>
      <c r="I719" s="3">
        <v>2.4975676413645426E-2</v>
      </c>
      <c r="J719" s="3">
        <v>4.1210889434039957E-3</v>
      </c>
      <c r="K719" s="1">
        <v>1.1072618100151138E-2</v>
      </c>
      <c r="L719" s="1">
        <v>-308.97420943790911</v>
      </c>
      <c r="M719" s="1">
        <v>-424.36657715606231</v>
      </c>
      <c r="N719" s="1">
        <v>-733.34078659397142</v>
      </c>
      <c r="O719" s="1">
        <v>-733.34078659397142</v>
      </c>
    </row>
    <row r="720" spans="2:15">
      <c r="B720">
        <v>712</v>
      </c>
      <c r="D720">
        <v>950.45285298316276</v>
      </c>
      <c r="E720">
        <v>1420.7591871505074</v>
      </c>
      <c r="F720">
        <v>0.68936748332419995</v>
      </c>
      <c r="G720">
        <v>0.72751756447114602</v>
      </c>
      <c r="H720" s="3">
        <v>403.73500306113726</v>
      </c>
      <c r="I720" s="3">
        <v>2.8773356870051729E-2</v>
      </c>
      <c r="J720" s="3">
        <v>8.5866067169948629E-3</v>
      </c>
      <c r="K720" s="1">
        <v>1.5315523434680485E-2</v>
      </c>
      <c r="L720" s="1">
        <v>-211.09451510064349</v>
      </c>
      <c r="M720" s="1">
        <v>-246.51232784891454</v>
      </c>
      <c r="N720" s="1">
        <v>-457.60684294955809</v>
      </c>
      <c r="O720" s="1">
        <v>-457.60684294955803</v>
      </c>
    </row>
    <row r="721" spans="2:15">
      <c r="B721">
        <v>713</v>
      </c>
      <c r="D721">
        <v>823.38678881499914</v>
      </c>
      <c r="E721">
        <v>1339.6083435457565</v>
      </c>
      <c r="F721">
        <v>0.69905146705868448</v>
      </c>
      <c r="G721">
        <v>0.72433690306690912</v>
      </c>
      <c r="H721" s="3">
        <v>417.5566731596594</v>
      </c>
      <c r="I721" s="3">
        <v>1.758661916197354E-2</v>
      </c>
      <c r="J721" s="3">
        <v>-3.2912144960094286E-3</v>
      </c>
      <c r="K721" s="1">
        <v>3.6680633899848943E-3</v>
      </c>
      <c r="L721" s="1">
        <v>-201.32746801030294</v>
      </c>
      <c r="M721" s="1">
        <v>-249.20011721902</v>
      </c>
      <c r="N721" s="1">
        <v>-450.52758522932294</v>
      </c>
      <c r="O721" s="1">
        <v>-450.52758522932294</v>
      </c>
    </row>
    <row r="722" spans="2:15">
      <c r="B722">
        <v>714</v>
      </c>
      <c r="D722">
        <v>1018.8113866420163</v>
      </c>
      <c r="E722">
        <v>1474.3477957341559</v>
      </c>
      <c r="F722">
        <v>0.69546955549177913</v>
      </c>
      <c r="G722">
        <v>0.72823971531103293</v>
      </c>
      <c r="H722" s="3">
        <v>384.00042795227176</v>
      </c>
      <c r="I722" s="3">
        <v>2.4005255655864539E-2</v>
      </c>
      <c r="J722" s="3">
        <v>4.8052342582509469E-3</v>
      </c>
      <c r="K722" s="1">
        <v>1.1205241390788812E-2</v>
      </c>
      <c r="L722" s="1">
        <v>-341.87771857654474</v>
      </c>
      <c r="M722" s="1">
        <v>-347.55613152989315</v>
      </c>
      <c r="N722" s="1">
        <v>-689.43385010643794</v>
      </c>
      <c r="O722" s="1">
        <v>-689.43385010643783</v>
      </c>
    </row>
    <row r="723" spans="2:15">
      <c r="B723">
        <v>715</v>
      </c>
      <c r="D723">
        <v>1038.0320010818652</v>
      </c>
      <c r="E723">
        <v>1526.7807845588527</v>
      </c>
      <c r="F723">
        <v>0.68535073631779975</v>
      </c>
      <c r="G723">
        <v>0.72149517356764958</v>
      </c>
      <c r="H723" s="3">
        <v>398.69634749102966</v>
      </c>
      <c r="I723" s="3">
        <v>2.6735619932842816E-2</v>
      </c>
      <c r="J723" s="3">
        <v>6.8008025582913315E-3</v>
      </c>
      <c r="K723" s="1">
        <v>1.3445741683141827E-2</v>
      </c>
      <c r="L723" s="1">
        <v>-300.06643524132187</v>
      </c>
      <c r="M723" s="1">
        <v>-337.98424180750885</v>
      </c>
      <c r="N723" s="1">
        <v>-638.05067704883095</v>
      </c>
      <c r="O723" s="1">
        <v>-638.05067704883072</v>
      </c>
    </row>
    <row r="724" spans="2:15">
      <c r="B724">
        <v>716</v>
      </c>
      <c r="D724">
        <v>915.25438138662344</v>
      </c>
      <c r="E724">
        <v>1396.209407446215</v>
      </c>
      <c r="F724">
        <v>0.6976002556961024</v>
      </c>
      <c r="G724">
        <v>0.72727085085865917</v>
      </c>
      <c r="H724" s="3">
        <v>404.99516157567444</v>
      </c>
      <c r="I724" s="3">
        <v>2.2428785613762652E-2</v>
      </c>
      <c r="J724" s="3">
        <v>2.1790275349789258E-3</v>
      </c>
      <c r="K724" s="1">
        <v>8.9289468945735022E-3</v>
      </c>
      <c r="L724" s="1">
        <v>-148.01816630794528</v>
      </c>
      <c r="M724" s="1">
        <v>-381.16426506196086</v>
      </c>
      <c r="N724" s="1">
        <v>-529.18243136990611</v>
      </c>
      <c r="O724" s="1">
        <v>-529.18243136990611</v>
      </c>
    </row>
    <row r="725" spans="2:15">
      <c r="B725">
        <v>717</v>
      </c>
      <c r="D725">
        <v>862.32058668586137</v>
      </c>
      <c r="E725">
        <v>1362.7792239524911</v>
      </c>
      <c r="F725">
        <v>0.68486236816080925</v>
      </c>
      <c r="G725">
        <v>0.72807239004978686</v>
      </c>
      <c r="H725" s="3">
        <v>397.76291983410368</v>
      </c>
      <c r="I725" s="3">
        <v>2.9860458201280887E-2</v>
      </c>
      <c r="J725" s="3">
        <v>9.9723122095757046E-3</v>
      </c>
      <c r="K725" s="1">
        <v>1.6601694206810767E-2</v>
      </c>
      <c r="L725" s="1">
        <v>-108.51858759074054</v>
      </c>
      <c r="M725" s="1">
        <v>-331.88743850117771</v>
      </c>
      <c r="N725" s="1">
        <v>-440.40602609191831</v>
      </c>
      <c r="O725" s="1">
        <v>-440.40602609191825</v>
      </c>
    </row>
    <row r="726" spans="2:15">
      <c r="B726">
        <v>718</v>
      </c>
      <c r="D726">
        <v>940.88451144178907</v>
      </c>
      <c r="E726">
        <v>1423.3186413971152</v>
      </c>
      <c r="F726">
        <v>0.68112949890108743</v>
      </c>
      <c r="G726">
        <v>0.71741831100052533</v>
      </c>
      <c r="H726" s="3">
        <v>386.20562962492704</v>
      </c>
      <c r="I726" s="3">
        <v>2.5074538810656202E-2</v>
      </c>
      <c r="J726" s="3">
        <v>5.7642573294098519E-3</v>
      </c>
      <c r="K726" s="1">
        <v>1.2201017823158635E-2</v>
      </c>
      <c r="L726" s="1">
        <v>-443.40235603959081</v>
      </c>
      <c r="M726" s="1">
        <v>-305.06974146590522</v>
      </c>
      <c r="N726" s="1">
        <v>-748.47209750549598</v>
      </c>
      <c r="O726" s="1">
        <v>-748.47209750549609</v>
      </c>
    </row>
    <row r="727" spans="2:15">
      <c r="B727">
        <v>719</v>
      </c>
      <c r="D727">
        <v>725.19147398460245</v>
      </c>
      <c r="E727">
        <v>1213.3495740598464</v>
      </c>
      <c r="F727">
        <v>0.70026252676435496</v>
      </c>
      <c r="G727">
        <v>0.73036173009761429</v>
      </c>
      <c r="H727" s="3">
        <v>396.35374318597059</v>
      </c>
      <c r="I727" s="3">
        <v>2.1528688413992681E-2</v>
      </c>
      <c r="J727" s="3">
        <v>1.7110012546941479E-3</v>
      </c>
      <c r="K727" s="1">
        <v>8.3168969744603256E-3</v>
      </c>
      <c r="L727" s="1">
        <v>-134.73372977090386</v>
      </c>
      <c r="M727" s="1">
        <v>-357.48809366165733</v>
      </c>
      <c r="N727" s="1">
        <v>-492.22182343256111</v>
      </c>
      <c r="O727" s="1">
        <v>-492.22182343256122</v>
      </c>
    </row>
    <row r="728" spans="2:15">
      <c r="B728">
        <v>720</v>
      </c>
      <c r="D728">
        <v>780.92353438391433</v>
      </c>
      <c r="E728">
        <v>1265.3535619713427</v>
      </c>
      <c r="F728">
        <v>0.69766955862093794</v>
      </c>
      <c r="G728">
        <v>0.73277746670142063</v>
      </c>
      <c r="H728" s="3">
        <v>396.66314675536029</v>
      </c>
      <c r="I728" s="3">
        <v>2.5443060723204715E-2</v>
      </c>
      <c r="J728" s="3">
        <v>5.6099033854367028E-3</v>
      </c>
      <c r="K728" s="1">
        <v>1.2220955831359374E-2</v>
      </c>
      <c r="L728" s="1">
        <v>-264.97259460708932</v>
      </c>
      <c r="M728" s="1">
        <v>-457.16881223469761</v>
      </c>
      <c r="N728" s="1">
        <v>-722.14140684178699</v>
      </c>
      <c r="O728" s="1">
        <v>-722.14140684178687</v>
      </c>
    </row>
    <row r="729" spans="2:15">
      <c r="B729">
        <v>721</v>
      </c>
      <c r="D729">
        <v>858.62730750034268</v>
      </c>
      <c r="E729">
        <v>1336.9614855160301</v>
      </c>
      <c r="F729">
        <v>0.69314253440248486</v>
      </c>
      <c r="G729">
        <v>0.73331270799651915</v>
      </c>
      <c r="H729" s="3">
        <v>378.5201041578058</v>
      </c>
      <c r="I729" s="3">
        <v>2.7460045513137764E-2</v>
      </c>
      <c r="J729" s="3">
        <v>8.5340403052474763E-3</v>
      </c>
      <c r="K729" s="1">
        <v>1.4842708707877572E-2</v>
      </c>
      <c r="L729" s="1">
        <v>-365.21026104484554</v>
      </c>
      <c r="M729" s="1">
        <v>-258.44467375054722</v>
      </c>
      <c r="N729" s="1">
        <v>-623.65493479539282</v>
      </c>
      <c r="O729" s="1">
        <v>-623.65493479539282</v>
      </c>
    </row>
    <row r="730" spans="2:15">
      <c r="B730">
        <v>722</v>
      </c>
      <c r="D730">
        <v>978.92441799147718</v>
      </c>
      <c r="E730">
        <v>1453.4905526600203</v>
      </c>
      <c r="F730">
        <v>0.68450468981754753</v>
      </c>
      <c r="G730">
        <v>0.71621974650555942</v>
      </c>
      <c r="H730" s="3">
        <v>391.46637707399049</v>
      </c>
      <c r="I730" s="3">
        <v>2.2439467986109084E-2</v>
      </c>
      <c r="J730" s="3">
        <v>2.8661491324095609E-3</v>
      </c>
      <c r="K730" s="1">
        <v>9.3905887503094015E-3</v>
      </c>
      <c r="L730" s="1">
        <v>-363.08795362071271</v>
      </c>
      <c r="M730" s="1">
        <v>-309.56779348661786</v>
      </c>
      <c r="N730" s="1">
        <v>-672.6557471073304</v>
      </c>
      <c r="O730" s="1">
        <v>-672.65574710733063</v>
      </c>
    </row>
    <row r="731" spans="2:15">
      <c r="B731">
        <v>723</v>
      </c>
      <c r="D731">
        <v>892.46512971306117</v>
      </c>
      <c r="E731">
        <v>1369.8156385213545</v>
      </c>
      <c r="F731">
        <v>0.69996713269265842</v>
      </c>
      <c r="G731">
        <v>0.73021889313175004</v>
      </c>
      <c r="H731" s="3">
        <v>395.67761807482219</v>
      </c>
      <c r="I731" s="3">
        <v>2.0857862217158993E-2</v>
      </c>
      <c r="J731" s="3">
        <v>1.073981313417887E-3</v>
      </c>
      <c r="K731" s="1">
        <v>7.6686082813315886E-3</v>
      </c>
      <c r="L731" s="1">
        <v>-206.7157029324689</v>
      </c>
      <c r="M731" s="1">
        <v>-249.92240096396421</v>
      </c>
      <c r="N731" s="1">
        <v>-456.63810389643317</v>
      </c>
      <c r="O731" s="1">
        <v>-456.63810389643311</v>
      </c>
    </row>
    <row r="732" spans="2:15">
      <c r="B732">
        <v>724</v>
      </c>
      <c r="D732">
        <v>852.85886575228278</v>
      </c>
      <c r="E732">
        <v>1338.8696934442582</v>
      </c>
      <c r="F732">
        <v>0.69144954187987751</v>
      </c>
      <c r="G732">
        <v>0.71947291169346073</v>
      </c>
      <c r="H732" s="3">
        <v>401.63795667011999</v>
      </c>
      <c r="I732" s="3">
        <v>2.0346184632085075E-2</v>
      </c>
      <c r="J732" s="3">
        <v>2.6428679857907339E-4</v>
      </c>
      <c r="K732" s="1">
        <v>6.9582527430810739E-3</v>
      </c>
      <c r="L732" s="1">
        <v>-379.53906386780034</v>
      </c>
      <c r="M732" s="1">
        <v>-294.02468426462355</v>
      </c>
      <c r="N732" s="1">
        <v>-673.56374813242405</v>
      </c>
      <c r="O732" s="1">
        <v>-673.56374813242383</v>
      </c>
    </row>
    <row r="733" spans="2:15">
      <c r="B733">
        <v>725</v>
      </c>
      <c r="D733">
        <v>922.43783615691189</v>
      </c>
      <c r="E733">
        <v>1435.8123907984091</v>
      </c>
      <c r="F733">
        <v>0.68949286004088162</v>
      </c>
      <c r="G733">
        <v>0.72119218727186152</v>
      </c>
      <c r="H733" s="3">
        <v>419.48492714326119</v>
      </c>
      <c r="I733" s="3">
        <v>2.2581092363166185E-2</v>
      </c>
      <c r="J733" s="3">
        <v>1.6068460060031237E-3</v>
      </c>
      <c r="K733" s="1">
        <v>8.5982614583908108E-3</v>
      </c>
      <c r="L733" s="1">
        <v>-339.64507860391956</v>
      </c>
      <c r="M733" s="1">
        <v>-538.78181655498463</v>
      </c>
      <c r="N733" s="1">
        <v>-878.42689515890402</v>
      </c>
      <c r="O733" s="1">
        <v>-878.42689515890424</v>
      </c>
    </row>
    <row r="734" spans="2:15">
      <c r="B734">
        <v>726</v>
      </c>
      <c r="D734">
        <v>709.99323281631223</v>
      </c>
      <c r="E734">
        <v>1226.9394297881781</v>
      </c>
      <c r="F734">
        <v>0.69382870934075536</v>
      </c>
      <c r="G734">
        <v>0.71603370773791253</v>
      </c>
      <c r="H734" s="3">
        <v>438.4652198456277</v>
      </c>
      <c r="I734" s="3">
        <v>1.6906231631402303E-2</v>
      </c>
      <c r="J734" s="3">
        <v>-5.0170293608790793E-3</v>
      </c>
      <c r="K734" s="1">
        <v>2.2907243032147147E-3</v>
      </c>
      <c r="L734" s="1">
        <v>-402.05514215446362</v>
      </c>
      <c r="M734" s="1">
        <v>-485.12286757927762</v>
      </c>
      <c r="N734" s="1">
        <v>-887.17800973374119</v>
      </c>
      <c r="O734" s="1">
        <v>-887.17800973374119</v>
      </c>
    </row>
    <row r="735" spans="2:15">
      <c r="B735">
        <v>727</v>
      </c>
      <c r="D735">
        <v>936.4415184857346</v>
      </c>
      <c r="E735">
        <v>1438.1755923368971</v>
      </c>
      <c r="F735">
        <v>0.69388104682319351</v>
      </c>
      <c r="G735">
        <v>0.72060635414572705</v>
      </c>
      <c r="H735" s="3">
        <v>430.28114571744345</v>
      </c>
      <c r="I735" s="3">
        <v>2.0551475767630247E-2</v>
      </c>
      <c r="J735" s="3">
        <v>-9.6258151824192562E-4</v>
      </c>
      <c r="K735" s="1">
        <v>6.2087709103821314E-3</v>
      </c>
      <c r="L735" s="1">
        <v>-306.82233648364883</v>
      </c>
      <c r="M735" s="1">
        <v>-380.59671560408015</v>
      </c>
      <c r="N735" s="1">
        <v>-687.41905208772891</v>
      </c>
      <c r="O735" s="1">
        <v>-687.41905208772891</v>
      </c>
    </row>
    <row r="736" spans="2:15">
      <c r="B736">
        <v>728</v>
      </c>
      <c r="D736">
        <v>1071.2663829789485</v>
      </c>
      <c r="E736">
        <v>1540.3087123308012</v>
      </c>
      <c r="F736">
        <v>0.69794203999256654</v>
      </c>
      <c r="G736">
        <v>0.73853908460225359</v>
      </c>
      <c r="H736" s="3">
        <v>390.37382652674597</v>
      </c>
      <c r="I736" s="3">
        <v>2.9030933876406175E-2</v>
      </c>
      <c r="J736" s="3">
        <v>9.5122425500688765E-3</v>
      </c>
      <c r="K736" s="1">
        <v>1.6018472992181308E-2</v>
      </c>
      <c r="L736" s="1">
        <v>-240.64960091635695</v>
      </c>
      <c r="M736" s="1">
        <v>-255.00859008518688</v>
      </c>
      <c r="N736" s="1">
        <v>-495.65819100154386</v>
      </c>
      <c r="O736" s="1">
        <v>-495.65819100154386</v>
      </c>
    </row>
    <row r="737" spans="2:15">
      <c r="B737">
        <v>729</v>
      </c>
      <c r="D737">
        <v>866.28752906571731</v>
      </c>
      <c r="E737">
        <v>1370.662430102074</v>
      </c>
      <c r="F737">
        <v>0.69973430709662299</v>
      </c>
      <c r="G737">
        <v>0.72118337831066681</v>
      </c>
      <c r="H737" s="3">
        <v>396.11247516800717</v>
      </c>
      <c r="I737" s="3">
        <v>1.4141427587708691E-2</v>
      </c>
      <c r="J737" s="3">
        <v>-5.6641961706916672E-3</v>
      </c>
      <c r="K737" s="1">
        <v>9.3767841544178422E-4</v>
      </c>
      <c r="L737" s="1">
        <v>-267.74471662477799</v>
      </c>
      <c r="M737" s="1">
        <v>-309.52523745259145</v>
      </c>
      <c r="N737" s="1">
        <v>-577.26995407736945</v>
      </c>
      <c r="O737" s="1">
        <v>-577.26995407736945</v>
      </c>
    </row>
    <row r="738" spans="2:15">
      <c r="B738">
        <v>730</v>
      </c>
      <c r="D738">
        <v>827.9337606480542</v>
      </c>
      <c r="E738">
        <v>1313.7254939634815</v>
      </c>
      <c r="F738">
        <v>0.69669031494508615</v>
      </c>
      <c r="G738">
        <v>0.72988619348317063</v>
      </c>
      <c r="H738" s="3">
        <v>399.36410011645756</v>
      </c>
      <c r="I738" s="3">
        <v>2.3599442022109479E-2</v>
      </c>
      <c r="J738" s="3">
        <v>3.6312370162865995E-3</v>
      </c>
      <c r="K738" s="1">
        <v>1.0287305351560893E-2</v>
      </c>
      <c r="L738" s="1">
        <v>-317.44317957962568</v>
      </c>
      <c r="M738" s="1">
        <v>-312.63687679618431</v>
      </c>
      <c r="N738" s="1">
        <v>-630.08005637580993</v>
      </c>
      <c r="O738" s="1">
        <v>-630.08005637581005</v>
      </c>
    </row>
    <row r="739" spans="2:15">
      <c r="B739">
        <v>731</v>
      </c>
      <c r="D739">
        <v>995.72840507839567</v>
      </c>
      <c r="E739">
        <v>1492.6453424814883</v>
      </c>
      <c r="F739">
        <v>0.69430296906592537</v>
      </c>
      <c r="G739">
        <v>0.72183660825756124</v>
      </c>
      <c r="H739" s="3">
        <v>413.96384704885861</v>
      </c>
      <c r="I739" s="3">
        <v>2.0365639490135222E-2</v>
      </c>
      <c r="J739" s="3">
        <v>-3.3255286230770426E-4</v>
      </c>
      <c r="K739" s="1">
        <v>6.5668445885066033E-3</v>
      </c>
      <c r="L739" s="1">
        <v>-357.15322305790778</v>
      </c>
      <c r="M739" s="1">
        <v>-195.34395493320361</v>
      </c>
      <c r="N739" s="1">
        <v>-552.49717799111136</v>
      </c>
      <c r="O739" s="1">
        <v>-552.49717799111136</v>
      </c>
    </row>
    <row r="740" spans="2:15">
      <c r="B740">
        <v>732</v>
      </c>
      <c r="D740">
        <v>896.0474065993717</v>
      </c>
      <c r="E740">
        <v>1380.2556074134818</v>
      </c>
      <c r="F740">
        <v>0.69174919261726853</v>
      </c>
      <c r="G740">
        <v>0.73217446505524875</v>
      </c>
      <c r="H740" s="3">
        <v>400.11741351359007</v>
      </c>
      <c r="I740" s="3">
        <v>2.95521786327008E-2</v>
      </c>
      <c r="J740" s="3">
        <v>9.5463079570212959E-3</v>
      </c>
      <c r="K740" s="1">
        <v>1.6214931515581132E-2</v>
      </c>
      <c r="L740" s="1">
        <v>-370.27458161477881</v>
      </c>
      <c r="M740" s="1">
        <v>-401.1095711011875</v>
      </c>
      <c r="N740" s="1">
        <v>-771.38415271596625</v>
      </c>
      <c r="O740" s="1">
        <v>-771.38415271596637</v>
      </c>
    </row>
    <row r="741" spans="2:15">
      <c r="B741">
        <v>733</v>
      </c>
      <c r="D741">
        <v>821.11220913137095</v>
      </c>
      <c r="E741">
        <v>1295.459501621227</v>
      </c>
      <c r="F741">
        <v>0.69185324304970131</v>
      </c>
      <c r="G741">
        <v>0.72910824247061579</v>
      </c>
      <c r="H741" s="3">
        <v>387.08524738325428</v>
      </c>
      <c r="I741" s="3">
        <v>2.7032319396804252E-2</v>
      </c>
      <c r="J741" s="3">
        <v>7.6780570276415369E-3</v>
      </c>
      <c r="K741" s="1">
        <v>1.4129477817362443E-2</v>
      </c>
      <c r="L741" s="1">
        <v>-24.103038534650274</v>
      </c>
      <c r="M741" s="1">
        <v>-280.78486973921781</v>
      </c>
      <c r="N741" s="1">
        <v>-304.88790827386811</v>
      </c>
      <c r="O741" s="1">
        <v>-304.88790827386811</v>
      </c>
    </row>
    <row r="742" spans="2:15">
      <c r="B742">
        <v>734</v>
      </c>
      <c r="D742">
        <v>892.71904317250687</v>
      </c>
      <c r="E742">
        <v>1380.4940204333095</v>
      </c>
      <c r="F742">
        <v>0.69341490408350603</v>
      </c>
      <c r="G742">
        <v>0.72739100422474512</v>
      </c>
      <c r="H742" s="3">
        <v>390.2183102882658</v>
      </c>
      <c r="I742" s="3">
        <v>2.3169165754906962E-2</v>
      </c>
      <c r="J742" s="3">
        <v>3.6582502404936719E-3</v>
      </c>
      <c r="K742" s="1">
        <v>1.0161888745298102E-2</v>
      </c>
      <c r="L742" s="1">
        <v>-121.56153717185218</v>
      </c>
      <c r="M742" s="1">
        <v>-276.50688274623934</v>
      </c>
      <c r="N742" s="1">
        <v>-398.06841991809154</v>
      </c>
      <c r="O742" s="1">
        <v>-398.06841991809154</v>
      </c>
    </row>
    <row r="743" spans="2:15">
      <c r="B743">
        <v>735</v>
      </c>
      <c r="D743">
        <v>894.9145814449646</v>
      </c>
      <c r="E743">
        <v>1373.976729093114</v>
      </c>
      <c r="F743">
        <v>0.68523080865334474</v>
      </c>
      <c r="G743">
        <v>0.71919871301324345</v>
      </c>
      <c r="H743" s="3">
        <v>395.25562576561634</v>
      </c>
      <c r="I743" s="3">
        <v>2.4544414014386767E-2</v>
      </c>
      <c r="J743" s="3">
        <v>4.7816327261059506E-3</v>
      </c>
      <c r="K743" s="1">
        <v>1.1369226488866221E-2</v>
      </c>
      <c r="L743" s="1">
        <v>-507.40268350724392</v>
      </c>
      <c r="M743" s="1">
        <v>-238.46020906161232</v>
      </c>
      <c r="N743" s="1">
        <v>-745.8628925688563</v>
      </c>
      <c r="O743" s="1">
        <v>-745.8628925688563</v>
      </c>
    </row>
    <row r="744" spans="2:15">
      <c r="B744">
        <v>736</v>
      </c>
      <c r="D744">
        <v>852.33423315486857</v>
      </c>
      <c r="E744">
        <v>1358.4296810561282</v>
      </c>
      <c r="F744">
        <v>0.69378870088295064</v>
      </c>
      <c r="G744">
        <v>0.71807193883283582</v>
      </c>
      <c r="H744" s="3">
        <v>419.55136114424766</v>
      </c>
      <c r="I744" s="3">
        <v>1.795958676745401E-2</v>
      </c>
      <c r="J744" s="3">
        <v>-3.017981289758373E-3</v>
      </c>
      <c r="K744" s="1">
        <v>3.9745413959790879E-3</v>
      </c>
      <c r="L744" s="1">
        <v>-156.58931710057846</v>
      </c>
      <c r="M744" s="1">
        <v>-285.28574720902981</v>
      </c>
      <c r="N744" s="1">
        <v>-441.87506430960826</v>
      </c>
      <c r="O744" s="1">
        <v>-441.87506430960826</v>
      </c>
    </row>
    <row r="745" spans="2:15">
      <c r="B745">
        <v>737</v>
      </c>
      <c r="D745">
        <v>1029.3090718378144</v>
      </c>
      <c r="E745">
        <v>1533.1295185523741</v>
      </c>
      <c r="F745">
        <v>0.70464753572144645</v>
      </c>
      <c r="G745">
        <v>0.7314658918689495</v>
      </c>
      <c r="H745" s="3">
        <v>397.22201039723831</v>
      </c>
      <c r="I745" s="3">
        <v>1.7279109613903405E-2</v>
      </c>
      <c r="J745" s="3">
        <v>-2.5819909059585124E-3</v>
      </c>
      <c r="K745" s="1">
        <v>4.0383759339954611E-3</v>
      </c>
      <c r="L745" s="1">
        <v>-300.6262484175723</v>
      </c>
      <c r="M745" s="1">
        <v>-271.34532792633479</v>
      </c>
      <c r="N745" s="1">
        <v>-571.97157634390715</v>
      </c>
      <c r="O745" s="1">
        <v>-571.97157634390715</v>
      </c>
    </row>
    <row r="746" spans="2:15">
      <c r="B746">
        <v>738</v>
      </c>
      <c r="D746">
        <v>723.91652842575297</v>
      </c>
      <c r="E746">
        <v>1194.3608916949058</v>
      </c>
      <c r="F746">
        <v>0.69155846942567578</v>
      </c>
      <c r="G746">
        <v>0.73077933046541255</v>
      </c>
      <c r="H746" s="3">
        <v>391.66946186739074</v>
      </c>
      <c r="I746" s="3">
        <v>2.8319211913648747E-2</v>
      </c>
      <c r="J746" s="3">
        <v>8.735738820279209E-3</v>
      </c>
      <c r="K746" s="1">
        <v>1.5263563184735721E-2</v>
      </c>
      <c r="L746" s="1">
        <v>-188.3124053460528</v>
      </c>
      <c r="M746" s="1">
        <v>-381.24439663757232</v>
      </c>
      <c r="N746" s="1">
        <v>-569.55680198362506</v>
      </c>
      <c r="O746" s="1">
        <v>-569.55680198362506</v>
      </c>
    </row>
    <row r="747" spans="2:15">
      <c r="B747">
        <v>739</v>
      </c>
      <c r="D747">
        <v>842.80470360556455</v>
      </c>
      <c r="E747">
        <v>1332.8266398464268</v>
      </c>
      <c r="F747">
        <v>0.69780919826928589</v>
      </c>
      <c r="G747">
        <v>0.73158168739084206</v>
      </c>
      <c r="H747" s="3">
        <v>417.07749500570128</v>
      </c>
      <c r="I747" s="3">
        <v>2.5519406916904769E-2</v>
      </c>
      <c r="J747" s="3">
        <v>4.6655321666197042E-3</v>
      </c>
      <c r="K747" s="1">
        <v>1.161682375004806E-2</v>
      </c>
      <c r="L747" s="1">
        <v>-235.17635178620191</v>
      </c>
      <c r="M747" s="1">
        <v>-465.46855553072839</v>
      </c>
      <c r="N747" s="1">
        <v>-700.64490731693036</v>
      </c>
      <c r="O747" s="1">
        <v>-700.64490731693036</v>
      </c>
    </row>
    <row r="748" spans="2:15">
      <c r="B748">
        <v>740</v>
      </c>
      <c r="D748">
        <v>813.44060095627879</v>
      </c>
      <c r="E748">
        <v>1336.0419204533844</v>
      </c>
      <c r="F748">
        <v>0.68907349955506259</v>
      </c>
      <c r="G748">
        <v>0.71249444003024287</v>
      </c>
      <c r="H748" s="3">
        <v>437.86113220487658</v>
      </c>
      <c r="I748" s="3">
        <v>1.7323898475148879E-2</v>
      </c>
      <c r="J748" s="3">
        <v>-4.5691581350949494E-3</v>
      </c>
      <c r="K748" s="1">
        <v>2.7285274016529935E-3</v>
      </c>
      <c r="L748" s="1">
        <v>-174.31866084930959</v>
      </c>
      <c r="M748" s="1">
        <v>-420.76442564943886</v>
      </c>
      <c r="N748" s="1">
        <v>-595.08308649874857</v>
      </c>
      <c r="O748" s="1">
        <v>-595.08308649874846</v>
      </c>
    </row>
    <row r="749" spans="2:15">
      <c r="B749">
        <v>741</v>
      </c>
      <c r="D749">
        <v>898.36825526654115</v>
      </c>
      <c r="E749">
        <v>1391.8673139824521</v>
      </c>
      <c r="F749">
        <v>0.69624752103129528</v>
      </c>
      <c r="G749">
        <v>0.71803130078347988</v>
      </c>
      <c r="H749" s="3">
        <v>403.97825487773753</v>
      </c>
      <c r="I749" s="3">
        <v>1.5423023562341926E-2</v>
      </c>
      <c r="J749" s="3">
        <v>-4.7758891815449494E-3</v>
      </c>
      <c r="K749" s="1">
        <v>1.9570817330840078E-3</v>
      </c>
      <c r="L749" s="1">
        <v>-385.44981528963365</v>
      </c>
      <c r="M749" s="1">
        <v>-367.47863241555001</v>
      </c>
      <c r="N749" s="1">
        <v>-752.92844770518366</v>
      </c>
      <c r="O749" s="1">
        <v>-752.92844770518366</v>
      </c>
    </row>
    <row r="750" spans="2:15">
      <c r="B750">
        <v>742</v>
      </c>
      <c r="D750">
        <v>804.47812655210282</v>
      </c>
      <c r="E750">
        <v>1300.9085163558657</v>
      </c>
      <c r="F750">
        <v>0.68990763119894549</v>
      </c>
      <c r="G750">
        <v>0.72144455283151188</v>
      </c>
      <c r="H750" s="3">
        <v>426.16392029698386</v>
      </c>
      <c r="I750" s="3">
        <v>2.4051514592751268E-2</v>
      </c>
      <c r="J750" s="3">
        <v>2.743318577902075E-3</v>
      </c>
      <c r="K750" s="1">
        <v>9.8460505828518053E-3</v>
      </c>
      <c r="L750" s="1">
        <v>-451.32367602659031</v>
      </c>
      <c r="M750" s="1">
        <v>-410.3731085790555</v>
      </c>
      <c r="N750" s="1">
        <v>-861.69678460564569</v>
      </c>
      <c r="O750" s="1">
        <v>-861.6967846056458</v>
      </c>
    </row>
    <row r="751" spans="2:15">
      <c r="B751">
        <v>743</v>
      </c>
      <c r="D751">
        <v>1109.3486818409801</v>
      </c>
      <c r="E751">
        <v>1592.2851245931208</v>
      </c>
      <c r="F751">
        <v>0.69895575013375366</v>
      </c>
      <c r="G751">
        <v>0.73367329756994681</v>
      </c>
      <c r="H751" s="3">
        <v>399.41426890548144</v>
      </c>
      <c r="I751" s="3">
        <v>2.5447871699167814E-2</v>
      </c>
      <c r="J751" s="3">
        <v>5.4771582538937456E-3</v>
      </c>
      <c r="K751" s="1">
        <v>1.2134062735651768E-2</v>
      </c>
      <c r="L751" s="1">
        <v>-292.90897898657892</v>
      </c>
      <c r="M751" s="1">
        <v>-346.57589078657975</v>
      </c>
      <c r="N751" s="1">
        <v>-639.48486977315861</v>
      </c>
      <c r="O751" s="1">
        <v>-639.48486977315861</v>
      </c>
    </row>
    <row r="752" spans="2:15">
      <c r="B752">
        <v>744</v>
      </c>
      <c r="D752">
        <v>880.55976708245953</v>
      </c>
      <c r="E752">
        <v>1377.8515417055289</v>
      </c>
      <c r="F752">
        <v>0.69091294246465418</v>
      </c>
      <c r="G752">
        <v>0.72051351801105268</v>
      </c>
      <c r="H752" s="3">
        <v>410.0326381001077</v>
      </c>
      <c r="I752" s="3">
        <v>2.1472003807926032E-2</v>
      </c>
      <c r="J752" s="3">
        <v>9.7037190292064562E-4</v>
      </c>
      <c r="K752" s="1">
        <v>7.8042492045891088E-3</v>
      </c>
      <c r="L752" s="1">
        <v>-391.05172126146789</v>
      </c>
      <c r="M752" s="1">
        <v>-206.66024011846173</v>
      </c>
      <c r="N752" s="1">
        <v>-597.71196137992956</v>
      </c>
      <c r="O752" s="1">
        <v>-597.71196137992956</v>
      </c>
    </row>
    <row r="753" spans="2:15">
      <c r="B753">
        <v>745</v>
      </c>
      <c r="D753">
        <v>971.63565928957576</v>
      </c>
      <c r="E753">
        <v>1450.4293245125173</v>
      </c>
      <c r="F753">
        <v>0.6922448529489813</v>
      </c>
      <c r="G753">
        <v>0.71839551018682835</v>
      </c>
      <c r="H753" s="3">
        <v>380.01437846854873</v>
      </c>
      <c r="I753" s="3">
        <v>1.8213445007074981E-2</v>
      </c>
      <c r="J753" s="3">
        <v>-7.8727391635245378E-4</v>
      </c>
      <c r="K753" s="1">
        <v>5.5462990581233561E-3</v>
      </c>
      <c r="L753" s="1">
        <v>-194.81385795769864</v>
      </c>
      <c r="M753" s="1">
        <v>-309.53848735668487</v>
      </c>
      <c r="N753" s="1">
        <v>-504.35234531438346</v>
      </c>
      <c r="O753" s="1">
        <v>-504.35234531438351</v>
      </c>
    </row>
    <row r="754" spans="2:15">
      <c r="B754">
        <v>746</v>
      </c>
      <c r="D754">
        <v>1260.2806456072185</v>
      </c>
      <c r="E754">
        <v>1774.340947713179</v>
      </c>
      <c r="F754">
        <v>0.69850248711062912</v>
      </c>
      <c r="G754">
        <v>0.71689582211538816</v>
      </c>
      <c r="H754" s="3">
        <v>420.47657878559227</v>
      </c>
      <c r="I754" s="3">
        <v>1.3603897078705875E-2</v>
      </c>
      <c r="J754" s="3">
        <v>-7.4199318605737384E-3</v>
      </c>
      <c r="K754" s="1">
        <v>-4.1198888081386657E-4</v>
      </c>
      <c r="L754" s="1">
        <v>-244.67240227273797</v>
      </c>
      <c r="M754" s="1">
        <v>-374.72825605653321</v>
      </c>
      <c r="N754" s="1">
        <v>-619.40065832927121</v>
      </c>
      <c r="O754" s="1">
        <v>-619.40065832927121</v>
      </c>
    </row>
    <row r="755" spans="2:15">
      <c r="B755">
        <v>747</v>
      </c>
      <c r="D755">
        <v>828.78154677538532</v>
      </c>
      <c r="E755">
        <v>1337.5832339992062</v>
      </c>
      <c r="F755">
        <v>0.692550919636157</v>
      </c>
      <c r="G755">
        <v>0.72424181421281275</v>
      </c>
      <c r="H755" s="3">
        <v>402.98684805623321</v>
      </c>
      <c r="I755" s="3">
        <v>2.1966378119560488E-2</v>
      </c>
      <c r="J755" s="3">
        <v>1.8170357167488251E-3</v>
      </c>
      <c r="K755" s="1">
        <v>8.5334831843527133E-3</v>
      </c>
      <c r="L755" s="1">
        <v>-262.25517953490879</v>
      </c>
      <c r="M755" s="1">
        <v>-375.63988921656778</v>
      </c>
      <c r="N755" s="1">
        <v>-637.89506875147651</v>
      </c>
      <c r="O755" s="1">
        <v>-637.89506875147663</v>
      </c>
    </row>
    <row r="756" spans="2:15">
      <c r="B756">
        <v>748</v>
      </c>
      <c r="D756">
        <v>803.74852547325884</v>
      </c>
      <c r="E756">
        <v>1280.8409028672163</v>
      </c>
      <c r="F756">
        <v>0.68176160171444122</v>
      </c>
      <c r="G756">
        <v>0.72242830289299431</v>
      </c>
      <c r="H756" s="3">
        <v>384.61670040492123</v>
      </c>
      <c r="I756" s="3">
        <v>2.7690785358336967E-2</v>
      </c>
      <c r="J756" s="3">
        <v>8.4599503380909068E-3</v>
      </c>
      <c r="K756" s="1">
        <v>1.4870228678172925E-2</v>
      </c>
      <c r="L756" s="1">
        <v>-228.49793611572227</v>
      </c>
      <c r="M756" s="1">
        <v>-287.07440458323504</v>
      </c>
      <c r="N756" s="1">
        <v>-515.5723406989573</v>
      </c>
      <c r="O756" s="1">
        <v>-515.5723406989573</v>
      </c>
    </row>
    <row r="757" spans="2:15">
      <c r="B757">
        <v>749</v>
      </c>
      <c r="D757">
        <v>702.74571092931876</v>
      </c>
      <c r="E757">
        <v>1201.6822294456251</v>
      </c>
      <c r="F757">
        <v>0.69458073065292825</v>
      </c>
      <c r="G757">
        <v>0.72008046699917039</v>
      </c>
      <c r="H757" s="3">
        <v>401.74044902951772</v>
      </c>
      <c r="I757" s="3">
        <v>1.7658151049900803E-2</v>
      </c>
      <c r="J757" s="3">
        <v>-2.4288714015750813E-3</v>
      </c>
      <c r="K757" s="1">
        <v>4.26680274891688E-3</v>
      </c>
      <c r="L757" s="1">
        <v>-288.37000244954726</v>
      </c>
      <c r="M757" s="1">
        <v>-388.57090829951181</v>
      </c>
      <c r="N757" s="1">
        <v>-676.94091074905919</v>
      </c>
      <c r="O757" s="1">
        <v>-676.94091074905907</v>
      </c>
    </row>
    <row r="758" spans="2:15">
      <c r="B758">
        <v>750</v>
      </c>
      <c r="D758">
        <v>901.81975271638771</v>
      </c>
      <c r="E758">
        <v>1389.8454180551546</v>
      </c>
      <c r="F758">
        <v>0.69014215637287823</v>
      </c>
      <c r="G758">
        <v>0.7251683676302656</v>
      </c>
      <c r="H758" s="3">
        <v>406.52016631195323</v>
      </c>
      <c r="I758" s="3">
        <v>2.6291379821518225E-2</v>
      </c>
      <c r="J758" s="3">
        <v>5.965371505920563E-3</v>
      </c>
      <c r="K758" s="1">
        <v>1.2740707611119784E-2</v>
      </c>
      <c r="L758" s="1">
        <v>122.41372292439817</v>
      </c>
      <c r="M758" s="1">
        <v>-425.6648097236897</v>
      </c>
      <c r="N758" s="1">
        <v>-303.25108679929156</v>
      </c>
      <c r="O758" s="1">
        <v>-303.25108679929156</v>
      </c>
    </row>
    <row r="759" spans="2:15">
      <c r="B759">
        <v>751</v>
      </c>
      <c r="D759">
        <v>872.00337280386293</v>
      </c>
      <c r="E759">
        <v>1371.7333279744901</v>
      </c>
      <c r="F759">
        <v>0.69101817162902757</v>
      </c>
      <c r="G759">
        <v>0.71342314302123966</v>
      </c>
      <c r="H759" s="3">
        <v>420.98086169058723</v>
      </c>
      <c r="I759" s="3">
        <v>1.6844646655783183E-2</v>
      </c>
      <c r="J759" s="3">
        <v>-4.2043964287461801E-3</v>
      </c>
      <c r="K759" s="1">
        <v>2.8119512660969414E-3</v>
      </c>
      <c r="L759" s="1">
        <v>-418.45181653105698</v>
      </c>
      <c r="M759" s="1">
        <v>-359.30195929517845</v>
      </c>
      <c r="N759" s="1">
        <v>-777.75377582623548</v>
      </c>
      <c r="O759" s="1">
        <v>-777.75377582623537</v>
      </c>
    </row>
    <row r="760" spans="2:15">
      <c r="B760">
        <v>752</v>
      </c>
      <c r="D760">
        <v>925.55086814035963</v>
      </c>
      <c r="E760">
        <v>1421.5201113886546</v>
      </c>
      <c r="F760">
        <v>0.69461960185419014</v>
      </c>
      <c r="G760">
        <v>0.72733982836141298</v>
      </c>
      <c r="H760" s="3">
        <v>414.09748858903413</v>
      </c>
      <c r="I760" s="3">
        <v>2.4698013285301891E-2</v>
      </c>
      <c r="J760" s="3">
        <v>3.9931388558501861E-3</v>
      </c>
      <c r="K760" s="1">
        <v>1.0894763665667421E-2</v>
      </c>
      <c r="L760" s="1">
        <v>-443.10336358832535</v>
      </c>
      <c r="M760" s="1">
        <v>-397.61470263569817</v>
      </c>
      <c r="N760" s="1">
        <v>-840.71806622402346</v>
      </c>
      <c r="O760" s="1">
        <v>-840.71806622402346</v>
      </c>
    </row>
    <row r="761" spans="2:15">
      <c r="B761">
        <v>753</v>
      </c>
      <c r="D761">
        <v>848.8761278200235</v>
      </c>
      <c r="E761">
        <v>1332.777037624315</v>
      </c>
      <c r="F761">
        <v>0.69807504143803767</v>
      </c>
      <c r="G761">
        <v>0.72908026063811915</v>
      </c>
      <c r="H761" s="3">
        <v>400.72315517540557</v>
      </c>
      <c r="I761" s="3">
        <v>2.1431162542315012E-2</v>
      </c>
      <c r="J761" s="3">
        <v>1.3950047835447378E-3</v>
      </c>
      <c r="K761" s="1">
        <v>8.0737240364681627E-3</v>
      </c>
      <c r="L761" s="1">
        <v>-78.659085277594713</v>
      </c>
      <c r="M761" s="1">
        <v>-387.7829853999271</v>
      </c>
      <c r="N761" s="1">
        <v>-466.44207067752188</v>
      </c>
      <c r="O761" s="1">
        <v>-466.44207067752183</v>
      </c>
    </row>
    <row r="762" spans="2:15">
      <c r="B762">
        <v>754</v>
      </c>
      <c r="D762">
        <v>878.98285327971894</v>
      </c>
      <c r="E762">
        <v>1375.7105387616102</v>
      </c>
      <c r="F762">
        <v>0.70127774218386763</v>
      </c>
      <c r="G762">
        <v>0.73268492050078182</v>
      </c>
      <c r="H762" s="3">
        <v>414.36408536040364</v>
      </c>
      <c r="I762" s="3">
        <v>2.3148647570460493E-2</v>
      </c>
      <c r="J762" s="3">
        <v>2.4304433024403098E-3</v>
      </c>
      <c r="K762" s="1">
        <v>9.3365113917803708E-3</v>
      </c>
      <c r="L762" s="1">
        <v>-320.29463615884498</v>
      </c>
      <c r="M762" s="1">
        <v>-476.0433675137042</v>
      </c>
      <c r="N762" s="1">
        <v>-796.33800367254912</v>
      </c>
      <c r="O762" s="1">
        <v>-796.33800367254912</v>
      </c>
    </row>
    <row r="763" spans="2:15">
      <c r="B763">
        <v>755</v>
      </c>
      <c r="D763">
        <v>925.39155938915815</v>
      </c>
      <c r="E763">
        <v>1411.296852634375</v>
      </c>
      <c r="F763">
        <v>0.6862787506468857</v>
      </c>
      <c r="G763">
        <v>0.72265372606638134</v>
      </c>
      <c r="H763" s="3">
        <v>391.32857640373743</v>
      </c>
      <c r="I763" s="3">
        <v>2.5005605572707545E-2</v>
      </c>
      <c r="J763" s="3">
        <v>5.4391767525206747E-3</v>
      </c>
      <c r="K763" s="1">
        <v>1.1961319692582963E-2</v>
      </c>
      <c r="L763" s="1">
        <v>-313.1079569321065</v>
      </c>
      <c r="M763" s="1">
        <v>-341.27209526610841</v>
      </c>
      <c r="N763" s="1">
        <v>-654.38005219821503</v>
      </c>
      <c r="O763" s="1">
        <v>-654.38005219821491</v>
      </c>
    </row>
    <row r="764" spans="2:15">
      <c r="B764">
        <v>756</v>
      </c>
      <c r="D764">
        <v>1036.426131437845</v>
      </c>
      <c r="E764">
        <v>1507.3012675948905</v>
      </c>
      <c r="F764">
        <v>0.69438464972161229</v>
      </c>
      <c r="G764">
        <v>0.73416877167974715</v>
      </c>
      <c r="H764" s="3">
        <v>402.6222176564977</v>
      </c>
      <c r="I764" s="3">
        <v>3.0489770569896921E-2</v>
      </c>
      <c r="J764" s="3">
        <v>1.0358659687072037E-2</v>
      </c>
      <c r="K764" s="1">
        <v>1.7069029981346996E-2</v>
      </c>
      <c r="L764" s="1">
        <v>-69.632811708634364</v>
      </c>
      <c r="M764" s="1">
        <v>-359.62716203208129</v>
      </c>
      <c r="N764" s="1">
        <v>-429.25997374071574</v>
      </c>
      <c r="O764" s="1">
        <v>-429.25997374071562</v>
      </c>
    </row>
    <row r="765" spans="2:15">
      <c r="B765">
        <v>757</v>
      </c>
      <c r="D765">
        <v>738.05663946533355</v>
      </c>
      <c r="E765">
        <v>1231.4127376982506</v>
      </c>
      <c r="F765">
        <v>0.70374299628572345</v>
      </c>
      <c r="G765">
        <v>0.74028945088300313</v>
      </c>
      <c r="H765" s="3">
        <v>389.09156483606432</v>
      </c>
      <c r="I765" s="3">
        <v>2.5248540807193503E-2</v>
      </c>
      <c r="J765" s="3">
        <v>5.7939625653902829E-3</v>
      </c>
      <c r="K765" s="1">
        <v>1.227882197932469E-2</v>
      </c>
      <c r="L765" s="1">
        <v>-103.95581328688456</v>
      </c>
      <c r="M765" s="1">
        <v>-332.56962092042909</v>
      </c>
      <c r="N765" s="1">
        <v>-436.52543420731365</v>
      </c>
      <c r="O765" s="1">
        <v>-436.52543420731365</v>
      </c>
    </row>
    <row r="766" spans="2:15">
      <c r="B766">
        <v>758</v>
      </c>
      <c r="D766">
        <v>789.69163256147749</v>
      </c>
      <c r="E766">
        <v>1283.7835343412921</v>
      </c>
      <c r="F766">
        <v>0.69120851534422878</v>
      </c>
      <c r="G766">
        <v>0.72337102767148753</v>
      </c>
      <c r="H766" s="3">
        <v>412.13423704415447</v>
      </c>
      <c r="I766" s="3">
        <v>2.2993827048541426E-2</v>
      </c>
      <c r="J766" s="3">
        <v>2.3871151963337049E-3</v>
      </c>
      <c r="K766" s="1">
        <v>9.2560191470696124E-3</v>
      </c>
      <c r="L766" s="1">
        <v>-231.4940035523729</v>
      </c>
      <c r="M766" s="1">
        <v>-531.30212588619622</v>
      </c>
      <c r="N766" s="1">
        <v>-762.7961294385691</v>
      </c>
      <c r="O766" s="1">
        <v>-762.7961294385691</v>
      </c>
    </row>
    <row r="767" spans="2:15">
      <c r="B767">
        <v>759</v>
      </c>
      <c r="D767">
        <v>760.43251151582353</v>
      </c>
      <c r="E767">
        <v>1254.0112434363921</v>
      </c>
      <c r="F767">
        <v>0.69365534005973717</v>
      </c>
      <c r="G767">
        <v>0.7328248922032834</v>
      </c>
      <c r="H767" s="3">
        <v>403.24202716745657</v>
      </c>
      <c r="I767" s="3">
        <v>2.7137580534080465E-2</v>
      </c>
      <c r="J767" s="3">
        <v>6.9754791757076356E-3</v>
      </c>
      <c r="K767" s="1">
        <v>1.3696179628498579E-2</v>
      </c>
      <c r="L767" s="1">
        <v>-291.165000289369</v>
      </c>
      <c r="M767" s="1">
        <v>-373.58457021244215</v>
      </c>
      <c r="N767" s="1">
        <v>-664.74957050181115</v>
      </c>
      <c r="O767" s="1">
        <v>-664.74957050181115</v>
      </c>
    </row>
    <row r="768" spans="2:15">
      <c r="B768">
        <v>760</v>
      </c>
      <c r="D768">
        <v>1149.0026483112822</v>
      </c>
      <c r="E768">
        <v>1647.6040013161357</v>
      </c>
      <c r="F768">
        <v>0.69239738651690641</v>
      </c>
      <c r="G768">
        <v>0.71528579660234903</v>
      </c>
      <c r="H768" s="3">
        <v>398.97218063550611</v>
      </c>
      <c r="I768" s="3">
        <v>1.6163584219468806E-2</v>
      </c>
      <c r="J768" s="3">
        <v>-3.7850248123064978E-3</v>
      </c>
      <c r="K768" s="1">
        <v>2.8645115316186017E-3</v>
      </c>
      <c r="L768" s="1">
        <v>-242.7328154360888</v>
      </c>
      <c r="M768" s="1">
        <v>-252.8892787630125</v>
      </c>
      <c r="N768" s="1">
        <v>-495.6220941991013</v>
      </c>
      <c r="O768" s="1">
        <v>-495.6220941991013</v>
      </c>
    </row>
    <row r="769" spans="2:15">
      <c r="B769">
        <v>761</v>
      </c>
      <c r="D769">
        <v>892.87385551714931</v>
      </c>
      <c r="E769">
        <v>1361.116434543871</v>
      </c>
      <c r="F769">
        <v>0.68402647983596465</v>
      </c>
      <c r="G769">
        <v>0.72546202555390893</v>
      </c>
      <c r="H769" s="3">
        <v>381.43554426214945</v>
      </c>
      <c r="I769" s="3">
        <v>2.9262615378499723E-2</v>
      </c>
      <c r="J769" s="3">
        <v>1.0190838165392249E-2</v>
      </c>
      <c r="K769" s="1">
        <v>1.6548097236428073E-2</v>
      </c>
      <c r="L769" s="1">
        <v>-355.63555329632817</v>
      </c>
      <c r="M769" s="1">
        <v>-292.82685143942672</v>
      </c>
      <c r="N769" s="1">
        <v>-648.46240473575494</v>
      </c>
      <c r="O769" s="1">
        <v>-648.46240473575494</v>
      </c>
    </row>
    <row r="770" spans="2:15">
      <c r="B770">
        <v>762</v>
      </c>
      <c r="D770">
        <v>841.98174099489097</v>
      </c>
      <c r="E770">
        <v>1346.0692710755657</v>
      </c>
      <c r="F770">
        <v>0.69343756259055589</v>
      </c>
      <c r="G770">
        <v>0.7280429812338477</v>
      </c>
      <c r="H770" s="3">
        <v>409.82580747824994</v>
      </c>
      <c r="I770" s="3">
        <v>2.4121730543396575E-2</v>
      </c>
      <c r="J770" s="3">
        <v>3.6304401694840817E-3</v>
      </c>
      <c r="K770" s="1">
        <v>1.0460870294121578E-2</v>
      </c>
      <c r="L770" s="1">
        <v>-90.258386317757584</v>
      </c>
      <c r="M770" s="1">
        <v>-373.06185265784046</v>
      </c>
      <c r="N770" s="1">
        <v>-463.3202389755981</v>
      </c>
      <c r="O770" s="1">
        <v>-463.32023897559804</v>
      </c>
    </row>
    <row r="771" spans="2:15">
      <c r="B771">
        <v>763</v>
      </c>
      <c r="D771">
        <v>1091.0381077533857</v>
      </c>
      <c r="E771">
        <v>1516.3098105588181</v>
      </c>
      <c r="F771">
        <v>0.68992504116518116</v>
      </c>
      <c r="G771">
        <v>0.73001639217731751</v>
      </c>
      <c r="H771" s="3">
        <v>351.65372398837462</v>
      </c>
      <c r="I771" s="3">
        <v>2.8389586179411327E-2</v>
      </c>
      <c r="J771" s="3">
        <v>1.0806899979992596E-2</v>
      </c>
      <c r="K771" s="1">
        <v>1.6667795379798841E-2</v>
      </c>
      <c r="L771" s="1">
        <v>-228.47657281771649</v>
      </c>
      <c r="M771" s="1">
        <v>-337.54979246803202</v>
      </c>
      <c r="N771" s="1">
        <v>-566.02636528574851</v>
      </c>
      <c r="O771" s="1">
        <v>-566.02636528574851</v>
      </c>
    </row>
    <row r="772" spans="2:15">
      <c r="B772">
        <v>764</v>
      </c>
      <c r="D772">
        <v>1037.6242017091474</v>
      </c>
      <c r="E772">
        <v>1517.9117288354275</v>
      </c>
      <c r="F772">
        <v>0.68511891843809924</v>
      </c>
      <c r="G772">
        <v>0.72128506273504811</v>
      </c>
      <c r="H772" s="3">
        <v>384.27961479050958</v>
      </c>
      <c r="I772" s="3">
        <v>2.4752807417292879E-2</v>
      </c>
      <c r="J772" s="3">
        <v>5.5388266777674014E-3</v>
      </c>
      <c r="K772" s="1">
        <v>1.1943486924275893E-2</v>
      </c>
      <c r="L772" s="1">
        <v>-317.17371221382649</v>
      </c>
      <c r="M772" s="1">
        <v>-274.37014613676422</v>
      </c>
      <c r="N772" s="1">
        <v>-591.54385835059054</v>
      </c>
      <c r="O772" s="1">
        <v>-591.54385835059065</v>
      </c>
    </row>
    <row r="773" spans="2:15">
      <c r="B773">
        <v>765</v>
      </c>
      <c r="D773">
        <v>1023.9128759840102</v>
      </c>
      <c r="E773">
        <v>1536.4221234535635</v>
      </c>
      <c r="F773">
        <v>0.67807290193803704</v>
      </c>
      <c r="G773">
        <v>0.72084175046574217</v>
      </c>
      <c r="H773" s="3">
        <v>412.5276550147118</v>
      </c>
      <c r="I773" s="3">
        <v>3.075457899612484E-2</v>
      </c>
      <c r="J773" s="3">
        <v>1.012819624538925E-2</v>
      </c>
      <c r="K773" s="1">
        <v>1.7003657162301115E-2</v>
      </c>
      <c r="L773" s="1">
        <v>-451.87573458252189</v>
      </c>
      <c r="M773" s="1">
        <v>-331.03477550322179</v>
      </c>
      <c r="N773" s="1">
        <v>-782.91051008574368</v>
      </c>
      <c r="O773" s="1">
        <v>-782.91051008574368</v>
      </c>
    </row>
    <row r="774" spans="2:15">
      <c r="B774">
        <v>766</v>
      </c>
      <c r="D774">
        <v>927.30313032083836</v>
      </c>
      <c r="E774">
        <v>1434.4763692005856</v>
      </c>
      <c r="F774">
        <v>0.70047301691807351</v>
      </c>
      <c r="G774">
        <v>0.7102162412907892</v>
      </c>
      <c r="H774" s="3">
        <v>407.63067197160495</v>
      </c>
      <c r="I774" s="3">
        <v>6.5334222471965069E-3</v>
      </c>
      <c r="J774" s="3">
        <v>-1.3848111351383745E-2</v>
      </c>
      <c r="K774" s="1">
        <v>-7.0542668185236603E-3</v>
      </c>
      <c r="L774" s="1">
        <v>-203.81285081098039</v>
      </c>
      <c r="M774" s="1">
        <v>-367.60743132961625</v>
      </c>
      <c r="N774" s="1">
        <v>-571.42028214059667</v>
      </c>
      <c r="O774" s="1">
        <v>-571.42028214059667</v>
      </c>
    </row>
    <row r="775" spans="2:15">
      <c r="B775">
        <v>767</v>
      </c>
      <c r="D775">
        <v>741.90200699862885</v>
      </c>
      <c r="E775">
        <v>1238.4498539349979</v>
      </c>
      <c r="F775">
        <v>0.69168253904154942</v>
      </c>
      <c r="G775">
        <v>0.72413690157705879</v>
      </c>
      <c r="H775" s="3">
        <v>400.29579344434779</v>
      </c>
      <c r="I775" s="3">
        <v>2.3191008889835787E-2</v>
      </c>
      <c r="J775" s="3">
        <v>3.1762192176183965E-3</v>
      </c>
      <c r="K775" s="1">
        <v>9.8478157750241917E-3</v>
      </c>
      <c r="L775" s="1">
        <v>-174.76199229532381</v>
      </c>
      <c r="M775" s="1">
        <v>-541.08157584015851</v>
      </c>
      <c r="N775" s="1">
        <v>-715.84356813548231</v>
      </c>
      <c r="O775" s="1">
        <v>-715.84356813548231</v>
      </c>
    </row>
    <row r="776" spans="2:15">
      <c r="B776">
        <v>768</v>
      </c>
      <c r="D776">
        <v>791.72436461147743</v>
      </c>
      <c r="E776">
        <v>1271.3616861828957</v>
      </c>
      <c r="F776">
        <v>0.68931629154378793</v>
      </c>
      <c r="G776">
        <v>0.7254959598430335</v>
      </c>
      <c r="H776" s="3">
        <v>395.80801213884627</v>
      </c>
      <c r="I776" s="3">
        <v>2.5805052085829415E-2</v>
      </c>
      <c r="J776" s="3">
        <v>6.0146514788871029E-3</v>
      </c>
      <c r="K776" s="1">
        <v>1.2611451681201206E-2</v>
      </c>
      <c r="L776" s="1">
        <v>-406.20718920172374</v>
      </c>
      <c r="M776" s="1">
        <v>-244.57636050428627</v>
      </c>
      <c r="N776" s="1">
        <v>-650.78354970600992</v>
      </c>
      <c r="O776" s="1">
        <v>-650.78354970601004</v>
      </c>
    </row>
    <row r="777" spans="2:15">
      <c r="B777">
        <v>769</v>
      </c>
      <c r="D777">
        <v>896.11203695524</v>
      </c>
      <c r="E777">
        <v>1364.6736570348057</v>
      </c>
      <c r="F777">
        <v>0.69633038857363894</v>
      </c>
      <c r="G777">
        <v>0.72626546328835295</v>
      </c>
      <c r="H777" s="3">
        <v>398.48062012849016</v>
      </c>
      <c r="I777" s="3">
        <v>2.2748782447871398E-2</v>
      </c>
      <c r="J777" s="3">
        <v>2.8247514414468898E-3</v>
      </c>
      <c r="K777" s="1">
        <v>9.4660951102550593E-3</v>
      </c>
      <c r="L777" s="1">
        <v>-333.83202439323503</v>
      </c>
      <c r="M777" s="1">
        <v>-425.75503490143217</v>
      </c>
      <c r="N777" s="1">
        <v>-759.58705929466726</v>
      </c>
      <c r="O777" s="1">
        <v>-759.58705929466714</v>
      </c>
    </row>
    <row r="778" spans="2:15">
      <c r="B778">
        <v>770</v>
      </c>
      <c r="D778">
        <v>1015.9038341907991</v>
      </c>
      <c r="E778">
        <v>1444.001179681195</v>
      </c>
      <c r="F778">
        <v>0.67808078330149923</v>
      </c>
      <c r="G778">
        <v>0.73027438308879866</v>
      </c>
      <c r="H778" s="3">
        <v>365.72128472283742</v>
      </c>
      <c r="I778" s="3">
        <v>3.8875659883888178E-2</v>
      </c>
      <c r="J778" s="3">
        <v>2.0589595647746307E-2</v>
      </c>
      <c r="K778" s="1">
        <v>2.6684950393126933E-2</v>
      </c>
      <c r="L778" s="1">
        <v>-278.97576188552392</v>
      </c>
      <c r="M778" s="1">
        <v>-444.97918890643558</v>
      </c>
      <c r="N778" s="1">
        <v>-723.95495079195962</v>
      </c>
      <c r="O778" s="1">
        <v>-723.9549507919595</v>
      </c>
    </row>
    <row r="779" spans="2:15">
      <c r="B779">
        <v>771</v>
      </c>
      <c r="D779">
        <v>953.40484788071649</v>
      </c>
      <c r="E779">
        <v>1461.3762986248701</v>
      </c>
      <c r="F779">
        <v>0.70121625790376507</v>
      </c>
      <c r="G779">
        <v>0.72633960351196991</v>
      </c>
      <c r="H779" s="3">
        <v>398.15577631573944</v>
      </c>
      <c r="I779" s="3">
        <v>1.7227832547934929E-2</v>
      </c>
      <c r="J779" s="3">
        <v>-2.6799562678520468E-3</v>
      </c>
      <c r="K779" s="1">
        <v>3.9559733374102783E-3</v>
      </c>
      <c r="L779" s="1">
        <v>-295.06400329502185</v>
      </c>
      <c r="M779" s="1">
        <v>-304.85531917154606</v>
      </c>
      <c r="N779" s="1">
        <v>-599.91932246656791</v>
      </c>
      <c r="O779" s="1">
        <v>-599.91932246656791</v>
      </c>
    </row>
    <row r="780" spans="2:15">
      <c r="B780">
        <v>772</v>
      </c>
      <c r="D780">
        <v>843.00410231129945</v>
      </c>
      <c r="E780">
        <v>1329.5798364105726</v>
      </c>
      <c r="F780">
        <v>0.69010174651267664</v>
      </c>
      <c r="G780">
        <v>0.71873426520089689</v>
      </c>
      <c r="H780" s="3">
        <v>390.22412492229194</v>
      </c>
      <c r="I780" s="3">
        <v>2.0370449219539628E-2</v>
      </c>
      <c r="J780" s="3">
        <v>8.5924297342502773E-4</v>
      </c>
      <c r="K780" s="1">
        <v>7.3629783887965618E-3</v>
      </c>
      <c r="L780" s="1">
        <v>-278.10935268097177</v>
      </c>
      <c r="M780" s="1">
        <v>-407.28502369466776</v>
      </c>
      <c r="N780" s="1">
        <v>-685.39437637563947</v>
      </c>
      <c r="O780" s="1">
        <v>-685.39437637563947</v>
      </c>
    </row>
    <row r="781" spans="2:15">
      <c r="B781">
        <v>773</v>
      </c>
      <c r="D781">
        <v>708.46330733417972</v>
      </c>
      <c r="E781">
        <v>1205.4992761399874</v>
      </c>
      <c r="F781">
        <v>0.70686922561536647</v>
      </c>
      <c r="G781">
        <v>0.73412147629983704</v>
      </c>
      <c r="H781" s="3">
        <v>405.87438796446253</v>
      </c>
      <c r="I781" s="3">
        <v>1.9368293833838597E-2</v>
      </c>
      <c r="J781" s="3">
        <v>-9.2542556438452925E-4</v>
      </c>
      <c r="K781" s="1">
        <v>5.8391475683565123E-3</v>
      </c>
      <c r="L781" s="1">
        <v>-414.63958111649362</v>
      </c>
      <c r="M781" s="1">
        <v>-298.48829898119129</v>
      </c>
      <c r="N781" s="1">
        <v>-713.12788009768485</v>
      </c>
      <c r="O781" s="1">
        <v>-713.12788009768497</v>
      </c>
    </row>
    <row r="782" spans="2:15">
      <c r="B782">
        <v>774</v>
      </c>
      <c r="D782">
        <v>939.18514646522578</v>
      </c>
      <c r="E782">
        <v>1484.9836304532782</v>
      </c>
      <c r="F782">
        <v>0.69265943682950326</v>
      </c>
      <c r="G782">
        <v>0.72440259514100291</v>
      </c>
      <c r="H782" s="3">
        <v>447.65281366725139</v>
      </c>
      <c r="I782" s="3">
        <v>2.2344480224140279E-2</v>
      </c>
      <c r="J782" s="3">
        <v>-3.8160459222294496E-5</v>
      </c>
      <c r="K782" s="1">
        <v>7.4227197685652301E-3</v>
      </c>
      <c r="L782" s="1">
        <v>-104.56158709002921</v>
      </c>
      <c r="M782" s="1">
        <v>-298.48166441819353</v>
      </c>
      <c r="N782" s="1">
        <v>-403.04325150822274</v>
      </c>
      <c r="O782" s="1">
        <v>-403.04325150822274</v>
      </c>
    </row>
    <row r="783" spans="2:15">
      <c r="B783">
        <v>775</v>
      </c>
      <c r="D783">
        <v>697.26704274488361</v>
      </c>
      <c r="E783">
        <v>1227.7400423253061</v>
      </c>
      <c r="F783">
        <v>0.6999101366215883</v>
      </c>
      <c r="G783">
        <v>0.72059263206851054</v>
      </c>
      <c r="H783" s="3">
        <v>425.05698166155923</v>
      </c>
      <c r="I783" s="3">
        <v>1.4470978511976366E-2</v>
      </c>
      <c r="J783" s="3">
        <v>-6.781870571101592E-3</v>
      </c>
      <c r="K783" s="1">
        <v>3.0241245659106027E-4</v>
      </c>
      <c r="L783" s="1">
        <v>-325.48553065382833</v>
      </c>
      <c r="M783" s="1">
        <v>-308.59545780999088</v>
      </c>
      <c r="N783" s="1">
        <v>-634.08098846381927</v>
      </c>
      <c r="O783" s="1">
        <v>-634.08098846381927</v>
      </c>
    </row>
    <row r="784" spans="2:15">
      <c r="B784">
        <v>776</v>
      </c>
      <c r="D784">
        <v>845.32254534625486</v>
      </c>
      <c r="E784">
        <v>1321.3261600679473</v>
      </c>
      <c r="F784">
        <v>0.70169080181080301</v>
      </c>
      <c r="G784">
        <v>0.73653700759001406</v>
      </c>
      <c r="H784" s="3">
        <v>409.52580292797239</v>
      </c>
      <c r="I784" s="3">
        <v>2.6582685947433918E-2</v>
      </c>
      <c r="J784" s="3">
        <v>6.1063958010353012E-3</v>
      </c>
      <c r="K784" s="1">
        <v>1.2931825849834841E-2</v>
      </c>
      <c r="L784" s="1">
        <v>-410.45159854703769</v>
      </c>
      <c r="M784" s="1">
        <v>-307.35228576249131</v>
      </c>
      <c r="N784" s="1">
        <v>-717.80388430952917</v>
      </c>
      <c r="O784" s="1">
        <v>-717.80388430952894</v>
      </c>
    </row>
    <row r="785" spans="2:15">
      <c r="B785">
        <v>777</v>
      </c>
      <c r="D785">
        <v>972.62833829430156</v>
      </c>
      <c r="E785">
        <v>1438.6919602464875</v>
      </c>
      <c r="F785">
        <v>0.68394668823708438</v>
      </c>
      <c r="G785">
        <v>0.71810313849240326</v>
      </c>
      <c r="H785" s="3">
        <v>379.99609801458678</v>
      </c>
      <c r="I785" s="3">
        <v>2.4460018314947134E-2</v>
      </c>
      <c r="J785" s="3">
        <v>5.460213414217794E-3</v>
      </c>
      <c r="K785" s="1">
        <v>1.1793481714460907E-2</v>
      </c>
      <c r="L785" s="1">
        <v>-228.68203737695475</v>
      </c>
      <c r="M785" s="1">
        <v>-209.54843682319043</v>
      </c>
      <c r="N785" s="1">
        <v>-438.23047420014512</v>
      </c>
      <c r="O785" s="1">
        <v>-438.23047420014518</v>
      </c>
    </row>
    <row r="786" spans="2:15">
      <c r="B786">
        <v>778</v>
      </c>
      <c r="D786">
        <v>790.69197251303672</v>
      </c>
      <c r="E786">
        <v>1332.2704489263788</v>
      </c>
      <c r="F786">
        <v>0.70757078060282286</v>
      </c>
      <c r="G786">
        <v>0.73063175104192479</v>
      </c>
      <c r="H786" s="3">
        <v>449.10105095745246</v>
      </c>
      <c r="I786" s="3">
        <v>1.68842017638824E-2</v>
      </c>
      <c r="J786" s="3">
        <v>-5.5708507839902222E-3</v>
      </c>
      <c r="K786" s="1">
        <v>1.9141667319673185E-3</v>
      </c>
      <c r="L786" s="1">
        <v>-262.06646099379293</v>
      </c>
      <c r="M786" s="1">
        <v>-397.33047578891058</v>
      </c>
      <c r="N786" s="1">
        <v>-659.39693678270351</v>
      </c>
      <c r="O786" s="1">
        <v>-659.39693678270351</v>
      </c>
    </row>
    <row r="787" spans="2:15">
      <c r="B787">
        <v>779</v>
      </c>
      <c r="D787">
        <v>874.08915634308823</v>
      </c>
      <c r="E787">
        <v>1377.261385235377</v>
      </c>
      <c r="F787">
        <v>0.69354449910094196</v>
      </c>
      <c r="G787">
        <v>0.71787632567033577</v>
      </c>
      <c r="H787" s="3">
        <v>425.90317453761236</v>
      </c>
      <c r="I787" s="3">
        <v>1.8215442073947454E-2</v>
      </c>
      <c r="J787" s="3">
        <v>-3.0797166529331656E-3</v>
      </c>
      <c r="K787" s="1">
        <v>4.0186695893603738E-3</v>
      </c>
      <c r="L787" s="1">
        <v>-149.80208070617275</v>
      </c>
      <c r="M787" s="1">
        <v>-384.15922132760682</v>
      </c>
      <c r="N787" s="1">
        <v>-533.96130203377948</v>
      </c>
      <c r="O787" s="1">
        <v>-533.96130203377959</v>
      </c>
    </row>
    <row r="788" spans="2:15">
      <c r="B788">
        <v>780</v>
      </c>
      <c r="D788">
        <v>952.51597820488723</v>
      </c>
      <c r="E788">
        <v>1438.7148758758685</v>
      </c>
      <c r="F788">
        <v>0.70116014612697475</v>
      </c>
      <c r="G788">
        <v>0.73681352952366141</v>
      </c>
      <c r="H788" s="3">
        <v>406.52211580586521</v>
      </c>
      <c r="I788" s="3">
        <v>2.6163074834669668E-2</v>
      </c>
      <c r="J788" s="3">
        <v>5.8369690443764062E-3</v>
      </c>
      <c r="K788" s="1">
        <v>1.2612337641140827E-2</v>
      </c>
      <c r="L788" s="1">
        <v>-209.29940773186513</v>
      </c>
      <c r="M788" s="1">
        <v>-350.91776734981971</v>
      </c>
      <c r="N788" s="1">
        <v>-560.21717508168467</v>
      </c>
      <c r="O788" s="1">
        <v>-560.2171750816849</v>
      </c>
    </row>
    <row r="789" spans="2:15">
      <c r="B789">
        <v>781</v>
      </c>
      <c r="D789">
        <v>1001.3456305462335</v>
      </c>
      <c r="E789">
        <v>1484.6443738936914</v>
      </c>
      <c r="F789">
        <v>0.69067405929502024</v>
      </c>
      <c r="G789">
        <v>0.73027945336180988</v>
      </c>
      <c r="H789" s="3">
        <v>396.33825031474436</v>
      </c>
      <c r="I789" s="3">
        <v>2.849496018813865E-2</v>
      </c>
      <c r="J789" s="3">
        <v>8.6780476724014309E-3</v>
      </c>
      <c r="K789" s="1">
        <v>1.5283685177647171E-2</v>
      </c>
      <c r="L789" s="1">
        <v>-128.94907867271522</v>
      </c>
      <c r="M789" s="1">
        <v>-321.03229414353115</v>
      </c>
      <c r="N789" s="1">
        <v>-449.98137281624639</v>
      </c>
      <c r="O789" s="1">
        <v>-449.98137281624633</v>
      </c>
    </row>
    <row r="790" spans="2:15">
      <c r="B790">
        <v>782</v>
      </c>
      <c r="D790">
        <v>850.66610496881333</v>
      </c>
      <c r="E790">
        <v>1344.0290712905835</v>
      </c>
      <c r="F790">
        <v>0.68866016776605243</v>
      </c>
      <c r="G790">
        <v>0.72271325071942727</v>
      </c>
      <c r="H790" s="3">
        <v>394.38306877996365</v>
      </c>
      <c r="I790" s="3">
        <v>2.378007698730664E-2</v>
      </c>
      <c r="J790" s="3">
        <v>4.0609235483084587E-3</v>
      </c>
      <c r="K790" s="1">
        <v>1.0633974694641186E-2</v>
      </c>
      <c r="L790" s="1">
        <v>-294.2955115110268</v>
      </c>
      <c r="M790" s="1">
        <v>-281.1839947364457</v>
      </c>
      <c r="N790" s="1">
        <v>-575.47950624747261</v>
      </c>
      <c r="O790" s="1">
        <v>-575.4795062474725</v>
      </c>
    </row>
    <row r="791" spans="2:15">
      <c r="B791">
        <v>783</v>
      </c>
      <c r="D791">
        <v>767.00925319759642</v>
      </c>
      <c r="E791">
        <v>1256.3211275211672</v>
      </c>
      <c r="F791">
        <v>0.68436145969360296</v>
      </c>
      <c r="G791">
        <v>0.72129491559750147</v>
      </c>
      <c r="H791" s="3">
        <v>417.80118226414839</v>
      </c>
      <c r="I791" s="3">
        <v>2.9401083100854517E-2</v>
      </c>
      <c r="J791" s="3">
        <v>8.511023987647099E-3</v>
      </c>
      <c r="K791" s="1">
        <v>1.5474377025382903E-2</v>
      </c>
      <c r="L791" s="1">
        <v>-198.55849992378614</v>
      </c>
      <c r="M791" s="1">
        <v>-423.4416689211788</v>
      </c>
      <c r="N791" s="1">
        <v>-622.00016884496495</v>
      </c>
      <c r="O791" s="1">
        <v>-622.00016884496495</v>
      </c>
    </row>
    <row r="792" spans="2:15">
      <c r="B792">
        <v>784</v>
      </c>
      <c r="D792">
        <v>901.97184128370623</v>
      </c>
      <c r="E792">
        <v>1388.2308486468528</v>
      </c>
      <c r="F792">
        <v>0.68762203679001566</v>
      </c>
      <c r="G792">
        <v>0.71071452065794638</v>
      </c>
      <c r="H792" s="3">
        <v>416.35762318743372</v>
      </c>
      <c r="I792" s="3">
        <v>1.7431544413436258E-2</v>
      </c>
      <c r="J792" s="3">
        <v>-3.3863367459354317E-3</v>
      </c>
      <c r="K792" s="1">
        <v>3.5529569738551314E-3</v>
      </c>
      <c r="L792" s="1">
        <v>-293.35307333806736</v>
      </c>
      <c r="M792" s="1">
        <v>-135.32678363935435</v>
      </c>
      <c r="N792" s="1">
        <v>-428.67985697742171</v>
      </c>
      <c r="O792" s="1">
        <v>-428.67985697742171</v>
      </c>
    </row>
    <row r="793" spans="2:15">
      <c r="B793">
        <v>785</v>
      </c>
      <c r="D793">
        <v>986.18132290630888</v>
      </c>
      <c r="E793">
        <v>1462.1535705968884</v>
      </c>
      <c r="F793">
        <v>0.69724963962125064</v>
      </c>
      <c r="G793">
        <v>0.72595294111449671</v>
      </c>
      <c r="H793" s="3">
        <v>406.53180076900526</v>
      </c>
      <c r="I793" s="3">
        <v>2.1528976873391087E-2</v>
      </c>
      <c r="J793" s="3">
        <v>1.2023868349408245E-3</v>
      </c>
      <c r="K793" s="1">
        <v>7.9779168477575775E-3</v>
      </c>
      <c r="L793" s="1">
        <v>-269.99273464718101</v>
      </c>
      <c r="M793" s="1">
        <v>-366.33740778861824</v>
      </c>
      <c r="N793" s="1">
        <v>-636.33014243579919</v>
      </c>
      <c r="O793" s="1">
        <v>-636.33014243579919</v>
      </c>
    </row>
    <row r="794" spans="2:15">
      <c r="B794">
        <v>786</v>
      </c>
      <c r="D794">
        <v>1354.350414101581</v>
      </c>
      <c r="E794">
        <v>1818.2102306208992</v>
      </c>
      <c r="F794">
        <v>0.68018061032931021</v>
      </c>
      <c r="G794">
        <v>0.72079250777831372</v>
      </c>
      <c r="H794" s="3">
        <v>379.43441539001986</v>
      </c>
      <c r="I794" s="3">
        <v>2.8500111318261762E-2</v>
      </c>
      <c r="J794" s="3">
        <v>9.5283905487607706E-3</v>
      </c>
      <c r="K794" s="1">
        <v>1.5852297471927769E-2</v>
      </c>
      <c r="L794" s="1">
        <v>-153.9868116835822</v>
      </c>
      <c r="M794" s="1">
        <v>-386.13449947135928</v>
      </c>
      <c r="N794" s="1">
        <v>-540.12131115494151</v>
      </c>
      <c r="O794" s="1">
        <v>-540.12131115494151</v>
      </c>
    </row>
    <row r="795" spans="2:15">
      <c r="B795">
        <v>787</v>
      </c>
      <c r="D795">
        <v>910.50398583064737</v>
      </c>
      <c r="E795">
        <v>1411.0635811363557</v>
      </c>
      <c r="F795">
        <v>0.68931479982384947</v>
      </c>
      <c r="G795">
        <v>0.71619775538579822</v>
      </c>
      <c r="H795" s="3">
        <v>399.96269708356164</v>
      </c>
      <c r="I795" s="3">
        <v>1.8488637733685531E-2</v>
      </c>
      <c r="J795" s="3">
        <v>-1.5094971204925485E-3</v>
      </c>
      <c r="K795" s="1">
        <v>5.1565478309001447E-3</v>
      </c>
      <c r="L795" s="1">
        <v>-102.89043758969875</v>
      </c>
      <c r="M795" s="1">
        <v>-341.94645727170553</v>
      </c>
      <c r="N795" s="1">
        <v>-444.83689486140418</v>
      </c>
      <c r="O795" s="1">
        <v>-444.83689486140429</v>
      </c>
    </row>
    <row r="796" spans="2:15">
      <c r="B796">
        <v>788</v>
      </c>
      <c r="D796">
        <v>965.07761560523068</v>
      </c>
      <c r="E796">
        <v>1481.6380963331642</v>
      </c>
      <c r="F796">
        <v>0.6841607115264311</v>
      </c>
      <c r="G796">
        <v>0.71976192534750727</v>
      </c>
      <c r="H796" s="3">
        <v>434.00637412286744</v>
      </c>
      <c r="I796" s="3">
        <v>2.6290920403983922E-2</v>
      </c>
      <c r="J796" s="3">
        <v>4.5906016978405489E-3</v>
      </c>
      <c r="K796" s="1">
        <v>1.1824041266555008E-2</v>
      </c>
      <c r="L796" s="1">
        <v>-262.14522264103442</v>
      </c>
      <c r="M796" s="1">
        <v>-321.9767271065536</v>
      </c>
      <c r="N796" s="1">
        <v>-584.12194974758802</v>
      </c>
      <c r="O796" s="1">
        <v>-584.12194974758802</v>
      </c>
    </row>
    <row r="797" spans="2:15">
      <c r="B797">
        <v>789</v>
      </c>
      <c r="D797">
        <v>890.28925999403145</v>
      </c>
      <c r="E797">
        <v>1409.6565985793577</v>
      </c>
      <c r="F797">
        <v>0.69554487934751907</v>
      </c>
      <c r="G797">
        <v>0.72460399491165206</v>
      </c>
      <c r="H797" s="3">
        <v>423.4790553047082</v>
      </c>
      <c r="I797" s="3">
        <v>2.0537226993900412E-2</v>
      </c>
      <c r="J797" s="3">
        <v>-6.3672577133499358E-4</v>
      </c>
      <c r="K797" s="1">
        <v>6.4212584837434732E-3</v>
      </c>
      <c r="L797" s="1">
        <v>-321.81492301795129</v>
      </c>
      <c r="M797" s="1">
        <v>-417.56423991813085</v>
      </c>
      <c r="N797" s="1">
        <v>-739.37916293608214</v>
      </c>
      <c r="O797" s="1">
        <v>-739.37916293608214</v>
      </c>
    </row>
    <row r="798" spans="2:15">
      <c r="B798">
        <v>790</v>
      </c>
      <c r="D798">
        <v>681.41734824847686</v>
      </c>
      <c r="E798">
        <v>1155.3305155117482</v>
      </c>
      <c r="F798">
        <v>0.69618010135228237</v>
      </c>
      <c r="G798">
        <v>0.72945700898058419</v>
      </c>
      <c r="H798" s="3">
        <v>379.10741396475737</v>
      </c>
      <c r="I798" s="3">
        <v>2.2505612670428415E-2</v>
      </c>
      <c r="J798" s="3">
        <v>3.5502419721905459E-3</v>
      </c>
      <c r="K798" s="1">
        <v>9.8686988716031702E-3</v>
      </c>
      <c r="L798" s="1">
        <v>-333.36352279929491</v>
      </c>
      <c r="M798" s="1">
        <v>-487.75947354987977</v>
      </c>
      <c r="N798" s="1">
        <v>-821.12299634917463</v>
      </c>
      <c r="O798" s="1">
        <v>-821.12299634917463</v>
      </c>
    </row>
    <row r="799" spans="2:15">
      <c r="B799">
        <v>791</v>
      </c>
      <c r="D799">
        <v>823.93032561580389</v>
      </c>
      <c r="E799">
        <v>1301.6088604169674</v>
      </c>
      <c r="F799">
        <v>0.68726902462797979</v>
      </c>
      <c r="G799">
        <v>0.71904213433973219</v>
      </c>
      <c r="H799" s="3">
        <v>388.03833403031672</v>
      </c>
      <c r="I799" s="3">
        <v>2.2242579121943683E-2</v>
      </c>
      <c r="J799" s="3">
        <v>2.8406624204278461E-3</v>
      </c>
      <c r="K799" s="1">
        <v>9.3079679875997922E-3</v>
      </c>
      <c r="L799" s="1">
        <v>-294.96257680051883</v>
      </c>
      <c r="M799" s="1">
        <v>-367.10020566181663</v>
      </c>
      <c r="N799" s="1">
        <v>-662.06278246233546</v>
      </c>
      <c r="O799" s="1">
        <v>-662.06278246233546</v>
      </c>
    </row>
    <row r="800" spans="2:15">
      <c r="B800">
        <v>792</v>
      </c>
      <c r="D800">
        <v>683.74468805578113</v>
      </c>
      <c r="E800">
        <v>1182.7509940675086</v>
      </c>
      <c r="F800">
        <v>0.68409823376254464</v>
      </c>
      <c r="G800">
        <v>0.71500674988420598</v>
      </c>
      <c r="H800" s="3">
        <v>408.54526717982355</v>
      </c>
      <c r="I800" s="3">
        <v>2.1971899015330056E-2</v>
      </c>
      <c r="J800" s="3">
        <v>1.5446356563388781E-3</v>
      </c>
      <c r="K800" s="1">
        <v>8.3537234426692714E-3</v>
      </c>
      <c r="L800" s="1">
        <v>-292.07135079310774</v>
      </c>
      <c r="M800" s="1">
        <v>-475.55373546682404</v>
      </c>
      <c r="N800" s="1">
        <v>-767.62508625993166</v>
      </c>
      <c r="O800" s="1">
        <v>-767.62508625993178</v>
      </c>
    </row>
    <row r="801" spans="2:15">
      <c r="B801">
        <v>793</v>
      </c>
      <c r="D801">
        <v>877.70838715284708</v>
      </c>
      <c r="E801">
        <v>1367.3212022006096</v>
      </c>
      <c r="F801">
        <v>0.69531815309983513</v>
      </c>
      <c r="G801">
        <v>0.72723383578562539</v>
      </c>
      <c r="H801" s="3">
        <v>386.12580960247698</v>
      </c>
      <c r="I801" s="3">
        <v>2.1995611721856972E-2</v>
      </c>
      <c r="J801" s="3">
        <v>2.6893212417331246E-3</v>
      </c>
      <c r="K801" s="1">
        <v>9.1247514017744058E-3</v>
      </c>
      <c r="L801" s="1">
        <v>-195.57241682087476</v>
      </c>
      <c r="M801" s="1">
        <v>-312.05468160821056</v>
      </c>
      <c r="N801" s="1">
        <v>-507.62709842908538</v>
      </c>
      <c r="O801" s="1">
        <v>-507.62709842908532</v>
      </c>
    </row>
    <row r="802" spans="2:15">
      <c r="B802">
        <v>794</v>
      </c>
      <c r="D802">
        <v>908.92285397515002</v>
      </c>
      <c r="E802">
        <v>1391.9256970717886</v>
      </c>
      <c r="F802">
        <v>0.68216688548842896</v>
      </c>
      <c r="G802">
        <v>0.72300580464723485</v>
      </c>
      <c r="H802" s="3">
        <v>402.90342365676435</v>
      </c>
      <c r="I802" s="3">
        <v>3.062322722826823E-2</v>
      </c>
      <c r="J802" s="3">
        <v>1.0478056045430017E-2</v>
      </c>
      <c r="K802" s="1">
        <v>1.7193113106376088E-2</v>
      </c>
      <c r="L802" s="1">
        <v>-420.51903781313354</v>
      </c>
      <c r="M802" s="1">
        <v>-296.3088214108538</v>
      </c>
      <c r="N802" s="1">
        <v>-716.82785922398739</v>
      </c>
      <c r="O802" s="1">
        <v>-716.82785922398739</v>
      </c>
    </row>
    <row r="803" spans="2:15">
      <c r="B803">
        <v>795</v>
      </c>
      <c r="D803">
        <v>613.70317002649847</v>
      </c>
      <c r="E803">
        <v>1127.6162025856338</v>
      </c>
      <c r="F803">
        <v>0.69474702858881854</v>
      </c>
      <c r="G803">
        <v>0.72657021718199277</v>
      </c>
      <c r="H803" s="3">
        <v>411.01137688258962</v>
      </c>
      <c r="I803" s="3">
        <v>2.1752882925520117E-2</v>
      </c>
      <c r="J803" s="3">
        <v>1.2023140813906368E-3</v>
      </c>
      <c r="K803" s="1">
        <v>8.0525036961004628E-3</v>
      </c>
      <c r="L803" s="1">
        <v>-258.07997382151632</v>
      </c>
      <c r="M803" s="1">
        <v>-329.92590422315271</v>
      </c>
      <c r="N803" s="1">
        <v>-588.00587804466909</v>
      </c>
      <c r="O803" s="1">
        <v>-588.00587804466909</v>
      </c>
    </row>
    <row r="804" spans="2:15">
      <c r="B804">
        <v>796</v>
      </c>
      <c r="D804">
        <v>727.13305915967271</v>
      </c>
      <c r="E804">
        <v>1202.0126659987036</v>
      </c>
      <c r="F804">
        <v>0.69380892293132956</v>
      </c>
      <c r="G804">
        <v>0.74009233945962694</v>
      </c>
      <c r="H804" s="3">
        <v>395.53320953637296</v>
      </c>
      <c r="I804" s="3">
        <v>3.2515395168362042E-2</v>
      </c>
      <c r="J804" s="3">
        <v>1.2738734691543394E-2</v>
      </c>
      <c r="K804" s="1">
        <v>1.9330954850482945E-2</v>
      </c>
      <c r="L804" s="1">
        <v>-47.583245535686082</v>
      </c>
      <c r="M804" s="1">
        <v>-359.85054983835067</v>
      </c>
      <c r="N804" s="1">
        <v>-407.43379537403678</v>
      </c>
      <c r="O804" s="1">
        <v>-407.43379537403678</v>
      </c>
    </row>
    <row r="805" spans="2:15">
      <c r="B805">
        <v>797</v>
      </c>
      <c r="D805">
        <v>864.52713662891392</v>
      </c>
      <c r="E805">
        <v>1350.2560834086232</v>
      </c>
      <c r="F805">
        <v>0.68320253760385441</v>
      </c>
      <c r="G805">
        <v>0.72189595111351113</v>
      </c>
      <c r="H805" s="3">
        <v>400.95344981710537</v>
      </c>
      <c r="I805" s="3">
        <v>2.8029843117717133E-2</v>
      </c>
      <c r="J805" s="3">
        <v>7.9821706268618647E-3</v>
      </c>
      <c r="K805" s="1">
        <v>1.4664728123813621E-2</v>
      </c>
      <c r="L805" s="1">
        <v>-357.75374668965378</v>
      </c>
      <c r="M805" s="1">
        <v>-362.76149845193117</v>
      </c>
      <c r="N805" s="1">
        <v>-720.51524514158507</v>
      </c>
      <c r="O805" s="1">
        <v>-720.51524514158496</v>
      </c>
    </row>
    <row r="806" spans="2:15">
      <c r="B806">
        <v>798</v>
      </c>
      <c r="D806">
        <v>875.244242452702</v>
      </c>
      <c r="E806">
        <v>1344.9302307846765</v>
      </c>
      <c r="F806">
        <v>0.68324303101014838</v>
      </c>
      <c r="G806">
        <v>0.72023522283059205</v>
      </c>
      <c r="H806" s="3">
        <v>356.3728330658036</v>
      </c>
      <c r="I806" s="3">
        <v>2.411625052026483E-2</v>
      </c>
      <c r="J806" s="3">
        <v>6.2976088669746515E-3</v>
      </c>
      <c r="K806" s="1">
        <v>1.2237156084738045E-2</v>
      </c>
      <c r="L806" s="1">
        <v>-180.48310485747353</v>
      </c>
      <c r="M806" s="1">
        <v>-323.08799248653008</v>
      </c>
      <c r="N806" s="1">
        <v>-503.57109734400359</v>
      </c>
      <c r="O806" s="1">
        <v>-503.57109734400365</v>
      </c>
    </row>
    <row r="807" spans="2:15">
      <c r="B807">
        <v>799</v>
      </c>
      <c r="D807">
        <v>833.99105319017735</v>
      </c>
      <c r="E807">
        <v>1329.365346741718</v>
      </c>
      <c r="F807">
        <v>0.68966851315412048</v>
      </c>
      <c r="G807">
        <v>0.72758847989199782</v>
      </c>
      <c r="H807" s="3">
        <v>417.40957318553995</v>
      </c>
      <c r="I807" s="3">
        <v>2.8515431511541803E-2</v>
      </c>
      <c r="J807" s="3">
        <v>7.6449528522648073E-3</v>
      </c>
      <c r="K807" s="1">
        <v>1.4601779072023806E-2</v>
      </c>
      <c r="L807" s="1">
        <v>-277.62290991230969</v>
      </c>
      <c r="M807" s="1">
        <v>-395.65011099140588</v>
      </c>
      <c r="N807" s="1">
        <v>-673.27302090371552</v>
      </c>
      <c r="O807" s="1">
        <v>-673.27302090371563</v>
      </c>
    </row>
    <row r="808" spans="2:15">
      <c r="B808">
        <v>800</v>
      </c>
      <c r="D808">
        <v>806.70719856843448</v>
      </c>
      <c r="E808">
        <v>1312.3229324503418</v>
      </c>
      <c r="F808">
        <v>0.69988738376089366</v>
      </c>
      <c r="G808">
        <v>0.73412339445681729</v>
      </c>
      <c r="H808" s="3">
        <v>412.32679217005835</v>
      </c>
      <c r="I808" s="3">
        <v>2.3976226234248971E-2</v>
      </c>
      <c r="J808" s="3">
        <v>3.3598866257460516E-3</v>
      </c>
      <c r="K808" s="1">
        <v>1.0231999828580359E-2</v>
      </c>
      <c r="L808" s="1">
        <v>-169.4585315251627</v>
      </c>
      <c r="M808" s="1">
        <v>-422.2484119000045</v>
      </c>
      <c r="N808" s="1">
        <v>-591.7069434251672</v>
      </c>
      <c r="O808" s="1">
        <v>-591.7069434251672</v>
      </c>
    </row>
    <row r="809" spans="2:15">
      <c r="B809">
        <v>801</v>
      </c>
      <c r="D809">
        <v>1025.6858601980198</v>
      </c>
      <c r="E809">
        <v>1514.5715410553562</v>
      </c>
      <c r="F809">
        <v>0.69052547105581619</v>
      </c>
      <c r="G809">
        <v>0.72494956258109544</v>
      </c>
      <c r="H809" s="3">
        <v>401.33513049486817</v>
      </c>
      <c r="I809" s="3">
        <v>2.542353271886166E-2</v>
      </c>
      <c r="J809" s="3">
        <v>5.3567761941182498E-3</v>
      </c>
      <c r="K809" s="1">
        <v>1.2045695035699388E-2</v>
      </c>
      <c r="L809" s="1">
        <v>-178.8915787091492</v>
      </c>
      <c r="M809" s="1">
        <v>-511.88768029312666</v>
      </c>
      <c r="N809" s="1">
        <v>-690.77925900227604</v>
      </c>
      <c r="O809" s="1">
        <v>-690.77925900227592</v>
      </c>
    </row>
    <row r="810" spans="2:15">
      <c r="B810">
        <v>802</v>
      </c>
      <c r="D810">
        <v>826.405274810837</v>
      </c>
      <c r="E810">
        <v>1305.4559533230806</v>
      </c>
      <c r="F810">
        <v>0.68563802573338362</v>
      </c>
      <c r="G810">
        <v>0.7261259920899189</v>
      </c>
      <c r="H810" s="3">
        <v>399.04018130632096</v>
      </c>
      <c r="I810" s="3">
        <v>2.9500198116209617E-2</v>
      </c>
      <c r="J810" s="3">
        <v>9.5481890508935692E-3</v>
      </c>
      <c r="K810" s="1">
        <v>1.6198858739332252E-2</v>
      </c>
      <c r="L810" s="1">
        <v>-280.53401885919982</v>
      </c>
      <c r="M810" s="1">
        <v>-500.20396983622851</v>
      </c>
      <c r="N810" s="1">
        <v>-780.73798869542838</v>
      </c>
      <c r="O810" s="1">
        <v>-780.73798869542838</v>
      </c>
    </row>
    <row r="811" spans="2:15">
      <c r="B811">
        <v>803</v>
      </c>
      <c r="D811">
        <v>1147.6752775853472</v>
      </c>
      <c r="E811">
        <v>1628.3368686084139</v>
      </c>
      <c r="F811">
        <v>0.69413224997469158</v>
      </c>
      <c r="G811">
        <v>0.71850517466817643</v>
      </c>
      <c r="H811" s="3">
        <v>391.11366024971414</v>
      </c>
      <c r="I811" s="3">
        <v>1.7420941705473099E-2</v>
      </c>
      <c r="J811" s="3">
        <v>-2.1347413070126088E-3</v>
      </c>
      <c r="K811" s="1">
        <v>4.3838196971492938E-3</v>
      </c>
      <c r="L811" s="1">
        <v>-390.87782104522142</v>
      </c>
      <c r="M811" s="1">
        <v>-438.82257442121988</v>
      </c>
      <c r="N811" s="1">
        <v>-829.70039546644114</v>
      </c>
      <c r="O811" s="1">
        <v>-829.70039546644125</v>
      </c>
    </row>
    <row r="812" spans="2:15">
      <c r="B812">
        <v>804</v>
      </c>
      <c r="D812">
        <v>1030.5818357197777</v>
      </c>
      <c r="E812">
        <v>1480.9582500171132</v>
      </c>
      <c r="F812">
        <v>0.69473412070888985</v>
      </c>
      <c r="G812">
        <v>0.72740655902661777</v>
      </c>
      <c r="H812" s="3">
        <v>369.45124008053278</v>
      </c>
      <c r="I812" s="3">
        <v>2.2806092762561122E-2</v>
      </c>
      <c r="J812" s="3">
        <v>4.3335307585344839E-3</v>
      </c>
      <c r="K812" s="1">
        <v>1.0491051426543363E-2</v>
      </c>
      <c r="L812" s="1">
        <v>-194.72740115979389</v>
      </c>
      <c r="M812" s="1">
        <v>-416.3827345066004</v>
      </c>
      <c r="N812" s="1">
        <v>-611.11013566639429</v>
      </c>
      <c r="O812" s="1">
        <v>-611.11013566639429</v>
      </c>
    </row>
    <row r="813" spans="2:15">
      <c r="B813">
        <v>805</v>
      </c>
      <c r="D813">
        <v>970.58314840163689</v>
      </c>
      <c r="E813">
        <v>1500.9102459759827</v>
      </c>
      <c r="F813">
        <v>0.69650716666539603</v>
      </c>
      <c r="G813">
        <v>0.71814487401299898</v>
      </c>
      <c r="H813" s="3">
        <v>423.63756807942366</v>
      </c>
      <c r="I813" s="3">
        <v>1.3778117421660921E-2</v>
      </c>
      <c r="J813" s="3">
        <v>-7.4037609823102632E-3</v>
      </c>
      <c r="K813" s="1">
        <v>-3.4313484765320298E-4</v>
      </c>
      <c r="L813" s="1">
        <v>-363.11784086796183</v>
      </c>
      <c r="M813" s="1">
        <v>-350.88992279041645</v>
      </c>
      <c r="N813" s="1">
        <v>-714.00776365837828</v>
      </c>
      <c r="O813" s="1">
        <v>-714.00776365837828</v>
      </c>
    </row>
    <row r="814" spans="2:15">
      <c r="B814">
        <v>806</v>
      </c>
      <c r="D814">
        <v>806.52008961378522</v>
      </c>
      <c r="E814">
        <v>1280.0462274598478</v>
      </c>
      <c r="F814">
        <v>0.69826432680726114</v>
      </c>
      <c r="G814">
        <v>0.72524562601653075</v>
      </c>
      <c r="H814" s="3">
        <v>395.00459504988402</v>
      </c>
      <c r="I814" s="3">
        <v>1.9769685057399039E-2</v>
      </c>
      <c r="J814" s="3">
        <v>1.9455304904839044E-5</v>
      </c>
      <c r="K814" s="1">
        <v>6.6028652224029045E-3</v>
      </c>
      <c r="L814" s="1">
        <v>-410.46518633061623</v>
      </c>
      <c r="M814" s="1">
        <v>-403.9093861492529</v>
      </c>
      <c r="N814" s="1">
        <v>-814.37457247986924</v>
      </c>
      <c r="O814" s="1">
        <v>-814.37457247986913</v>
      </c>
    </row>
    <row r="815" spans="2:15">
      <c r="B815">
        <v>807</v>
      </c>
      <c r="D815">
        <v>887.26186363295415</v>
      </c>
      <c r="E815">
        <v>1395.3093118762299</v>
      </c>
      <c r="F815">
        <v>0.69286462754957689</v>
      </c>
      <c r="G815">
        <v>0.7250940673443601</v>
      </c>
      <c r="H815" s="3">
        <v>406.17817558047597</v>
      </c>
      <c r="I815" s="3">
        <v>2.2291285241055971E-2</v>
      </c>
      <c r="J815" s="3">
        <v>1.9823764620321739E-3</v>
      </c>
      <c r="K815" s="1">
        <v>8.7520127217067725E-3</v>
      </c>
      <c r="L815" s="1">
        <v>-174.83633990796005</v>
      </c>
      <c r="M815" s="1">
        <v>-237.82736358822041</v>
      </c>
      <c r="N815" s="1">
        <v>-412.66370349618052</v>
      </c>
      <c r="O815" s="1">
        <v>-412.66370349618046</v>
      </c>
    </row>
    <row r="816" spans="2:15">
      <c r="B816">
        <v>808</v>
      </c>
      <c r="D816">
        <v>688.22071077674241</v>
      </c>
      <c r="E816">
        <v>1157.9834885285675</v>
      </c>
      <c r="F816">
        <v>0.69114652061141368</v>
      </c>
      <c r="G816">
        <v>0.72837204850970561</v>
      </c>
      <c r="H816" s="3">
        <v>395.64518230558934</v>
      </c>
      <c r="I816" s="3">
        <v>2.7358383323762551E-2</v>
      </c>
      <c r="J816" s="3">
        <v>7.5761242084830815E-3</v>
      </c>
      <c r="K816" s="1">
        <v>1.4170210580242905E-2</v>
      </c>
      <c r="L816" s="1">
        <v>-296.71158979151232</v>
      </c>
      <c r="M816" s="1">
        <v>-296.91874690029493</v>
      </c>
      <c r="N816" s="1">
        <v>-593.6303366918072</v>
      </c>
      <c r="O816" s="1">
        <v>-593.63033669180732</v>
      </c>
    </row>
    <row r="817" spans="2:15">
      <c r="B817">
        <v>809</v>
      </c>
      <c r="D817">
        <v>910.30527272228744</v>
      </c>
      <c r="E817">
        <v>1357.0326521870159</v>
      </c>
      <c r="F817">
        <v>0.6876960661130036</v>
      </c>
      <c r="G817">
        <v>0.72140623656413438</v>
      </c>
      <c r="H817" s="3">
        <v>357.30446192610179</v>
      </c>
      <c r="I817" s="3">
        <v>2.3853669272112216E-2</v>
      </c>
      <c r="J817" s="3">
        <v>5.9884461758071272E-3</v>
      </c>
      <c r="K817" s="1">
        <v>1.1943520541242156E-2</v>
      </c>
      <c r="L817" s="1">
        <v>-15.743071890760756</v>
      </c>
      <c r="M817" s="1">
        <v>-302.69432603848611</v>
      </c>
      <c r="N817" s="1">
        <v>-318.4373979292468</v>
      </c>
      <c r="O817" s="1">
        <v>-318.43739792924686</v>
      </c>
    </row>
    <row r="818" spans="2:15">
      <c r="B818">
        <v>810</v>
      </c>
      <c r="D818">
        <v>777.70348991557728</v>
      </c>
      <c r="E818">
        <v>1272.8140874838332</v>
      </c>
      <c r="F818">
        <v>0.69398576291825043</v>
      </c>
      <c r="G818">
        <v>0.72924235358374356</v>
      </c>
      <c r="H818" s="3">
        <v>392.18144757301553</v>
      </c>
      <c r="I818" s="3">
        <v>2.4026436349534306E-2</v>
      </c>
      <c r="J818" s="3">
        <v>4.4173639708835304E-3</v>
      </c>
      <c r="K818" s="1">
        <v>1.0953721430433789E-2</v>
      </c>
      <c r="L818" s="1">
        <v>-84.093109785349398</v>
      </c>
      <c r="M818" s="1">
        <v>-244.47505809072709</v>
      </c>
      <c r="N818" s="1">
        <v>-328.56816787607653</v>
      </c>
      <c r="O818" s="1">
        <v>-328.56816787607647</v>
      </c>
    </row>
    <row r="819" spans="2:15">
      <c r="B819">
        <v>811</v>
      </c>
      <c r="D819">
        <v>905.97005834044649</v>
      </c>
      <c r="E819">
        <v>1362.9599173494289</v>
      </c>
      <c r="F819">
        <v>0.69618193977498721</v>
      </c>
      <c r="G819">
        <v>0.72928056787848095</v>
      </c>
      <c r="H819" s="3">
        <v>362.37139919379291</v>
      </c>
      <c r="I819" s="3">
        <v>2.238804657796872E-2</v>
      </c>
      <c r="J819" s="3">
        <v>4.2694766182790785E-3</v>
      </c>
      <c r="K819" s="1">
        <v>1.0308999938175625E-2</v>
      </c>
      <c r="L819" s="1">
        <v>-250.81309486182118</v>
      </c>
      <c r="M819" s="1">
        <v>-259.76671131404663</v>
      </c>
      <c r="N819" s="1">
        <v>-510.5798061758677</v>
      </c>
      <c r="O819" s="1">
        <v>-510.57980617586782</v>
      </c>
    </row>
    <row r="820" spans="2:15">
      <c r="B820">
        <v>812</v>
      </c>
      <c r="D820">
        <v>755.7451015879293</v>
      </c>
      <c r="E820">
        <v>1248.9654147301615</v>
      </c>
      <c r="F820">
        <v>0.68903157189496733</v>
      </c>
      <c r="G820">
        <v>0.71810754011971822</v>
      </c>
      <c r="H820" s="3">
        <v>403.99292470093832</v>
      </c>
      <c r="I820" s="3">
        <v>2.126420365294018E-2</v>
      </c>
      <c r="J820" s="3">
        <v>1.0645574178932658E-3</v>
      </c>
      <c r="K820" s="1">
        <v>7.7977728295755694E-3</v>
      </c>
      <c r="L820" s="1">
        <v>-75.399721386654193</v>
      </c>
      <c r="M820" s="1">
        <v>-469.32557676322193</v>
      </c>
      <c r="N820" s="1">
        <v>-544.72529814987604</v>
      </c>
      <c r="O820" s="1">
        <v>-544.72529814987615</v>
      </c>
    </row>
    <row r="821" spans="2:15">
      <c r="B821">
        <v>813</v>
      </c>
      <c r="D821">
        <v>778.9386413696094</v>
      </c>
      <c r="E821">
        <v>1269.5949928954121</v>
      </c>
      <c r="F821">
        <v>0.69138782886051375</v>
      </c>
      <c r="G821">
        <v>0.73062774709790401</v>
      </c>
      <c r="H821" s="3">
        <v>397.14073032116727</v>
      </c>
      <c r="I821" s="3">
        <v>2.7312017460896683E-2</v>
      </c>
      <c r="J821" s="3">
        <v>7.4549809448383186E-3</v>
      </c>
      <c r="K821" s="1">
        <v>1.4073993116857773E-2</v>
      </c>
      <c r="L821" s="1">
        <v>-265.14286999829591</v>
      </c>
      <c r="M821" s="1">
        <v>-436.4141933577871</v>
      </c>
      <c r="N821" s="1">
        <v>-701.55706335608306</v>
      </c>
      <c r="O821" s="1">
        <v>-701.55706335608306</v>
      </c>
    </row>
    <row r="822" spans="2:15">
      <c r="B822">
        <v>814</v>
      </c>
      <c r="D822">
        <v>959.14461375129224</v>
      </c>
      <c r="E822">
        <v>1426.5069330272975</v>
      </c>
      <c r="F822">
        <v>0.69573096891018205</v>
      </c>
      <c r="G822">
        <v>0.73634447165143357</v>
      </c>
      <c r="H822" s="3">
        <v>388.17533305464553</v>
      </c>
      <c r="I822" s="3">
        <v>2.9924246729097641E-2</v>
      </c>
      <c r="J822" s="3">
        <v>1.0515480076365363E-2</v>
      </c>
      <c r="K822" s="1">
        <v>1.6985068960609456E-2</v>
      </c>
      <c r="L822" s="1">
        <v>-192.30531641604881</v>
      </c>
      <c r="M822" s="1">
        <v>-317.62281556902104</v>
      </c>
      <c r="N822" s="1">
        <v>-509.92813198506991</v>
      </c>
      <c r="O822" s="1">
        <v>-509.92813198506985</v>
      </c>
    </row>
    <row r="823" spans="2:15">
      <c r="B823">
        <v>815</v>
      </c>
      <c r="D823">
        <v>864.33494690099747</v>
      </c>
      <c r="E823">
        <v>1382.2981656515226</v>
      </c>
      <c r="F823">
        <v>0.68822913491907256</v>
      </c>
      <c r="G823">
        <v>0.73435031536151751</v>
      </c>
      <c r="H823" s="3">
        <v>428.22258111754883</v>
      </c>
      <c r="I823" s="3">
        <v>3.3916642128055806E-2</v>
      </c>
      <c r="J823" s="3">
        <v>1.2505513072178367E-2</v>
      </c>
      <c r="K823" s="1">
        <v>1.9642556090804182E-2</v>
      </c>
      <c r="L823" s="1">
        <v>-461.89369461147169</v>
      </c>
      <c r="M823" s="1">
        <v>-444.84237891844754</v>
      </c>
      <c r="N823" s="1">
        <v>-906.73607352991917</v>
      </c>
      <c r="O823" s="1">
        <v>-906.73607352991917</v>
      </c>
    </row>
    <row r="824" spans="2:15">
      <c r="B824">
        <v>816</v>
      </c>
      <c r="D824">
        <v>767.04677129570143</v>
      </c>
      <c r="E824">
        <v>1243.7178238726156</v>
      </c>
      <c r="F824">
        <v>0.6936362559840531</v>
      </c>
      <c r="G824">
        <v>0.72330114974140181</v>
      </c>
      <c r="H824" s="3">
        <v>400.26290036978025</v>
      </c>
      <c r="I824" s="3">
        <v>2.1927765573611393E-2</v>
      </c>
      <c r="J824" s="3">
        <v>1.9146205551223809E-3</v>
      </c>
      <c r="K824" s="1">
        <v>8.5856688946187171E-3</v>
      </c>
      <c r="L824" s="1">
        <v>-360.56575934388621</v>
      </c>
      <c r="M824" s="1">
        <v>-315.76752822582813</v>
      </c>
      <c r="N824" s="1">
        <v>-676.33328756971434</v>
      </c>
      <c r="O824" s="1">
        <v>-676.33328756971434</v>
      </c>
    </row>
    <row r="825" spans="2:15">
      <c r="B825">
        <v>817</v>
      </c>
      <c r="D825">
        <v>860.65457042102844</v>
      </c>
      <c r="E825">
        <v>1366.0854588662094</v>
      </c>
      <c r="F825">
        <v>0.70504823125873584</v>
      </c>
      <c r="G825">
        <v>0.73428961005672277</v>
      </c>
      <c r="H825" s="3">
        <v>419.78475163889163</v>
      </c>
      <c r="I825" s="3">
        <v>1.997082893095516E-2</v>
      </c>
      <c r="J825" s="3">
        <v>-1.0184086509894205E-3</v>
      </c>
      <c r="K825" s="1">
        <v>5.9780038763254384E-3</v>
      </c>
      <c r="L825" s="1">
        <v>-31.025773919628897</v>
      </c>
      <c r="M825" s="1">
        <v>-384.89609908638306</v>
      </c>
      <c r="N825" s="1">
        <v>-415.92187300601199</v>
      </c>
      <c r="O825" s="1">
        <v>-415.92187300601194</v>
      </c>
    </row>
    <row r="826" spans="2:15">
      <c r="B826">
        <v>818</v>
      </c>
      <c r="D826">
        <v>940.54031957833377</v>
      </c>
      <c r="E826">
        <v>1446.5486475037385</v>
      </c>
      <c r="F826">
        <v>0.69279723362072843</v>
      </c>
      <c r="G826">
        <v>0.73632285091427918</v>
      </c>
      <c r="H826" s="3">
        <v>405.09394929737664</v>
      </c>
      <c r="I826" s="3">
        <v>2.9907110621580638E-2</v>
      </c>
      <c r="J826" s="3">
        <v>9.6524131567118018E-3</v>
      </c>
      <c r="K826" s="1">
        <v>1.6403978978334746E-2</v>
      </c>
      <c r="L826" s="1">
        <v>-292.45896534890619</v>
      </c>
      <c r="M826" s="1">
        <v>-291.56488198253641</v>
      </c>
      <c r="N826" s="1">
        <v>-584.02384733144254</v>
      </c>
      <c r="O826" s="1">
        <v>-584.02384733144254</v>
      </c>
    </row>
    <row r="827" spans="2:15">
      <c r="B827">
        <v>819</v>
      </c>
      <c r="D827">
        <v>810.28265502802412</v>
      </c>
      <c r="E827">
        <v>1294.506396568989</v>
      </c>
      <c r="F827">
        <v>0.69149189984354198</v>
      </c>
      <c r="G827">
        <v>0.72492608571932882</v>
      </c>
      <c r="H827" s="3">
        <v>387.42350326255706</v>
      </c>
      <c r="I827" s="3">
        <v>2.340592353454642E-2</v>
      </c>
      <c r="J827" s="3">
        <v>4.0347483714185672E-3</v>
      </c>
      <c r="K827" s="1">
        <v>1.049180675912785E-2</v>
      </c>
      <c r="L827" s="1">
        <v>-180.11532217616718</v>
      </c>
      <c r="M827" s="1">
        <v>-376.13781518485189</v>
      </c>
      <c r="N827" s="1">
        <v>-556.25313736101907</v>
      </c>
      <c r="O827" s="1">
        <v>-556.25313736101907</v>
      </c>
    </row>
    <row r="828" spans="2:15">
      <c r="B828">
        <v>820</v>
      </c>
      <c r="D828">
        <v>689.26992825906177</v>
      </c>
      <c r="E828">
        <v>1181.054071427495</v>
      </c>
      <c r="F828">
        <v>0.70199628288914229</v>
      </c>
      <c r="G828">
        <v>0.7254804314906107</v>
      </c>
      <c r="H828" s="3">
        <v>396.49202099825584</v>
      </c>
      <c r="I828" s="3">
        <v>1.6655319778423633E-2</v>
      </c>
      <c r="J828" s="3">
        <v>-3.1692812714891605E-3</v>
      </c>
      <c r="K828" s="1">
        <v>3.43891907848177E-3</v>
      </c>
      <c r="L828" s="1">
        <v>-259.68997406854425</v>
      </c>
      <c r="M828" s="1">
        <v>-411.7130068209301</v>
      </c>
      <c r="N828" s="1">
        <v>-671.40298088947429</v>
      </c>
      <c r="O828" s="1">
        <v>-671.40298088947429</v>
      </c>
    </row>
    <row r="829" spans="2:15">
      <c r="B829">
        <v>821</v>
      </c>
      <c r="D829">
        <v>845.95932409403554</v>
      </c>
      <c r="E829">
        <v>1364.8374780185609</v>
      </c>
      <c r="F829">
        <v>0.67681733087834572</v>
      </c>
      <c r="G829">
        <v>0.7199680666809698</v>
      </c>
      <c r="H829" s="3">
        <v>421.00888913917333</v>
      </c>
      <c r="I829" s="3">
        <v>3.1122685491611346E-2</v>
      </c>
      <c r="J829" s="3">
        <v>1.0072241034652679E-2</v>
      </c>
      <c r="K829" s="1">
        <v>1.7089055853638901E-2</v>
      </c>
      <c r="L829" s="1">
        <v>-317.71908455730852</v>
      </c>
      <c r="M829" s="1">
        <v>-199.66318709249606</v>
      </c>
      <c r="N829" s="1">
        <v>-517.38227164980458</v>
      </c>
      <c r="O829" s="1">
        <v>-517.38227164980458</v>
      </c>
    </row>
    <row r="830" spans="2:15">
      <c r="B830">
        <v>822</v>
      </c>
      <c r="D830">
        <v>930.25522313321414</v>
      </c>
      <c r="E830">
        <v>1424.1392918747952</v>
      </c>
      <c r="F830">
        <v>0.69296903692783118</v>
      </c>
      <c r="G830">
        <v>0.72191307508346092</v>
      </c>
      <c r="H830" s="3">
        <v>403.88307444775086</v>
      </c>
      <c r="I830" s="3">
        <v>2.0723053903003458E-2</v>
      </c>
      <c r="J830" s="3">
        <v>5.2890018061591687E-4</v>
      </c>
      <c r="K830" s="1">
        <v>7.2602847547450985E-3</v>
      </c>
      <c r="L830" s="1">
        <v>-145.51637980973678</v>
      </c>
      <c r="M830" s="1">
        <v>-303.68503446367879</v>
      </c>
      <c r="N830" s="1">
        <v>-449.20141427341559</v>
      </c>
      <c r="O830" s="1">
        <v>-449.20141427341559</v>
      </c>
    </row>
    <row r="831" spans="2:15">
      <c r="B831">
        <v>823</v>
      </c>
      <c r="D831">
        <v>965.83001950227424</v>
      </c>
      <c r="E831">
        <v>1432.4433147715915</v>
      </c>
      <c r="F831">
        <v>0.69137414741154091</v>
      </c>
      <c r="G831">
        <v>0.73015487329653483</v>
      </c>
      <c r="H831" s="3">
        <v>380.87808576816622</v>
      </c>
      <c r="I831" s="3">
        <v>2.7612352863003904E-2</v>
      </c>
      <c r="J831" s="3">
        <v>8.5684485745955927E-3</v>
      </c>
      <c r="K831" s="1">
        <v>1.4916416670731698E-2</v>
      </c>
      <c r="L831" s="1">
        <v>-385.07453696218909</v>
      </c>
      <c r="M831" s="1">
        <v>-300.61949613775033</v>
      </c>
      <c r="N831" s="1">
        <v>-685.69403309993936</v>
      </c>
      <c r="O831" s="1">
        <v>-685.69403309993936</v>
      </c>
    </row>
    <row r="832" spans="2:15">
      <c r="B832">
        <v>824</v>
      </c>
      <c r="D832">
        <v>717.65747316406919</v>
      </c>
      <c r="E832">
        <v>1219.07265290694</v>
      </c>
      <c r="F832">
        <v>0.70092482432695713</v>
      </c>
      <c r="G832">
        <v>0.72828434426499444</v>
      </c>
      <c r="H832" s="3">
        <v>412.43361823629664</v>
      </c>
      <c r="I832" s="3">
        <v>1.9933343402987774E-2</v>
      </c>
      <c r="J832" s="3">
        <v>-6.8833750882705755E-4</v>
      </c>
      <c r="K832" s="1">
        <v>6.1855561284445536E-3</v>
      </c>
      <c r="L832" s="1">
        <v>-277.05472551265342</v>
      </c>
      <c r="M832" s="1">
        <v>-435.52952762427316</v>
      </c>
      <c r="N832" s="1">
        <v>-712.58425313692658</v>
      </c>
      <c r="O832" s="1">
        <v>-712.58425313692658</v>
      </c>
    </row>
    <row r="833" spans="2:15">
      <c r="B833">
        <v>825</v>
      </c>
      <c r="D833">
        <v>964.85256134844121</v>
      </c>
      <c r="E833">
        <v>1433.9037158532979</v>
      </c>
      <c r="F833">
        <v>0.6939426668054014</v>
      </c>
      <c r="G833">
        <v>0.72708425029553048</v>
      </c>
      <c r="H833" s="3">
        <v>375.06839066666464</v>
      </c>
      <c r="I833" s="3">
        <v>2.162492994639589E-2</v>
      </c>
      <c r="J833" s="3">
        <v>2.8715104130626577E-3</v>
      </c>
      <c r="K833" s="1">
        <v>9.122650257507069E-3</v>
      </c>
      <c r="L833" s="1">
        <v>-267.46990808826774</v>
      </c>
      <c r="M833" s="1">
        <v>-376.45792151998995</v>
      </c>
      <c r="N833" s="1">
        <v>-643.92782960825775</v>
      </c>
      <c r="O833" s="1">
        <v>-643.92782960825775</v>
      </c>
    </row>
    <row r="834" spans="2:15">
      <c r="B834">
        <v>826</v>
      </c>
      <c r="D834">
        <v>766.14549457182306</v>
      </c>
      <c r="E834">
        <v>1265.5035061702968</v>
      </c>
      <c r="F834">
        <v>0.70125625590858287</v>
      </c>
      <c r="G834">
        <v>0.73003788540751835</v>
      </c>
      <c r="H834" s="3">
        <v>398.3296651499345</v>
      </c>
      <c r="I834" s="3">
        <v>1.924891129619E-2</v>
      </c>
      <c r="J834" s="3">
        <v>-6.6757196130672047E-4</v>
      </c>
      <c r="K834" s="1">
        <v>5.9712557911921847E-3</v>
      </c>
      <c r="L834" s="1">
        <v>-163.95541570504207</v>
      </c>
      <c r="M834" s="1">
        <v>-403.46265326333105</v>
      </c>
      <c r="N834" s="1">
        <v>-567.41806896837318</v>
      </c>
      <c r="O834" s="1">
        <v>-567.41806896837306</v>
      </c>
    </row>
    <row r="835" spans="2:15">
      <c r="B835">
        <v>827</v>
      </c>
      <c r="D835">
        <v>1013.1476733641354</v>
      </c>
      <c r="E835">
        <v>1505.2650325804154</v>
      </c>
      <c r="F835">
        <v>0.69686688236888195</v>
      </c>
      <c r="G835">
        <v>0.72353347449277239</v>
      </c>
      <c r="H835" s="3">
        <v>410.31234454504039</v>
      </c>
      <c r="I835" s="3">
        <v>1.9994714536745374E-2</v>
      </c>
      <c r="J835" s="3">
        <v>-5.2090269050664856E-4</v>
      </c>
      <c r="K835" s="1">
        <v>6.3176363852440257E-3</v>
      </c>
      <c r="L835" s="1">
        <v>-378.56647645675116</v>
      </c>
      <c r="M835" s="1">
        <v>-401.53823688743455</v>
      </c>
      <c r="N835" s="1">
        <v>-780.10471334418571</v>
      </c>
      <c r="O835" s="1">
        <v>-780.10471334418571</v>
      </c>
    </row>
    <row r="836" spans="2:15">
      <c r="B836">
        <v>828</v>
      </c>
      <c r="D836">
        <v>783.527479475821</v>
      </c>
      <c r="E836">
        <v>1292.2350065646528</v>
      </c>
      <c r="F836">
        <v>0.69022529953759415</v>
      </c>
      <c r="G836">
        <v>0.72957164007206343</v>
      </c>
      <c r="H836" s="3">
        <v>423.79159106093289</v>
      </c>
      <c r="I836" s="3">
        <v>2.9273011783559375E-2</v>
      </c>
      <c r="J836" s="3">
        <v>8.0834322305127319E-3</v>
      </c>
      <c r="K836" s="1">
        <v>1.5146625414861612E-2</v>
      </c>
      <c r="L836" s="1">
        <v>-171.37435821480614</v>
      </c>
      <c r="M836" s="1">
        <v>-324.87160865887182</v>
      </c>
      <c r="N836" s="1">
        <v>-496.24596687367796</v>
      </c>
      <c r="O836" s="1">
        <v>-496.24596687367796</v>
      </c>
    </row>
    <row r="837" spans="2:15">
      <c r="B837">
        <v>829</v>
      </c>
      <c r="D837">
        <v>999.90524271097138</v>
      </c>
      <c r="E837">
        <v>1501.771071879856</v>
      </c>
      <c r="F837">
        <v>0.70048616476433534</v>
      </c>
      <c r="G837">
        <v>0.72283340859034706</v>
      </c>
      <c r="H837" s="3">
        <v>399.96132947163318</v>
      </c>
      <c r="I837" s="3">
        <v>1.5353779864950063E-2</v>
      </c>
      <c r="J837" s="3">
        <v>-4.6442866086315922E-3</v>
      </c>
      <c r="K837" s="1">
        <v>2.0217355492289594E-3</v>
      </c>
      <c r="L837" s="1">
        <v>-337.14443255000759</v>
      </c>
      <c r="M837" s="1">
        <v>-276.05353292653655</v>
      </c>
      <c r="N837" s="1">
        <v>-613.19796547654414</v>
      </c>
      <c r="O837" s="1">
        <v>-613.19796547654414</v>
      </c>
    </row>
    <row r="838" spans="2:15">
      <c r="B838">
        <v>830</v>
      </c>
      <c r="D838">
        <v>731.65667851889668</v>
      </c>
      <c r="E838">
        <v>1220.0266215114495</v>
      </c>
      <c r="F838">
        <v>0.70292157902611518</v>
      </c>
      <c r="G838">
        <v>0.73194820902928925</v>
      </c>
      <c r="H838" s="3">
        <v>400.3069256174058</v>
      </c>
      <c r="I838" s="3">
        <v>2.1195290702804827E-2</v>
      </c>
      <c r="J838" s="3">
        <v>1.1799444219345381E-3</v>
      </c>
      <c r="K838" s="1">
        <v>7.8517265155579677E-3</v>
      </c>
      <c r="L838" s="1">
        <v>-98.288469060266294</v>
      </c>
      <c r="M838" s="1">
        <v>-330.89365097834059</v>
      </c>
      <c r="N838" s="1">
        <v>-429.18212003860685</v>
      </c>
      <c r="O838" s="1">
        <v>-429.18212003860685</v>
      </c>
    </row>
    <row r="839" spans="2:15">
      <c r="B839">
        <v>831</v>
      </c>
      <c r="D839">
        <v>835.839179949514</v>
      </c>
      <c r="E839">
        <v>1326.0413478621567</v>
      </c>
      <c r="F839">
        <v>0.69359189763494933</v>
      </c>
      <c r="G839">
        <v>0.72705774514066346</v>
      </c>
      <c r="H839" s="3">
        <v>395.93959006318852</v>
      </c>
      <c r="I839" s="3">
        <v>2.302220005299755E-2</v>
      </c>
      <c r="J839" s="3">
        <v>3.2252205498381238E-3</v>
      </c>
      <c r="K839" s="1">
        <v>9.8242137175579333E-3</v>
      </c>
      <c r="L839" s="1">
        <v>-283.55927128328278</v>
      </c>
      <c r="M839" s="1">
        <v>-430.9775729329458</v>
      </c>
      <c r="N839" s="1">
        <v>-714.53684421622859</v>
      </c>
      <c r="O839" s="1">
        <v>-714.53684421622859</v>
      </c>
    </row>
    <row r="840" spans="2:15">
      <c r="B840">
        <v>832</v>
      </c>
      <c r="D840">
        <v>611.96830754244638</v>
      </c>
      <c r="E840">
        <v>1112.6854236177392</v>
      </c>
      <c r="F840">
        <v>0.70031310681678516</v>
      </c>
      <c r="G840">
        <v>0.73485709217895279</v>
      </c>
      <c r="H840" s="3">
        <v>428.0311975968832</v>
      </c>
      <c r="I840" s="3">
        <v>2.624385177766865E-2</v>
      </c>
      <c r="J840" s="3">
        <v>4.8422918978244904E-3</v>
      </c>
      <c r="K840" s="1">
        <v>1.1976145191105876E-2</v>
      </c>
      <c r="L840" s="1">
        <v>-315.95280482998265</v>
      </c>
      <c r="M840" s="1">
        <v>-346.981187088257</v>
      </c>
      <c r="N840" s="1">
        <v>-662.9339919182396</v>
      </c>
      <c r="O840" s="1">
        <v>-662.9339919182396</v>
      </c>
    </row>
    <row r="841" spans="2:15">
      <c r="B841">
        <v>833</v>
      </c>
      <c r="D841">
        <v>588.12627424405184</v>
      </c>
      <c r="E841">
        <v>1085.1212364870307</v>
      </c>
      <c r="F841">
        <v>0.68842736497438217</v>
      </c>
      <c r="G841">
        <v>0.73291566112659357</v>
      </c>
      <c r="H841" s="3">
        <v>402.19562592284984</v>
      </c>
      <c r="I841" s="3">
        <v>3.0636623729353718E-2</v>
      </c>
      <c r="J841" s="3">
        <v>1.0526842433211229E-2</v>
      </c>
      <c r="K841" s="1">
        <v>1.7230102865258723E-2</v>
      </c>
      <c r="L841" s="1">
        <v>-363.35655807284189</v>
      </c>
      <c r="M841" s="1">
        <v>-297.92872831110492</v>
      </c>
      <c r="N841" s="1">
        <v>-661.28528638394675</v>
      </c>
      <c r="O841" s="1">
        <v>-661.28528638394687</v>
      </c>
    </row>
    <row r="842" spans="2:15">
      <c r="B842">
        <v>834</v>
      </c>
      <c r="D842">
        <v>885.34831221838112</v>
      </c>
      <c r="E842">
        <v>1382.6283663651668</v>
      </c>
      <c r="F842">
        <v>0.70825948089011037</v>
      </c>
      <c r="G842">
        <v>0.72591318718015885</v>
      </c>
      <c r="H842" s="3">
        <v>394.98845708555353</v>
      </c>
      <c r="I842" s="3">
        <v>1.2234657119106917E-2</v>
      </c>
      <c r="J842" s="3">
        <v>-7.514765735170759E-3</v>
      </c>
      <c r="K842" s="1">
        <v>-9.316247837448683E-4</v>
      </c>
      <c r="L842" s="1">
        <v>-231.75458679366847</v>
      </c>
      <c r="M842" s="1">
        <v>-453.55343586239889</v>
      </c>
      <c r="N842" s="1">
        <v>-685.30802265606746</v>
      </c>
      <c r="O842" s="1">
        <v>-685.30802265606735</v>
      </c>
    </row>
    <row r="843" spans="2:15">
      <c r="B843">
        <v>835</v>
      </c>
      <c r="D843">
        <v>623.12184997026884</v>
      </c>
      <c r="E843">
        <v>1078.1064605793806</v>
      </c>
      <c r="F843">
        <v>0.68537096278579945</v>
      </c>
      <c r="G843">
        <v>0.7289619556376884</v>
      </c>
      <c r="H843" s="3">
        <v>383.14206040467406</v>
      </c>
      <c r="I843" s="3">
        <v>3.2537273197422195E-2</v>
      </c>
      <c r="J843" s="3">
        <v>1.3380170177188493E-2</v>
      </c>
      <c r="K843" s="1">
        <v>1.9765871183933061E-2</v>
      </c>
      <c r="L843" s="1">
        <v>-305.94431060582798</v>
      </c>
      <c r="M843" s="1">
        <v>-300.2930848958033</v>
      </c>
      <c r="N843" s="1">
        <v>-606.23739550163134</v>
      </c>
      <c r="O843" s="1">
        <v>-606.23739550163123</v>
      </c>
    </row>
    <row r="844" spans="2:15">
      <c r="B844">
        <v>836</v>
      </c>
      <c r="D844">
        <v>733.49256684023283</v>
      </c>
      <c r="E844">
        <v>1231.8323325390131</v>
      </c>
      <c r="F844">
        <v>0.69464944222458158</v>
      </c>
      <c r="G844">
        <v>0.7250904987095973</v>
      </c>
      <c r="H844" s="3">
        <v>389.94390683125897</v>
      </c>
      <c r="I844" s="3">
        <v>2.0368526292342148E-2</v>
      </c>
      <c r="J844" s="3">
        <v>8.7133095077919845E-4</v>
      </c>
      <c r="K844" s="1">
        <v>7.3703960646335168E-3</v>
      </c>
      <c r="L844" s="1">
        <v>-67.207990176970327</v>
      </c>
      <c r="M844" s="1">
        <v>-413.7103183139551</v>
      </c>
      <c r="N844" s="1">
        <v>-480.91830849092537</v>
      </c>
      <c r="O844" s="1">
        <v>-480.91830849092543</v>
      </c>
    </row>
    <row r="845" spans="2:15">
      <c r="B845">
        <v>837</v>
      </c>
      <c r="D845">
        <v>1025.7146933497386</v>
      </c>
      <c r="E845">
        <v>1534.1666175518524</v>
      </c>
      <c r="F845">
        <v>0.68593964240198957</v>
      </c>
      <c r="G845">
        <v>0.72084186523839699</v>
      </c>
      <c r="H845" s="3">
        <v>412.87622648273822</v>
      </c>
      <c r="I845" s="3">
        <v>2.4068779491362016E-2</v>
      </c>
      <c r="J845" s="3">
        <v>3.4249681672251057E-3</v>
      </c>
      <c r="K845" s="1">
        <v>1.0306238608604077E-2</v>
      </c>
      <c r="L845" s="1">
        <v>-198.7600658418169</v>
      </c>
      <c r="M845" s="1">
        <v>-397.45356736380182</v>
      </c>
      <c r="N845" s="1">
        <v>-596.21363320561886</v>
      </c>
      <c r="O845" s="1">
        <v>-596.21363320561875</v>
      </c>
    </row>
    <row r="846" spans="2:15">
      <c r="B846">
        <v>838</v>
      </c>
      <c r="D846">
        <v>870.58206145718259</v>
      </c>
      <c r="E846">
        <v>1361.122384504906</v>
      </c>
      <c r="F846">
        <v>0.69283750962339052</v>
      </c>
      <c r="G846">
        <v>0.7241817439914271</v>
      </c>
      <c r="H846" s="3">
        <v>401.86369228063239</v>
      </c>
      <c r="I846" s="3">
        <v>2.2227231002041763E-2</v>
      </c>
      <c r="J846" s="3">
        <v>2.1340463880101419E-3</v>
      </c>
      <c r="K846" s="1">
        <v>8.8317745926873477E-3</v>
      </c>
      <c r="L846" s="1">
        <v>-432.70685423782641</v>
      </c>
      <c r="M846" s="1">
        <v>-342.48796478479693</v>
      </c>
      <c r="N846" s="1">
        <v>-775.19481902262328</v>
      </c>
      <c r="O846" s="1">
        <v>-775.19481902262328</v>
      </c>
    </row>
    <row r="847" spans="2:15">
      <c r="B847">
        <v>839</v>
      </c>
      <c r="D847">
        <v>1182.4315726519126</v>
      </c>
      <c r="E847">
        <v>1631.0408238574439</v>
      </c>
      <c r="F847">
        <v>0.68530920857968836</v>
      </c>
      <c r="G847">
        <v>0.72118604755867366</v>
      </c>
      <c r="H847" s="3">
        <v>363.57098755769488</v>
      </c>
      <c r="I847" s="3">
        <v>2.4223359548386371E-2</v>
      </c>
      <c r="J847" s="3">
        <v>6.0448101705016313E-3</v>
      </c>
      <c r="K847" s="1">
        <v>1.2104326629796543E-2</v>
      </c>
      <c r="L847" s="1">
        <v>-78.17579225811194</v>
      </c>
      <c r="M847" s="1">
        <v>-270.06392722567631</v>
      </c>
      <c r="N847" s="1">
        <v>-348.23971948378824</v>
      </c>
      <c r="O847" s="1">
        <v>-348.23971948378824</v>
      </c>
    </row>
    <row r="848" spans="2:15">
      <c r="B848">
        <v>840</v>
      </c>
      <c r="D848">
        <v>865.74092750436284</v>
      </c>
      <c r="E848">
        <v>1382.7894140411668</v>
      </c>
      <c r="F848">
        <v>0.68940022300463832</v>
      </c>
      <c r="G848">
        <v>0.71738140438172482</v>
      </c>
      <c r="H848" s="3">
        <v>418.28054752916808</v>
      </c>
      <c r="I848" s="3">
        <v>1.9645815846551395E-2</v>
      </c>
      <c r="J848" s="3">
        <v>-1.2682115299070054E-3</v>
      </c>
      <c r="K848" s="1">
        <v>5.7031309289124615E-3</v>
      </c>
      <c r="L848" s="1">
        <v>-43.673363651850799</v>
      </c>
      <c r="M848" s="1">
        <v>-376.13968965706096</v>
      </c>
      <c r="N848" s="1">
        <v>-419.81305330891178</v>
      </c>
      <c r="O848" s="1">
        <v>-419.81305330891178</v>
      </c>
    </row>
    <row r="849" spans="2:15">
      <c r="B849">
        <v>841</v>
      </c>
      <c r="D849">
        <v>919.13926880734039</v>
      </c>
      <c r="E849">
        <v>1417.5090064509948</v>
      </c>
      <c r="F849">
        <v>0.70087585107450301</v>
      </c>
      <c r="G849">
        <v>0.7331810648723025</v>
      </c>
      <c r="H849" s="3">
        <v>401.65782524978187</v>
      </c>
      <c r="I849" s="3">
        <v>2.2121726759537871E-2</v>
      </c>
      <c r="J849" s="3">
        <v>2.0388354970487764E-3</v>
      </c>
      <c r="K849" s="1">
        <v>8.7331325845451425E-3</v>
      </c>
      <c r="L849" s="1">
        <v>-212.7402239976488</v>
      </c>
      <c r="M849" s="1">
        <v>-427.30834264657733</v>
      </c>
      <c r="N849" s="1">
        <v>-640.04856664422618</v>
      </c>
      <c r="O849" s="1">
        <v>-640.04856664422618</v>
      </c>
    </row>
    <row r="850" spans="2:15">
      <c r="B850">
        <v>842</v>
      </c>
      <c r="D850">
        <v>962.08720479323529</v>
      </c>
      <c r="E850">
        <v>1442.7954223917682</v>
      </c>
      <c r="F850">
        <v>0.68502754946694311</v>
      </c>
      <c r="G850">
        <v>0.72899112224225493</v>
      </c>
      <c r="H850" s="3">
        <v>394.12560593455481</v>
      </c>
      <c r="I850" s="3">
        <v>3.1891901922462287E-2</v>
      </c>
      <c r="J850" s="3">
        <v>1.2185621625734545E-2</v>
      </c>
      <c r="K850" s="1">
        <v>1.875438172464379E-2</v>
      </c>
      <c r="L850" s="1">
        <v>-176.81845321335118</v>
      </c>
      <c r="M850" s="1">
        <v>-154.64996626058462</v>
      </c>
      <c r="N850" s="1">
        <v>-331.46841947393585</v>
      </c>
      <c r="O850" s="1">
        <v>-331.4684194739358</v>
      </c>
    </row>
    <row r="851" spans="2:15">
      <c r="B851">
        <v>843</v>
      </c>
      <c r="D851">
        <v>927.27909514734677</v>
      </c>
      <c r="E851">
        <v>1396.5148609341097</v>
      </c>
      <c r="F851">
        <v>0.69193386874234175</v>
      </c>
      <c r="G851">
        <v>0.7321001459475297</v>
      </c>
      <c r="H851" s="3">
        <v>382.25235269535409</v>
      </c>
      <c r="I851" s="3">
        <v>2.8170717710413004E-2</v>
      </c>
      <c r="J851" s="3">
        <v>9.0581000756452985E-3</v>
      </c>
      <c r="K851" s="1">
        <v>1.5428972620567867E-2</v>
      </c>
      <c r="L851" s="1">
        <v>-288.72717202045465</v>
      </c>
      <c r="M851" s="1">
        <v>-444.95482237582496</v>
      </c>
      <c r="N851" s="1">
        <v>-733.68199439627961</v>
      </c>
      <c r="O851" s="1">
        <v>-733.68199439627961</v>
      </c>
    </row>
    <row r="852" spans="2:15">
      <c r="B852">
        <v>844</v>
      </c>
      <c r="D852">
        <v>864.62931763053086</v>
      </c>
      <c r="E852">
        <v>1358.5052673115135</v>
      </c>
      <c r="F852">
        <v>0.69053272147935685</v>
      </c>
      <c r="G852">
        <v>0.72380094336370171</v>
      </c>
      <c r="H852" s="3">
        <v>391.67789120843486</v>
      </c>
      <c r="I852" s="3">
        <v>2.3102979463650471E-2</v>
      </c>
      <c r="J852" s="3">
        <v>3.5190849032287301E-3</v>
      </c>
      <c r="K852" s="1">
        <v>1.0047049756702642E-2</v>
      </c>
      <c r="L852" s="1">
        <v>-176.75989067492651</v>
      </c>
      <c r="M852" s="1">
        <v>-303.80032272331687</v>
      </c>
      <c r="N852" s="1">
        <v>-480.56021339824338</v>
      </c>
      <c r="O852" s="1">
        <v>-480.56021339824338</v>
      </c>
    </row>
    <row r="853" spans="2:15">
      <c r="B853">
        <v>845</v>
      </c>
      <c r="D853">
        <v>976.61173732064753</v>
      </c>
      <c r="E853">
        <v>1456.0241831109465</v>
      </c>
      <c r="F853">
        <v>0.68547115545159865</v>
      </c>
      <c r="G853">
        <v>0.72295088802053986</v>
      </c>
      <c r="H853" s="3">
        <v>385.08906232766554</v>
      </c>
      <c r="I853" s="3">
        <v>2.6103084378273064E-2</v>
      </c>
      <c r="J853" s="3">
        <v>6.8486312618897885E-3</v>
      </c>
      <c r="K853" s="1">
        <v>1.3266782300684213E-2</v>
      </c>
      <c r="L853" s="1">
        <v>-235.29627781790782</v>
      </c>
      <c r="M853" s="1">
        <v>-421.43004231854115</v>
      </c>
      <c r="N853" s="1">
        <v>-656.72632013644909</v>
      </c>
      <c r="O853" s="1">
        <v>-656.72632013644898</v>
      </c>
    </row>
    <row r="854" spans="2:15">
      <c r="B854">
        <v>846</v>
      </c>
      <c r="D854">
        <v>854.05267091800295</v>
      </c>
      <c r="E854">
        <v>1323.4973630435265</v>
      </c>
      <c r="F854">
        <v>0.68912639529204633</v>
      </c>
      <c r="G854">
        <v>0.73218557810427143</v>
      </c>
      <c r="H854" s="3">
        <v>396.05223780340265</v>
      </c>
      <c r="I854" s="3">
        <v>3.2342219483478159E-2</v>
      </c>
      <c r="J854" s="3">
        <v>1.2539607593308029E-2</v>
      </c>
      <c r="K854" s="1">
        <v>1.9140478223364739E-2</v>
      </c>
      <c r="L854" s="1">
        <v>-281.57765327366133</v>
      </c>
      <c r="M854" s="1">
        <v>-409.27442627502012</v>
      </c>
      <c r="N854" s="1">
        <v>-690.85207954868144</v>
      </c>
      <c r="O854" s="1">
        <v>-690.85207954868144</v>
      </c>
    </row>
    <row r="855" spans="2:15">
      <c r="B855">
        <v>847</v>
      </c>
      <c r="D855">
        <v>574.61371991836177</v>
      </c>
      <c r="E855">
        <v>1075.3656883089166</v>
      </c>
      <c r="F855">
        <v>0.68841910192029199</v>
      </c>
      <c r="G855">
        <v>0.71711649103989838</v>
      </c>
      <c r="H855" s="3">
        <v>421.43182434008736</v>
      </c>
      <c r="I855" s="3">
        <v>2.1446916606417316E-2</v>
      </c>
      <c r="J855" s="3">
        <v>3.7532538941294907E-4</v>
      </c>
      <c r="K855" s="1">
        <v>7.3991891284144028E-3</v>
      </c>
      <c r="L855" s="1">
        <v>-389.41219628276798</v>
      </c>
      <c r="M855" s="1">
        <v>-354.06064796694483</v>
      </c>
      <c r="N855" s="1">
        <v>-743.47284424971269</v>
      </c>
      <c r="O855" s="1">
        <v>-743.47284424971281</v>
      </c>
    </row>
    <row r="856" spans="2:15">
      <c r="B856">
        <v>848</v>
      </c>
      <c r="D856">
        <v>785.76753825361584</v>
      </c>
      <c r="E856">
        <v>1276.8266540477837</v>
      </c>
      <c r="F856">
        <v>0.69294901440175705</v>
      </c>
      <c r="G856">
        <v>0.72533820492867518</v>
      </c>
      <c r="H856" s="3">
        <v>406.41224476883508</v>
      </c>
      <c r="I856" s="3">
        <v>2.3420779253010351E-2</v>
      </c>
      <c r="J856" s="3">
        <v>3.1001670145685938E-3</v>
      </c>
      <c r="K856" s="1">
        <v>9.8737044273825136E-3</v>
      </c>
      <c r="L856" s="1">
        <v>-474.14953729437741</v>
      </c>
      <c r="M856" s="1">
        <v>-275.79589705228727</v>
      </c>
      <c r="N856" s="1">
        <v>-749.94543434666457</v>
      </c>
      <c r="O856" s="1">
        <v>-749.94543434666468</v>
      </c>
    </row>
    <row r="857" spans="2:15">
      <c r="B857">
        <v>849</v>
      </c>
      <c r="D857">
        <v>910.56721405406927</v>
      </c>
      <c r="E857">
        <v>1408.3435915187067</v>
      </c>
      <c r="F857">
        <v>0.68843059665126605</v>
      </c>
      <c r="G857">
        <v>0.71848532669692922</v>
      </c>
      <c r="H857" s="3">
        <v>397.35961651154145</v>
      </c>
      <c r="I857" s="3">
        <v>2.0945004163225887E-2</v>
      </c>
      <c r="J857" s="3">
        <v>1.0770233376488185E-3</v>
      </c>
      <c r="K857" s="1">
        <v>7.6996836128411742E-3</v>
      </c>
      <c r="L857" s="1">
        <v>-305.58659250858864</v>
      </c>
      <c r="M857" s="1">
        <v>-327.81625890258073</v>
      </c>
      <c r="N857" s="1">
        <v>-633.40285141116942</v>
      </c>
      <c r="O857" s="1">
        <v>-633.40285141116942</v>
      </c>
    </row>
    <row r="858" spans="2:15">
      <c r="B858">
        <v>850</v>
      </c>
      <c r="D858">
        <v>1098.8031946220967</v>
      </c>
      <c r="E858">
        <v>1591.655864050555</v>
      </c>
      <c r="F858">
        <v>0.69350785329427778</v>
      </c>
      <c r="G858">
        <v>0.72206770567616396</v>
      </c>
      <c r="H858" s="3">
        <v>392.62093196529577</v>
      </c>
      <c r="I858" s="3">
        <v>2.0156456974776811E-2</v>
      </c>
      <c r="J858" s="3">
        <v>5.2541037651202341E-4</v>
      </c>
      <c r="K858" s="1">
        <v>7.0690925759336193E-3</v>
      </c>
      <c r="L858" s="1">
        <v>-140.52385140632134</v>
      </c>
      <c r="M858" s="1">
        <v>-217.65112482677679</v>
      </c>
      <c r="N858" s="1">
        <v>-358.17497623309805</v>
      </c>
      <c r="O858" s="1">
        <v>-358.17497623309816</v>
      </c>
    </row>
    <row r="859" spans="2:15">
      <c r="B859">
        <v>851</v>
      </c>
      <c r="D859">
        <v>655.02129320262202</v>
      </c>
      <c r="E859">
        <v>1136.3459653128687</v>
      </c>
      <c r="F859">
        <v>0.69025517151482396</v>
      </c>
      <c r="G859">
        <v>0.71852704430544756</v>
      </c>
      <c r="H859" s="3">
        <v>403.14830353941903</v>
      </c>
      <c r="I859" s="3">
        <v>2.1136903875845353E-2</v>
      </c>
      <c r="J859" s="3">
        <v>9.794886988743999E-4</v>
      </c>
      <c r="K859" s="1">
        <v>7.6986270911980521E-3</v>
      </c>
      <c r="L859" s="1">
        <v>-351.49629052490911</v>
      </c>
      <c r="M859" s="1">
        <v>-529.31240202973129</v>
      </c>
      <c r="N859" s="1">
        <v>-880.80869255464017</v>
      </c>
      <c r="O859" s="1">
        <v>-880.8086925546404</v>
      </c>
    </row>
    <row r="860" spans="2:15">
      <c r="B860">
        <v>852</v>
      </c>
      <c r="D860">
        <v>848.72609038998291</v>
      </c>
      <c r="E860">
        <v>1335.0546171553967</v>
      </c>
      <c r="F860">
        <v>0.68334847648609198</v>
      </c>
      <c r="G860">
        <v>0.72221984609966328</v>
      </c>
      <c r="H860" s="3">
        <v>403.9571572456552</v>
      </c>
      <c r="I860" s="3">
        <v>2.8492850477019816E-2</v>
      </c>
      <c r="J860" s="3">
        <v>8.2949926147370574E-3</v>
      </c>
      <c r="K860" s="1">
        <v>1.5027611902164643E-2</v>
      </c>
      <c r="L860" s="1">
        <v>-185.64336569751976</v>
      </c>
      <c r="M860" s="1">
        <v>-328.35499188435449</v>
      </c>
      <c r="N860" s="1">
        <v>-513.9983575818743</v>
      </c>
      <c r="O860" s="1">
        <v>-513.99835758187419</v>
      </c>
    </row>
    <row r="861" spans="2:15">
      <c r="B861">
        <v>853</v>
      </c>
      <c r="D861">
        <v>1031.0450707057794</v>
      </c>
      <c r="E861">
        <v>1519.7240235592176</v>
      </c>
      <c r="F861">
        <v>0.69488344650905243</v>
      </c>
      <c r="G861">
        <v>0.72491458045316215</v>
      </c>
      <c r="H861" s="3">
        <v>418.61909502295089</v>
      </c>
      <c r="I861" s="3">
        <v>2.3407206319603056E-2</v>
      </c>
      <c r="J861" s="3">
        <v>2.4762515684555106E-3</v>
      </c>
      <c r="K861" s="1">
        <v>9.4532364855046923E-3</v>
      </c>
      <c r="L861" s="1">
        <v>-305.15941147042668</v>
      </c>
      <c r="M861" s="1">
        <v>-374.58431048458408</v>
      </c>
      <c r="N861" s="1">
        <v>-679.74372195501076</v>
      </c>
      <c r="O861" s="1">
        <v>-679.74372195501076</v>
      </c>
    </row>
    <row r="862" spans="2:15">
      <c r="B862">
        <v>854</v>
      </c>
      <c r="D862">
        <v>986.69453079950722</v>
      </c>
      <c r="E862">
        <v>1498.308559339509</v>
      </c>
      <c r="F862">
        <v>0.69480372622869335</v>
      </c>
      <c r="G862">
        <v>0.72882632478670006</v>
      </c>
      <c r="H862" s="3">
        <v>417.35937289062156</v>
      </c>
      <c r="I862" s="3">
        <v>2.5049640225996542E-2</v>
      </c>
      <c r="J862" s="3">
        <v>4.181671581465464E-3</v>
      </c>
      <c r="K862" s="1">
        <v>1.1137661129642491E-2</v>
      </c>
      <c r="L862" s="1">
        <v>-84.275219100770826</v>
      </c>
      <c r="M862" s="1">
        <v>-436.05087994206161</v>
      </c>
      <c r="N862" s="1">
        <v>-520.32609904283254</v>
      </c>
      <c r="O862" s="1">
        <v>-520.32609904283242</v>
      </c>
    </row>
    <row r="863" spans="2:15">
      <c r="B863">
        <v>855</v>
      </c>
      <c r="D863">
        <v>952.35820891891262</v>
      </c>
      <c r="E863">
        <v>1433.7168408282266</v>
      </c>
      <c r="F863">
        <v>0.67363434484599793</v>
      </c>
      <c r="G863">
        <v>0.70884273015718058</v>
      </c>
      <c r="H863" s="3">
        <v>409.10682408817053</v>
      </c>
      <c r="I863" s="3">
        <v>2.6641389987637074E-2</v>
      </c>
      <c r="J863" s="3">
        <v>6.1860487832285475E-3</v>
      </c>
      <c r="K863" s="1">
        <v>1.3004495851364723E-2</v>
      </c>
      <c r="L863" s="1">
        <v>-263.95725346352219</v>
      </c>
      <c r="M863" s="1">
        <v>-204.72564873601107</v>
      </c>
      <c r="N863" s="1">
        <v>-468.68290219953315</v>
      </c>
      <c r="O863" s="1">
        <v>-468.68290219953326</v>
      </c>
    </row>
    <row r="864" spans="2:15">
      <c r="B864">
        <v>856</v>
      </c>
      <c r="D864">
        <v>847.44105899125486</v>
      </c>
      <c r="E864">
        <v>1354.4459575644896</v>
      </c>
      <c r="F864">
        <v>0.69570347201588334</v>
      </c>
      <c r="G864">
        <v>0.73005078499284248</v>
      </c>
      <c r="H864" s="3">
        <v>413.49473566972443</v>
      </c>
      <c r="I864" s="3">
        <v>2.5533499380194457E-2</v>
      </c>
      <c r="J864" s="3">
        <v>4.858762596708234E-3</v>
      </c>
      <c r="K864" s="1">
        <v>1.1750341524536976E-2</v>
      </c>
      <c r="L864" s="1">
        <v>-89.202586233342899</v>
      </c>
      <c r="M864" s="1">
        <v>-292.27301508895465</v>
      </c>
      <c r="N864" s="1">
        <v>-381.47560132229756</v>
      </c>
      <c r="O864" s="1">
        <v>-381.47560132229756</v>
      </c>
    </row>
    <row r="865" spans="2:15">
      <c r="B865">
        <v>857</v>
      </c>
      <c r="D865">
        <v>757.27101415675963</v>
      </c>
      <c r="E865">
        <v>1254.6074974121325</v>
      </c>
      <c r="F865">
        <v>0.69879348656289109</v>
      </c>
      <c r="G865">
        <v>0.72109249383537966</v>
      </c>
      <c r="H865" s="3">
        <v>410.1251453952097</v>
      </c>
      <c r="I865" s="3">
        <v>1.6103043353930719E-2</v>
      </c>
      <c r="J865" s="3">
        <v>-4.4032139158297692E-3</v>
      </c>
      <c r="K865" s="1">
        <v>2.4322051740903929E-3</v>
      </c>
      <c r="L865" s="1">
        <v>-356.54406498522167</v>
      </c>
      <c r="M865" s="1">
        <v>-371.42565749840742</v>
      </c>
      <c r="N865" s="1">
        <v>-727.96972248362908</v>
      </c>
      <c r="O865" s="1">
        <v>-727.96972248362908</v>
      </c>
    </row>
    <row r="866" spans="2:15">
      <c r="B866">
        <v>858</v>
      </c>
      <c r="D866">
        <v>773.17880828953196</v>
      </c>
      <c r="E866">
        <v>1257.8321515201649</v>
      </c>
      <c r="F866">
        <v>0.6909820617697271</v>
      </c>
      <c r="G866">
        <v>0.7319441536811031</v>
      </c>
      <c r="H866" s="3">
        <v>389.01917212989628</v>
      </c>
      <c r="I866" s="3">
        <v>2.9123217933926412E-2</v>
      </c>
      <c r="J866" s="3">
        <v>9.6722593274315982E-3</v>
      </c>
      <c r="K866" s="1">
        <v>1.6155912196263202E-2</v>
      </c>
      <c r="L866" s="1">
        <v>-213.44959638846933</v>
      </c>
      <c r="M866" s="1">
        <v>-363.16227232759093</v>
      </c>
      <c r="N866" s="1">
        <v>-576.61186871606037</v>
      </c>
      <c r="O866" s="1">
        <v>-576.61186871606026</v>
      </c>
    </row>
    <row r="867" spans="2:15">
      <c r="B867">
        <v>859</v>
      </c>
      <c r="D867">
        <v>921.15554736915453</v>
      </c>
      <c r="E867">
        <v>1424.693377442575</v>
      </c>
      <c r="F867">
        <v>0.7007928501565801</v>
      </c>
      <c r="G867">
        <v>0.7294708989615859</v>
      </c>
      <c r="H867" s="3">
        <v>395.60191403431634</v>
      </c>
      <c r="I867" s="3">
        <v>1.9074078348054597E-2</v>
      </c>
      <c r="J867" s="3">
        <v>-7.0601735366122159E-4</v>
      </c>
      <c r="K867" s="1">
        <v>5.8873478802440524E-3</v>
      </c>
      <c r="L867" s="1">
        <v>-347.2856780674727</v>
      </c>
      <c r="M867" s="1">
        <v>-406.00868388499777</v>
      </c>
      <c r="N867" s="1">
        <v>-753.29436195247058</v>
      </c>
      <c r="O867" s="1">
        <v>-753.29436195247047</v>
      </c>
    </row>
    <row r="868" spans="2:15">
      <c r="B868">
        <v>860</v>
      </c>
      <c r="D868">
        <v>901.52185722392983</v>
      </c>
      <c r="E868">
        <v>1383.5038995587868</v>
      </c>
      <c r="F868">
        <v>0.69119462388963049</v>
      </c>
      <c r="G868">
        <v>0.72919527331463152</v>
      </c>
      <c r="H868" s="3">
        <v>403.63536367605229</v>
      </c>
      <c r="I868" s="3">
        <v>2.7830193089259506E-2</v>
      </c>
      <c r="J868" s="3">
        <v>7.6484249054568909E-3</v>
      </c>
      <c r="K868" s="1">
        <v>1.437568096672443E-2</v>
      </c>
      <c r="L868" s="1">
        <v>-473.77617631333584</v>
      </c>
      <c r="M868" s="1">
        <v>-443.92922543069017</v>
      </c>
      <c r="N868" s="1">
        <v>-917.70540174402595</v>
      </c>
      <c r="O868" s="1">
        <v>-917.70540174402595</v>
      </c>
    </row>
    <row r="869" spans="2:15">
      <c r="B869">
        <v>861</v>
      </c>
      <c r="D869">
        <v>990.54061330978175</v>
      </c>
      <c r="E869">
        <v>1452.4208727624989</v>
      </c>
      <c r="F869">
        <v>0.69395143775519175</v>
      </c>
      <c r="G869">
        <v>0.72815883628153799</v>
      </c>
      <c r="H869" s="3">
        <v>386.8558593586539</v>
      </c>
      <c r="I869" s="3">
        <v>2.5582106535276462E-2</v>
      </c>
      <c r="J869" s="3">
        <v>6.2393135673437655E-3</v>
      </c>
      <c r="K869" s="1">
        <v>1.2686911223321331E-2</v>
      </c>
      <c r="L869" s="1">
        <v>-128.23245688521277</v>
      </c>
      <c r="M869" s="1">
        <v>-386.50986348939927</v>
      </c>
      <c r="N869" s="1">
        <v>-514.74232037461206</v>
      </c>
      <c r="O869" s="1">
        <v>-514.74232037461206</v>
      </c>
    </row>
    <row r="870" spans="2:15">
      <c r="B870">
        <v>862</v>
      </c>
      <c r="D870">
        <v>759.29582265541126</v>
      </c>
      <c r="E870">
        <v>1249.3795997874458</v>
      </c>
      <c r="F870">
        <v>0.68549855687597949</v>
      </c>
      <c r="G870">
        <v>0.72332590708016842</v>
      </c>
      <c r="H870" s="3">
        <v>418.09472601623446</v>
      </c>
      <c r="I870" s="3">
        <v>2.8489099374689193E-2</v>
      </c>
      <c r="J870" s="3">
        <v>7.5843630738774669E-3</v>
      </c>
      <c r="K870" s="1">
        <v>1.4552608507481376E-2</v>
      </c>
      <c r="L870" s="1">
        <v>-364.41442958998152</v>
      </c>
      <c r="M870" s="1">
        <v>-427.63986636809426</v>
      </c>
      <c r="N870" s="1">
        <v>-792.05429595807573</v>
      </c>
      <c r="O870" s="1">
        <v>-792.05429595807573</v>
      </c>
    </row>
    <row r="871" spans="2:15">
      <c r="B871">
        <v>863</v>
      </c>
      <c r="D871">
        <v>797.26262979440389</v>
      </c>
      <c r="E871">
        <v>1310.0137981285109</v>
      </c>
      <c r="F871">
        <v>0.67668906149171881</v>
      </c>
      <c r="G871">
        <v>0.70931721245121582</v>
      </c>
      <c r="H871" s="3">
        <v>400.6130141117215</v>
      </c>
      <c r="I871" s="3">
        <v>2.248285923208581E-2</v>
      </c>
      <c r="J871" s="3">
        <v>2.4522085264997336E-3</v>
      </c>
      <c r="K871" s="1">
        <v>9.1290920950284262E-3</v>
      </c>
      <c r="L871" s="1">
        <v>-201.53880284315136</v>
      </c>
      <c r="M871" s="1">
        <v>-325.08532678676255</v>
      </c>
      <c r="N871" s="1">
        <v>-526.62412962991391</v>
      </c>
      <c r="O871" s="1">
        <v>-526.62412962991391</v>
      </c>
    </row>
    <row r="872" spans="2:15">
      <c r="B872">
        <v>864</v>
      </c>
      <c r="D872">
        <v>672.66995825699018</v>
      </c>
      <c r="E872">
        <v>1192.2249658735032</v>
      </c>
      <c r="F872">
        <v>0.68866294558912644</v>
      </c>
      <c r="G872">
        <v>0.72573977471683038</v>
      </c>
      <c r="H872" s="3">
        <v>409.06217677542617</v>
      </c>
      <c r="I872" s="3">
        <v>2.4454161921970152E-2</v>
      </c>
      <c r="J872" s="3">
        <v>4.0010530831988411E-3</v>
      </c>
      <c r="K872" s="1">
        <v>1.0818756029455943E-2</v>
      </c>
      <c r="L872" s="1">
        <v>-233.42098589020566</v>
      </c>
      <c r="M872" s="1">
        <v>-238.02943474043707</v>
      </c>
      <c r="N872" s="1">
        <v>-471.45042063064272</v>
      </c>
      <c r="O872" s="1">
        <v>-471.45042063064272</v>
      </c>
    </row>
    <row r="873" spans="2:15">
      <c r="B873">
        <v>865</v>
      </c>
      <c r="D873">
        <v>726.33879762515221</v>
      </c>
      <c r="E873">
        <v>1214.3497468448043</v>
      </c>
      <c r="F873">
        <v>0.68929452240015454</v>
      </c>
      <c r="G873">
        <v>0.72120955985910939</v>
      </c>
      <c r="H873" s="3">
        <v>415.79252731212523</v>
      </c>
      <c r="I873" s="3">
        <v>2.466923325036895E-2</v>
      </c>
      <c r="J873" s="3">
        <v>3.8796068847626874E-3</v>
      </c>
      <c r="K873" s="1">
        <v>1.0809482339964776E-2</v>
      </c>
      <c r="L873" s="1">
        <v>-461.08950065553671</v>
      </c>
      <c r="M873" s="1">
        <v>-467.83809897316894</v>
      </c>
      <c r="N873" s="1">
        <v>-928.92759962870582</v>
      </c>
      <c r="O873" s="1">
        <v>-928.92759962870559</v>
      </c>
    </row>
    <row r="874" spans="2:15">
      <c r="B874">
        <v>866</v>
      </c>
      <c r="D874">
        <v>1045.5818397348239</v>
      </c>
      <c r="E874">
        <v>1519.3901303592468</v>
      </c>
      <c r="F874">
        <v>0.68962848826168877</v>
      </c>
      <c r="G874">
        <v>0.733852097159162</v>
      </c>
      <c r="H874" s="3">
        <v>395.12568871933837</v>
      </c>
      <c r="I874" s="3">
        <v>3.1639299810065566E-2</v>
      </c>
      <c r="J874" s="3">
        <v>1.1883015374098648E-2</v>
      </c>
      <c r="K874" s="1">
        <v>1.8468443519420952E-2</v>
      </c>
      <c r="L874" s="1">
        <v>-383.40374757210117</v>
      </c>
      <c r="M874" s="1">
        <v>-426.62072396601593</v>
      </c>
      <c r="N874" s="1">
        <v>-810.02447153811715</v>
      </c>
      <c r="O874" s="1">
        <v>-810.02447153811704</v>
      </c>
    </row>
    <row r="875" spans="2:15">
      <c r="B875">
        <v>867</v>
      </c>
      <c r="D875">
        <v>983.34795308611501</v>
      </c>
      <c r="E875">
        <v>1473.139295696076</v>
      </c>
      <c r="F875">
        <v>0.68847281404818361</v>
      </c>
      <c r="G875">
        <v>0.73100161597904079</v>
      </c>
      <c r="H875" s="3">
        <v>401.81159052417775</v>
      </c>
      <c r="I875" s="3">
        <v>3.0577856158908803E-2</v>
      </c>
      <c r="J875" s="3">
        <v>1.0487276632699917E-2</v>
      </c>
      <c r="K875" s="1">
        <v>1.7184136474769546E-2</v>
      </c>
      <c r="L875" s="1">
        <v>-419.00204940952375</v>
      </c>
      <c r="M875" s="1">
        <v>-322.50060291812406</v>
      </c>
      <c r="N875" s="1">
        <v>-741.50265232764787</v>
      </c>
      <c r="O875" s="1">
        <v>-741.50265232764787</v>
      </c>
    </row>
    <row r="876" spans="2:15">
      <c r="B876">
        <v>868</v>
      </c>
      <c r="D876">
        <v>994.33001998214172</v>
      </c>
      <c r="E876">
        <v>1489.0101386435476</v>
      </c>
      <c r="F876">
        <v>0.69262948368292232</v>
      </c>
      <c r="G876">
        <v>0.72603524318847712</v>
      </c>
      <c r="H876" s="3">
        <v>422.13840638522669</v>
      </c>
      <c r="I876" s="3">
        <v>2.5879101971100656E-2</v>
      </c>
      <c r="J876" s="3">
        <v>4.7721816518393224E-3</v>
      </c>
      <c r="K876" s="1">
        <v>1.1807821758259767E-2</v>
      </c>
      <c r="L876" s="1">
        <v>-415.28632901619039</v>
      </c>
      <c r="M876" s="1">
        <v>-337.108365320384</v>
      </c>
      <c r="N876" s="1">
        <v>-752.3946943365745</v>
      </c>
      <c r="O876" s="1">
        <v>-752.39469433657439</v>
      </c>
    </row>
    <row r="877" spans="2:15">
      <c r="B877">
        <v>869</v>
      </c>
      <c r="D877">
        <v>878.28226131743315</v>
      </c>
      <c r="E877">
        <v>1358.0056320012548</v>
      </c>
      <c r="F877">
        <v>0.68588815333212749</v>
      </c>
      <c r="G877">
        <v>0.72899141379544463</v>
      </c>
      <c r="H877" s="3">
        <v>415.78641985097096</v>
      </c>
      <c r="I877" s="3">
        <v>3.292548413440393E-2</v>
      </c>
      <c r="J877" s="3">
        <v>1.2136163141855384E-2</v>
      </c>
      <c r="K877" s="1">
        <v>1.9065936806038231E-2</v>
      </c>
      <c r="L877" s="1">
        <v>-384.03390927236086</v>
      </c>
      <c r="M877" s="1">
        <v>-350.559513352593</v>
      </c>
      <c r="N877" s="1">
        <v>-734.59342262495386</v>
      </c>
      <c r="O877" s="1">
        <v>-734.59342262495386</v>
      </c>
    </row>
    <row r="878" spans="2:15">
      <c r="B878">
        <v>870</v>
      </c>
      <c r="D878">
        <v>764.82875682417136</v>
      </c>
      <c r="E878">
        <v>1241.2900214106044</v>
      </c>
      <c r="F878">
        <v>0.69009678454504941</v>
      </c>
      <c r="G878">
        <v>0.72895852852243304</v>
      </c>
      <c r="H878" s="3">
        <v>389.18479581225091</v>
      </c>
      <c r="I878" s="3">
        <v>2.680049601554816E-2</v>
      </c>
      <c r="J878" s="3">
        <v>7.3412562249356161E-3</v>
      </c>
      <c r="K878" s="1">
        <v>1.3827669488473129E-2</v>
      </c>
      <c r="L878" s="1">
        <v>-277.10174130526627</v>
      </c>
      <c r="M878" s="1">
        <v>-404.37367577811779</v>
      </c>
      <c r="N878" s="1">
        <v>-681.47541708338395</v>
      </c>
      <c r="O878" s="1">
        <v>-681.47541708338406</v>
      </c>
    </row>
    <row r="879" spans="2:15">
      <c r="B879">
        <v>871</v>
      </c>
      <c r="D879">
        <v>964.2955493196589</v>
      </c>
      <c r="E879">
        <v>1484.4621048163983</v>
      </c>
      <c r="F879">
        <v>0.69002675730254515</v>
      </c>
      <c r="G879">
        <v>0.71990139162392364</v>
      </c>
      <c r="H879" s="3">
        <v>419.37305024666057</v>
      </c>
      <c r="I879" s="3">
        <v>2.0982810398880967E-2</v>
      </c>
      <c r="J879" s="3">
        <v>1.415788654793651E-5</v>
      </c>
      <c r="K879" s="1">
        <v>7.0037087239922802E-3</v>
      </c>
      <c r="L879" s="1">
        <v>43.10647806167281</v>
      </c>
      <c r="M879" s="1">
        <v>-513.6669055804839</v>
      </c>
      <c r="N879" s="1">
        <v>-470.56042751881108</v>
      </c>
      <c r="O879" s="1">
        <v>-470.56042751881108</v>
      </c>
    </row>
    <row r="880" spans="2:15">
      <c r="B880">
        <v>872</v>
      </c>
      <c r="D880">
        <v>962.3358961522822</v>
      </c>
      <c r="E880">
        <v>1452.028986173937</v>
      </c>
      <c r="F880">
        <v>0.70216045524188753</v>
      </c>
      <c r="G880">
        <v>0.7168836323888651</v>
      </c>
      <c r="H880" s="3">
        <v>388.92931965699876</v>
      </c>
      <c r="I880" s="3">
        <v>9.8652541109511774E-3</v>
      </c>
      <c r="J880" s="3">
        <v>-9.581211871898759E-3</v>
      </c>
      <c r="K880" s="1">
        <v>-3.0990565442821152E-3</v>
      </c>
      <c r="L880" s="1">
        <v>-137.06212297628741</v>
      </c>
      <c r="M880" s="1">
        <v>-325.68122467794501</v>
      </c>
      <c r="N880" s="1">
        <v>-462.74334765423254</v>
      </c>
      <c r="O880" s="1">
        <v>-462.74334765423242</v>
      </c>
    </row>
    <row r="881" spans="2:15">
      <c r="B881">
        <v>873</v>
      </c>
      <c r="D881">
        <v>655.66966909637779</v>
      </c>
      <c r="E881">
        <v>1131.4085558368827</v>
      </c>
      <c r="F881">
        <v>0.67393084135010473</v>
      </c>
      <c r="G881">
        <v>0.73297162969479845</v>
      </c>
      <c r="H881" s="3">
        <v>390.95347978772725</v>
      </c>
      <c r="I881" s="3">
        <v>4.2636881346704916E-2</v>
      </c>
      <c r="J881" s="3">
        <v>2.3089207357318554E-2</v>
      </c>
      <c r="K881" s="1">
        <v>2.9605098687114008E-2</v>
      </c>
      <c r="L881" s="1">
        <v>-197.30379999603409</v>
      </c>
      <c r="M881" s="1">
        <v>-339.86235671986071</v>
      </c>
      <c r="N881" s="1">
        <v>-537.16615671589489</v>
      </c>
      <c r="O881" s="1">
        <v>-537.16615671589477</v>
      </c>
    </row>
    <row r="882" spans="2:15">
      <c r="B882">
        <v>874</v>
      </c>
      <c r="D882">
        <v>787.55112064670493</v>
      </c>
      <c r="E882">
        <v>1266.638966824504</v>
      </c>
      <c r="F882">
        <v>0.68096946012719761</v>
      </c>
      <c r="G882">
        <v>0.71711683677673621</v>
      </c>
      <c r="H882" s="3">
        <v>393.71468813206729</v>
      </c>
      <c r="I882" s="3">
        <v>2.6814609146685466E-2</v>
      </c>
      <c r="J882" s="3">
        <v>7.1288747400821001E-3</v>
      </c>
      <c r="K882" s="1">
        <v>1.3690786208949889E-2</v>
      </c>
      <c r="L882" s="1">
        <v>-392.01421784061625</v>
      </c>
      <c r="M882" s="1">
        <v>-415.64062189094608</v>
      </c>
      <c r="N882" s="1">
        <v>-807.65483973156245</v>
      </c>
      <c r="O882" s="1">
        <v>-807.65483973156233</v>
      </c>
    </row>
    <row r="883" spans="2:15">
      <c r="B883">
        <v>875</v>
      </c>
      <c r="D883">
        <v>932.60872602603308</v>
      </c>
      <c r="E883">
        <v>1418.0339159975936</v>
      </c>
      <c r="F883">
        <v>0.69640240069967141</v>
      </c>
      <c r="G883">
        <v>0.72771787084682316</v>
      </c>
      <c r="H883" s="3">
        <v>400.99215041755002</v>
      </c>
      <c r="I883" s="3">
        <v>2.3107156344126797E-2</v>
      </c>
      <c r="J883" s="3">
        <v>3.0575488232492988E-3</v>
      </c>
      <c r="K883" s="1">
        <v>9.7407513302084654E-3</v>
      </c>
      <c r="L883" s="1">
        <v>-300.99928044359353</v>
      </c>
      <c r="M883" s="1">
        <v>-504.53590747675742</v>
      </c>
      <c r="N883" s="1">
        <v>-805.53518792035084</v>
      </c>
      <c r="O883" s="1">
        <v>-805.53518792035095</v>
      </c>
    </row>
    <row r="884" spans="2:15">
      <c r="B884">
        <v>876</v>
      </c>
      <c r="D884">
        <v>717.91097463474807</v>
      </c>
      <c r="E884">
        <v>1225.9973817791815</v>
      </c>
      <c r="F884">
        <v>0.69760677791303938</v>
      </c>
      <c r="G884">
        <v>0.72096474249374209</v>
      </c>
      <c r="H884" s="3">
        <v>426.8666865212432</v>
      </c>
      <c r="I884" s="3">
        <v>1.7620741309597374E-2</v>
      </c>
      <c r="J884" s="3">
        <v>-3.7225930164647841E-3</v>
      </c>
      <c r="K884" s="1">
        <v>3.3918517588892669E-3</v>
      </c>
      <c r="L884" s="1">
        <v>-287.27136278726817</v>
      </c>
      <c r="M884" s="1">
        <v>-361.793439212012</v>
      </c>
      <c r="N884" s="1">
        <v>-649.06480199928012</v>
      </c>
      <c r="O884" s="1">
        <v>-649.06480199928023</v>
      </c>
    </row>
    <row r="885" spans="2:15">
      <c r="B885">
        <v>877</v>
      </c>
      <c r="D885">
        <v>751.26239240366192</v>
      </c>
      <c r="E885">
        <v>1259.9294548652078</v>
      </c>
      <c r="F885">
        <v>0.7097146766180521</v>
      </c>
      <c r="G885">
        <v>0.73705287561884669</v>
      </c>
      <c r="H885" s="3">
        <v>404.96554609170624</v>
      </c>
      <c r="I885" s="3">
        <v>1.8792173597338178E-2</v>
      </c>
      <c r="J885" s="3">
        <v>-1.4561037072471361E-3</v>
      </c>
      <c r="K885" s="1">
        <v>5.2933220609479702E-3</v>
      </c>
      <c r="L885" s="1">
        <v>-236.4591527995434</v>
      </c>
      <c r="M885" s="1">
        <v>-274.49245315141258</v>
      </c>
      <c r="N885" s="1">
        <v>-510.95160595095598</v>
      </c>
      <c r="O885" s="1">
        <v>-510.95160595095598</v>
      </c>
    </row>
    <row r="886" spans="2:15">
      <c r="B886">
        <v>878</v>
      </c>
      <c r="D886">
        <v>668.95863398755932</v>
      </c>
      <c r="E886">
        <v>1179.6593927897327</v>
      </c>
      <c r="F886">
        <v>0.70041489650895472</v>
      </c>
      <c r="G886">
        <v>0.7275447793483204</v>
      </c>
      <c r="H886" s="3">
        <v>438.17121297793415</v>
      </c>
      <c r="I886" s="3">
        <v>2.1185315596431838E-2</v>
      </c>
      <c r="J886" s="3">
        <v>-7.2324505246487009E-4</v>
      </c>
      <c r="K886" s="1">
        <v>6.5796084971673652E-3</v>
      </c>
      <c r="L886" s="1">
        <v>-416.41041625476169</v>
      </c>
      <c r="M886" s="1">
        <v>-360.46790448478038</v>
      </c>
      <c r="N886" s="1">
        <v>-776.87832073954212</v>
      </c>
      <c r="O886" s="1">
        <v>-776.878320739542</v>
      </c>
    </row>
    <row r="887" spans="2:15">
      <c r="B887">
        <v>879</v>
      </c>
      <c r="D887">
        <v>702.18836252375888</v>
      </c>
      <c r="E887">
        <v>1198.1833091170092</v>
      </c>
      <c r="F887">
        <v>0.6933775188937481</v>
      </c>
      <c r="G887">
        <v>0.71957527946348898</v>
      </c>
      <c r="H887" s="3">
        <v>405.11661215971537</v>
      </c>
      <c r="I887" s="3">
        <v>1.8756799229945175E-2</v>
      </c>
      <c r="J887" s="3">
        <v>-1.4990313780405932E-3</v>
      </c>
      <c r="K887" s="1">
        <v>5.2529121579546634E-3</v>
      </c>
      <c r="L887" s="1">
        <v>-90.333083392167197</v>
      </c>
      <c r="M887" s="1">
        <v>-368.74466960174806</v>
      </c>
      <c r="N887" s="1">
        <v>-459.07775299391534</v>
      </c>
      <c r="O887" s="1">
        <v>-459.07775299391528</v>
      </c>
    </row>
    <row r="888" spans="2:15">
      <c r="B888">
        <v>880</v>
      </c>
      <c r="D888">
        <v>834.87246786028345</v>
      </c>
      <c r="E888">
        <v>1321.2230552150393</v>
      </c>
      <c r="F888">
        <v>0.68370778055060999</v>
      </c>
      <c r="G888">
        <v>0.71884544247488669</v>
      </c>
      <c r="H888" s="3">
        <v>404.53142467653504</v>
      </c>
      <c r="I888" s="3">
        <v>2.5669468017270051E-2</v>
      </c>
      <c r="J888" s="3">
        <v>5.442896783443299E-3</v>
      </c>
      <c r="K888" s="1">
        <v>1.2185087194718882E-2</v>
      </c>
      <c r="L888" s="1">
        <v>-358.63848498769806</v>
      </c>
      <c r="M888" s="1">
        <v>-279.577848681158</v>
      </c>
      <c r="N888" s="1">
        <v>-638.21633366885624</v>
      </c>
      <c r="O888" s="1">
        <v>-638.21633366885612</v>
      </c>
    </row>
    <row r="889" spans="2:15">
      <c r="B889">
        <v>881</v>
      </c>
      <c r="D889">
        <v>896.8560894419328</v>
      </c>
      <c r="E889">
        <v>1384.5980484076022</v>
      </c>
      <c r="F889">
        <v>0.70142010132672328</v>
      </c>
      <c r="G889">
        <v>0.72551658671439767</v>
      </c>
      <c r="H889" s="3">
        <v>385.45175532278728</v>
      </c>
      <c r="I889" s="3">
        <v>1.714839172343368E-2</v>
      </c>
      <c r="J889" s="3">
        <v>-2.1241960427056845E-3</v>
      </c>
      <c r="K889" s="1">
        <v>4.2999998793407709E-3</v>
      </c>
      <c r="L889" s="1">
        <v>-253.16868726238147</v>
      </c>
      <c r="M889" s="1">
        <v>-540.36128207936076</v>
      </c>
      <c r="N889" s="1">
        <v>-793.52996934174212</v>
      </c>
      <c r="O889" s="1">
        <v>-793.52996934174223</v>
      </c>
    </row>
    <row r="890" spans="2:15">
      <c r="B890">
        <v>882</v>
      </c>
      <c r="D890">
        <v>1116.9507525350036</v>
      </c>
      <c r="E890">
        <v>1600.0722238266123</v>
      </c>
      <c r="F890">
        <v>0.68798340265520497</v>
      </c>
      <c r="G890">
        <v>0.72024265457678671</v>
      </c>
      <c r="H890" s="3">
        <v>396.74159831236318</v>
      </c>
      <c r="I890" s="3">
        <v>2.3076692187407395E-2</v>
      </c>
      <c r="J890" s="3">
        <v>3.2396122717892328E-3</v>
      </c>
      <c r="K890" s="1">
        <v>9.851972243661954E-3</v>
      </c>
      <c r="L890" s="1">
        <v>-358.2177911148674</v>
      </c>
      <c r="M890" s="1">
        <v>-295.93738673449047</v>
      </c>
      <c r="N890" s="1">
        <v>-654.15517784935787</v>
      </c>
      <c r="O890" s="1">
        <v>-654.15517784935787</v>
      </c>
    </row>
    <row r="891" spans="2:15">
      <c r="B891">
        <v>883</v>
      </c>
      <c r="D891">
        <v>846.34811048381209</v>
      </c>
      <c r="E891">
        <v>1343.3244250382634</v>
      </c>
      <c r="F891">
        <v>0.68950545310663403</v>
      </c>
      <c r="G891">
        <v>0.72649553549047363</v>
      </c>
      <c r="H891" s="3">
        <v>402.6517655149384</v>
      </c>
      <c r="I891" s="3">
        <v>2.5922907256034515E-2</v>
      </c>
      <c r="J891" s="3">
        <v>5.7903189802875933E-3</v>
      </c>
      <c r="K891" s="1">
        <v>1.2501181738869899E-2</v>
      </c>
      <c r="L891" s="1">
        <v>-283.2512393051793</v>
      </c>
      <c r="M891" s="1">
        <v>-341.4874193494901</v>
      </c>
      <c r="N891" s="1">
        <v>-624.73865865466939</v>
      </c>
      <c r="O891" s="1">
        <v>-624.73865865466939</v>
      </c>
    </row>
    <row r="892" spans="2:15">
      <c r="B892">
        <v>884</v>
      </c>
      <c r="D892">
        <v>838.1717833199441</v>
      </c>
      <c r="E892">
        <v>1328.7054067549798</v>
      </c>
      <c r="F892">
        <v>0.69057883528343889</v>
      </c>
      <c r="G892">
        <v>0.72406312984930332</v>
      </c>
      <c r="H892" s="3">
        <v>411.56335391141306</v>
      </c>
      <c r="I892" s="3">
        <v>2.4518007819955043E-2</v>
      </c>
      <c r="J892" s="3">
        <v>3.9398401243843882E-3</v>
      </c>
      <c r="K892" s="1">
        <v>1.0799229356241275E-2</v>
      </c>
      <c r="L892" s="1">
        <v>-339.58583938988426</v>
      </c>
      <c r="M892" s="1">
        <v>-302.53780825312293</v>
      </c>
      <c r="N892" s="1">
        <v>-642.1236476430073</v>
      </c>
      <c r="O892" s="1">
        <v>-642.12364764300719</v>
      </c>
    </row>
    <row r="893" spans="2:15">
      <c r="B893">
        <v>885</v>
      </c>
      <c r="D893">
        <v>928.20247900256754</v>
      </c>
      <c r="E893">
        <v>1395.4214332965894</v>
      </c>
      <c r="F893">
        <v>0.68286981974376537</v>
      </c>
      <c r="G893">
        <v>0.71924437388685836</v>
      </c>
      <c r="H893" s="3">
        <v>389.44187229222456</v>
      </c>
      <c r="I893" s="3">
        <v>2.7118242642925044E-2</v>
      </c>
      <c r="J893" s="3">
        <v>7.6461490283138145E-3</v>
      </c>
      <c r="K893" s="1">
        <v>1.4136846899850892E-2</v>
      </c>
      <c r="L893" s="1">
        <v>-200.57703813350082</v>
      </c>
      <c r="M893" s="1">
        <v>-376.84536048694201</v>
      </c>
      <c r="N893" s="1">
        <v>-577.42239862044278</v>
      </c>
      <c r="O893" s="1">
        <v>-577.42239862044289</v>
      </c>
    </row>
    <row r="894" spans="2:15">
      <c r="B894">
        <v>886</v>
      </c>
      <c r="D894">
        <v>1102.0972485016559</v>
      </c>
      <c r="E894">
        <v>1581.0689695830192</v>
      </c>
      <c r="F894">
        <v>0.69189980912611271</v>
      </c>
      <c r="G894">
        <v>0.72606738531692339</v>
      </c>
      <c r="H894" s="3">
        <v>404.16457365692702</v>
      </c>
      <c r="I894" s="3">
        <v>2.4929574794920369E-2</v>
      </c>
      <c r="J894" s="3">
        <v>4.721346112074018E-3</v>
      </c>
      <c r="K894" s="1">
        <v>1.1457422339689468E-2</v>
      </c>
      <c r="L894" s="1">
        <v>-372.235649377009</v>
      </c>
      <c r="M894" s="1">
        <v>-410.62535239489864</v>
      </c>
      <c r="N894" s="1">
        <v>-782.8610017719077</v>
      </c>
      <c r="O894" s="1">
        <v>-782.8610017719077</v>
      </c>
    </row>
    <row r="895" spans="2:15">
      <c r="B895">
        <v>887</v>
      </c>
      <c r="D895">
        <v>1007.721668338621</v>
      </c>
      <c r="E895">
        <v>1518.6529813337618</v>
      </c>
      <c r="F895">
        <v>0.68955930059607851</v>
      </c>
      <c r="G895">
        <v>0.71657108953872217</v>
      </c>
      <c r="H895" s="3">
        <v>425.13319051401072</v>
      </c>
      <c r="I895" s="3">
        <v>1.9903598564256404E-2</v>
      </c>
      <c r="J895" s="3">
        <v>-1.3530609614441323E-3</v>
      </c>
      <c r="K895" s="1">
        <v>5.7324922137893791E-3</v>
      </c>
      <c r="L895" s="1">
        <v>-273.77508871005671</v>
      </c>
      <c r="M895" s="1">
        <v>-234.52502204729356</v>
      </c>
      <c r="N895" s="1">
        <v>-508.30011075735035</v>
      </c>
      <c r="O895" s="1">
        <v>-508.30011075735024</v>
      </c>
    </row>
    <row r="896" spans="2:15">
      <c r="B896">
        <v>888</v>
      </c>
      <c r="D896">
        <v>751.85469358787714</v>
      </c>
      <c r="E896">
        <v>1233.8058521963089</v>
      </c>
      <c r="F896">
        <v>0.6936359970190713</v>
      </c>
      <c r="G896">
        <v>0.73575813502241594</v>
      </c>
      <c r="H896" s="3">
        <v>411.5093780483017</v>
      </c>
      <c r="I896" s="3">
        <v>3.2323104995613139E-2</v>
      </c>
      <c r="J896" s="3">
        <v>1.1747636093198052E-2</v>
      </c>
      <c r="K896" s="1">
        <v>1.8606125727336414E-2</v>
      </c>
      <c r="L896" s="1">
        <v>1.8728769205627032</v>
      </c>
      <c r="M896" s="1">
        <v>-372.50429101559598</v>
      </c>
      <c r="N896" s="1">
        <v>-370.63141409503334</v>
      </c>
      <c r="O896" s="1">
        <v>-370.63141409503328</v>
      </c>
    </row>
    <row r="897" spans="2:15">
      <c r="B897">
        <v>889</v>
      </c>
      <c r="D897">
        <v>898.62740405477496</v>
      </c>
      <c r="E897">
        <v>1407.65193004702</v>
      </c>
      <c r="F897">
        <v>0.70123064736777485</v>
      </c>
      <c r="G897">
        <v>0.72948629250804631</v>
      </c>
      <c r="H897" s="3">
        <v>425.84378515702349</v>
      </c>
      <c r="I897" s="3">
        <v>2.1098192414912016E-2</v>
      </c>
      <c r="J897" s="3">
        <v>-1.9399684293915781E-4</v>
      </c>
      <c r="K897" s="1">
        <v>6.9033995763445669E-3</v>
      </c>
      <c r="L897" s="1">
        <v>-261.44922523657277</v>
      </c>
      <c r="M897" s="1">
        <v>-395.28297902423759</v>
      </c>
      <c r="N897" s="1">
        <v>-656.73220426081036</v>
      </c>
      <c r="O897" s="1">
        <v>-656.73220426081036</v>
      </c>
    </row>
    <row r="898" spans="2:15">
      <c r="B898">
        <v>890</v>
      </c>
      <c r="D898">
        <v>832.4771673692527</v>
      </c>
      <c r="E898">
        <v>1329.5243161137637</v>
      </c>
      <c r="F898">
        <v>0.68265722519480909</v>
      </c>
      <c r="G898">
        <v>0.71179440882004585</v>
      </c>
      <c r="H898" s="3">
        <v>396.54723581066929</v>
      </c>
      <c r="I898" s="3">
        <v>2.0022561841794843E-2</v>
      </c>
      <c r="J898" s="3">
        <v>1.952000512613801E-4</v>
      </c>
      <c r="K898" s="1">
        <v>6.8043206481058667E-3</v>
      </c>
      <c r="L898" s="1">
        <v>-425.4533779516986</v>
      </c>
      <c r="M898" s="1">
        <v>-198.93313736046426</v>
      </c>
      <c r="N898" s="1">
        <v>-624.38651531216283</v>
      </c>
      <c r="O898" s="1">
        <v>-624.38651531216283</v>
      </c>
    </row>
    <row r="899" spans="2:15">
      <c r="B899">
        <v>891</v>
      </c>
      <c r="D899">
        <v>813.8415759923929</v>
      </c>
      <c r="E899">
        <v>1288.5365944214961</v>
      </c>
      <c r="F899">
        <v>0.69745158469145763</v>
      </c>
      <c r="G899">
        <v>0.72433012433185762</v>
      </c>
      <c r="H899" s="3">
        <v>384.98099312728169</v>
      </c>
      <c r="I899" s="3">
        <v>1.8844070237506894E-2</v>
      </c>
      <c r="J899" s="3">
        <v>-4.0497941885718827E-4</v>
      </c>
      <c r="K899" s="1">
        <v>6.0113704665975057E-3</v>
      </c>
      <c r="L899" s="1">
        <v>-93.922269268157564</v>
      </c>
      <c r="M899" s="1">
        <v>-323.02138706503297</v>
      </c>
      <c r="N899" s="1">
        <v>-416.94365633319057</v>
      </c>
      <c r="O899" s="1">
        <v>-416.94365633319052</v>
      </c>
    </row>
    <row r="900" spans="2:15">
      <c r="B900">
        <v>892</v>
      </c>
      <c r="D900">
        <v>843.66182170636444</v>
      </c>
      <c r="E900">
        <v>1342.0501317203341</v>
      </c>
      <c r="F900">
        <v>0.68236162809201484</v>
      </c>
      <c r="G900">
        <v>0.7192236841425268</v>
      </c>
      <c r="H900" s="3">
        <v>385.1027166494959</v>
      </c>
      <c r="I900" s="3">
        <v>2.3676590811255817E-2</v>
      </c>
      <c r="J900" s="3">
        <v>4.4214549787810233E-3</v>
      </c>
      <c r="K900" s="1">
        <v>1.0839833589605953E-2</v>
      </c>
      <c r="L900" s="1">
        <v>-204.38374460673253</v>
      </c>
      <c r="M900" s="1">
        <v>-413.97734830984291</v>
      </c>
      <c r="N900" s="1">
        <v>-618.36109291657533</v>
      </c>
      <c r="O900" s="1">
        <v>-618.36109291657544</v>
      </c>
    </row>
    <row r="901" spans="2:15">
      <c r="B901">
        <v>893</v>
      </c>
      <c r="D901">
        <v>893.97641148646585</v>
      </c>
      <c r="E901">
        <v>1362.7665442539881</v>
      </c>
      <c r="F901">
        <v>0.69056811970261411</v>
      </c>
      <c r="G901">
        <v>0.72829302132908469</v>
      </c>
      <c r="H901" s="3">
        <v>396.72753213780436</v>
      </c>
      <c r="I901" s="3">
        <v>2.8810419452455244E-2</v>
      </c>
      <c r="J901" s="3">
        <v>8.9740428455650258E-3</v>
      </c>
      <c r="K901" s="1">
        <v>1.5586168381195099E-2</v>
      </c>
      <c r="L901" s="1">
        <v>-332.18960552200025</v>
      </c>
      <c r="M901" s="1">
        <v>-368.40173974009127</v>
      </c>
      <c r="N901" s="1">
        <v>-700.59134526209141</v>
      </c>
      <c r="O901" s="1">
        <v>-700.59134526209152</v>
      </c>
    </row>
    <row r="902" spans="2:15">
      <c r="B902">
        <v>894</v>
      </c>
      <c r="D902">
        <v>735.69890812551887</v>
      </c>
      <c r="E902">
        <v>1213.9407595214457</v>
      </c>
      <c r="F902">
        <v>0.69210599953927021</v>
      </c>
      <c r="G902">
        <v>0.72376645452370592</v>
      </c>
      <c r="H902" s="3">
        <v>381.79840402050354</v>
      </c>
      <c r="I902" s="3">
        <v>2.2601265932344711E-2</v>
      </c>
      <c r="J902" s="3">
        <v>3.5113457313195352E-3</v>
      </c>
      <c r="K902" s="1">
        <v>9.8746524649945926E-3</v>
      </c>
      <c r="L902" s="1">
        <v>-326.88187693600889</v>
      </c>
      <c r="M902" s="1">
        <v>-410.4125415030677</v>
      </c>
      <c r="N902" s="1">
        <v>-737.29441843907659</v>
      </c>
      <c r="O902" s="1">
        <v>-737.29441843907659</v>
      </c>
    </row>
    <row r="903" spans="2:15">
      <c r="B903">
        <v>895</v>
      </c>
      <c r="D903">
        <v>698.41962923237907</v>
      </c>
      <c r="E903">
        <v>1204.1564082196417</v>
      </c>
      <c r="F903">
        <v>0.69734956671569137</v>
      </c>
      <c r="G903">
        <v>0.72417977702645697</v>
      </c>
      <c r="H903" s="3">
        <v>418.92081927589777</v>
      </c>
      <c r="I903" s="3">
        <v>1.9367397662276083E-2</v>
      </c>
      <c r="J903" s="3">
        <v>-1.5786433015188076E-3</v>
      </c>
      <c r="K903" s="1">
        <v>5.4033703530794903E-3</v>
      </c>
      <c r="L903" s="1">
        <v>-346.94011040784432</v>
      </c>
      <c r="M903" s="1">
        <v>-429.60950631820339</v>
      </c>
      <c r="N903" s="1">
        <v>-776.54961672604759</v>
      </c>
      <c r="O903" s="1">
        <v>-776.5496167260477</v>
      </c>
    </row>
    <row r="904" spans="2:15">
      <c r="B904">
        <v>896</v>
      </c>
      <c r="D904">
        <v>940.45570227624694</v>
      </c>
      <c r="E904">
        <v>1440.1827842619118</v>
      </c>
      <c r="F904">
        <v>0.68791763811510576</v>
      </c>
      <c r="G904">
        <v>0.72150606584594723</v>
      </c>
      <c r="H904" s="3">
        <v>416.75732811950331</v>
      </c>
      <c r="I904" s="3">
        <v>2.5221213015842601E-2</v>
      </c>
      <c r="J904" s="3">
        <v>4.3833466098674341E-3</v>
      </c>
      <c r="K904" s="1">
        <v>1.1329302078525824E-2</v>
      </c>
      <c r="L904" s="1">
        <v>-190.26049793232607</v>
      </c>
      <c r="M904" s="1">
        <v>-301.95033660281723</v>
      </c>
      <c r="N904" s="1">
        <v>-492.21083453514336</v>
      </c>
      <c r="O904" s="1">
        <v>-492.21083453514331</v>
      </c>
    </row>
    <row r="905" spans="2:15">
      <c r="B905">
        <v>897</v>
      </c>
      <c r="D905">
        <v>966.35027885002728</v>
      </c>
      <c r="E905">
        <v>1467.1870661612211</v>
      </c>
      <c r="F905">
        <v>0.68691570024373694</v>
      </c>
      <c r="G905">
        <v>0.72303294394738271</v>
      </c>
      <c r="H905" s="3">
        <v>412.1793622427781</v>
      </c>
      <c r="I905" s="3">
        <v>2.6100070151341415E-2</v>
      </c>
      <c r="J905" s="3">
        <v>5.4911020392025105E-3</v>
      </c>
      <c r="K905" s="1">
        <v>1.2360758076582145E-2</v>
      </c>
      <c r="L905" s="1">
        <v>-308.84058231709571</v>
      </c>
      <c r="M905" s="1">
        <v>-325.73540285571397</v>
      </c>
      <c r="N905" s="1">
        <v>-634.57598517280962</v>
      </c>
      <c r="O905" s="1">
        <v>-634.57598517280962</v>
      </c>
    </row>
    <row r="906" spans="2:15">
      <c r="B906">
        <v>898</v>
      </c>
      <c r="D906">
        <v>923.75512243885987</v>
      </c>
      <c r="E906">
        <v>1413.8224693505899</v>
      </c>
      <c r="F906">
        <v>0.69408639261582827</v>
      </c>
      <c r="G906">
        <v>0.7192797185890657</v>
      </c>
      <c r="H906" s="3">
        <v>412.92066372097787</v>
      </c>
      <c r="I906" s="3">
        <v>1.8820262438972068E-2</v>
      </c>
      <c r="J906" s="3">
        <v>-1.8257707470768249E-3</v>
      </c>
      <c r="K906" s="1">
        <v>5.0562403149394721E-3</v>
      </c>
      <c r="L906" s="1">
        <v>-188.04123415308274</v>
      </c>
      <c r="M906" s="1">
        <v>-245.40007480655808</v>
      </c>
      <c r="N906" s="1">
        <v>-433.44130895964082</v>
      </c>
      <c r="O906" s="1">
        <v>-433.44130895964082</v>
      </c>
    </row>
    <row r="907" spans="2:15">
      <c r="B907">
        <v>899</v>
      </c>
      <c r="D907">
        <v>976.37262789140357</v>
      </c>
      <c r="E907">
        <v>1446.4486947593516</v>
      </c>
      <c r="F907">
        <v>0.69346412885255215</v>
      </c>
      <c r="G907">
        <v>0.72690941598221759</v>
      </c>
      <c r="H907" s="3">
        <v>398.77912084845673</v>
      </c>
      <c r="I907" s="3">
        <v>2.4741338500381276E-2</v>
      </c>
      <c r="J907" s="3">
        <v>4.8023824579584429E-3</v>
      </c>
      <c r="K907" s="1">
        <v>1.1448701138766055E-2</v>
      </c>
      <c r="L907" s="1">
        <v>-402.55684852470711</v>
      </c>
      <c r="M907" s="1">
        <v>-256.12299972540904</v>
      </c>
      <c r="N907" s="1">
        <v>-658.67984825011615</v>
      </c>
      <c r="O907" s="1">
        <v>-658.67984825011615</v>
      </c>
    </row>
    <row r="908" spans="2:15">
      <c r="B908">
        <v>900</v>
      </c>
      <c r="D908">
        <v>761.10494450798296</v>
      </c>
      <c r="E908">
        <v>1277.4633961009097</v>
      </c>
      <c r="F908">
        <v>0.68503372652910388</v>
      </c>
      <c r="G908">
        <v>0.72596296430070539</v>
      </c>
      <c r="H908" s="3">
        <v>433.65986306843109</v>
      </c>
      <c r="I908" s="3">
        <v>3.001827725061175E-2</v>
      </c>
      <c r="J908" s="3">
        <v>8.3352840971901952E-3</v>
      </c>
      <c r="K908" s="1">
        <v>1.5562948481664047E-2</v>
      </c>
      <c r="L908" s="1">
        <v>1.441325501350093</v>
      </c>
      <c r="M908" s="1">
        <v>-408.87659760307241</v>
      </c>
      <c r="N908" s="1">
        <v>-407.43527210172238</v>
      </c>
      <c r="O908" s="1">
        <v>-407.43527210172232</v>
      </c>
    </row>
    <row r="909" spans="2:15">
      <c r="B909">
        <v>901</v>
      </c>
      <c r="D909">
        <v>700.7908051369775</v>
      </c>
      <c r="E909">
        <v>1174.1796022383755</v>
      </c>
      <c r="F909">
        <v>0.68100805463928171</v>
      </c>
      <c r="G909">
        <v>0.73118746968627346</v>
      </c>
      <c r="H909" s="3">
        <v>395.46768740226048</v>
      </c>
      <c r="I909" s="3">
        <v>3.6977537335046294E-2</v>
      </c>
      <c r="J909" s="3">
        <v>1.7204152964933269E-2</v>
      </c>
      <c r="K909" s="1">
        <v>2.3795281088304279E-2</v>
      </c>
      <c r="L909" s="1">
        <v>-305.30498809902048</v>
      </c>
      <c r="M909" s="1">
        <v>-356.83128162694931</v>
      </c>
      <c r="N909" s="1">
        <v>-662.13626972596978</v>
      </c>
      <c r="O909" s="1">
        <v>-662.13626972596978</v>
      </c>
    </row>
    <row r="910" spans="2:15">
      <c r="B910">
        <v>902</v>
      </c>
      <c r="D910">
        <v>764.21123301673242</v>
      </c>
      <c r="E910">
        <v>1267.0615238113285</v>
      </c>
      <c r="F910">
        <v>0.68864869684842944</v>
      </c>
      <c r="G910">
        <v>0.7273955431425404</v>
      </c>
      <c r="H910" s="3">
        <v>423.90202461801687</v>
      </c>
      <c r="I910" s="3">
        <v>2.8794704787275478E-2</v>
      </c>
      <c r="J910" s="3">
        <v>7.5996035563746338E-3</v>
      </c>
      <c r="K910" s="1">
        <v>1.4664637300008249E-2</v>
      </c>
      <c r="L910" s="1">
        <v>-284.04102554099489</v>
      </c>
      <c r="M910" s="1">
        <v>-213.11397725792725</v>
      </c>
      <c r="N910" s="1">
        <v>-497.15500279892217</v>
      </c>
      <c r="O910" s="1">
        <v>-497.15500279892217</v>
      </c>
    </row>
    <row r="911" spans="2:15">
      <c r="B911">
        <v>903</v>
      </c>
      <c r="D911">
        <v>889.59177112419275</v>
      </c>
      <c r="E911">
        <v>1384.6813471477351</v>
      </c>
      <c r="F911">
        <v>0.69328879965479684</v>
      </c>
      <c r="G911">
        <v>0.7295639292209285</v>
      </c>
      <c r="H911" s="3">
        <v>411.16613993111565</v>
      </c>
      <c r="I911" s="3">
        <v>2.6338191039833234E-2</v>
      </c>
      <c r="J911" s="3">
        <v>5.7798840432774501E-3</v>
      </c>
      <c r="K911" s="1">
        <v>1.2632653042129377E-2</v>
      </c>
      <c r="L911" s="1">
        <v>-200.73907396340024</v>
      </c>
      <c r="M911" s="1">
        <v>-292.9477514545938</v>
      </c>
      <c r="N911" s="1">
        <v>-493.68682541799404</v>
      </c>
      <c r="O911" s="1">
        <v>-493.68682541799404</v>
      </c>
    </row>
    <row r="912" spans="2:15">
      <c r="B912">
        <v>904</v>
      </c>
      <c r="D912">
        <v>831.85834035027005</v>
      </c>
      <c r="E912">
        <v>1300.9147000095452</v>
      </c>
      <c r="F912">
        <v>0.68123691682069243</v>
      </c>
      <c r="G912">
        <v>0.72585355243666472</v>
      </c>
      <c r="H912" s="3">
        <v>378.9355708566369</v>
      </c>
      <c r="I912" s="3">
        <v>3.0947243254816785E-2</v>
      </c>
      <c r="J912" s="3">
        <v>1.2000464711984939E-2</v>
      </c>
      <c r="K912" s="1">
        <v>1.8316057559595554E-2</v>
      </c>
      <c r="L912" s="1">
        <v>-206.37422438206931</v>
      </c>
      <c r="M912" s="1">
        <v>-311.55921384111429</v>
      </c>
      <c r="N912" s="1">
        <v>-517.93343822318366</v>
      </c>
      <c r="O912" s="1">
        <v>-517.93343822318366</v>
      </c>
    </row>
    <row r="913" spans="2:15">
      <c r="B913">
        <v>905</v>
      </c>
      <c r="D913">
        <v>831.74015707367425</v>
      </c>
      <c r="E913">
        <v>1340.1202707409061</v>
      </c>
      <c r="F913">
        <v>0.70058461937804184</v>
      </c>
      <c r="G913">
        <v>0.7215986317102292</v>
      </c>
      <c r="H913" s="3">
        <v>419.25766679791025</v>
      </c>
      <c r="I913" s="3">
        <v>1.496226801531797E-2</v>
      </c>
      <c r="J913" s="3">
        <v>-6.0006153245775462E-3</v>
      </c>
      <c r="K913" s="1">
        <v>9.8701245538762583E-4</v>
      </c>
      <c r="L913" s="1">
        <v>-384.27963993173728</v>
      </c>
      <c r="M913" s="1">
        <v>-354.14276614845676</v>
      </c>
      <c r="N913" s="1">
        <v>-738.42240608019404</v>
      </c>
      <c r="O913" s="1">
        <v>-738.42240608019404</v>
      </c>
    </row>
    <row r="914" spans="2:15">
      <c r="B914">
        <v>906</v>
      </c>
      <c r="D914">
        <v>984.16765837179707</v>
      </c>
      <c r="E914">
        <v>1479.8638418171408</v>
      </c>
      <c r="F914">
        <v>0.68881703010296613</v>
      </c>
      <c r="G914">
        <v>0.72033728594331581</v>
      </c>
      <c r="H914" s="3">
        <v>408.34380865936521</v>
      </c>
      <c r="I914" s="3">
        <v>2.2472586052810727E-2</v>
      </c>
      <c r="J914" s="3">
        <v>2.0553956198424671E-3</v>
      </c>
      <c r="K914" s="1">
        <v>8.8611257641652199E-3</v>
      </c>
      <c r="L914" s="1">
        <v>-155.03002725395692</v>
      </c>
      <c r="M914" s="1">
        <v>-358.87036420225547</v>
      </c>
      <c r="N914" s="1">
        <v>-513.90039145621245</v>
      </c>
      <c r="O914" s="1">
        <v>-513.90039145621245</v>
      </c>
    </row>
    <row r="915" spans="2:15">
      <c r="B915">
        <v>907</v>
      </c>
      <c r="D915">
        <v>914.44099276384247</v>
      </c>
      <c r="E915">
        <v>1394.6741752503574</v>
      </c>
      <c r="F915">
        <v>0.68201078293285644</v>
      </c>
      <c r="G915">
        <v>0.72615984754379703</v>
      </c>
      <c r="H915" s="3">
        <v>389.51551162860062</v>
      </c>
      <c r="I915" s="3">
        <v>3.1305087292627543E-2</v>
      </c>
      <c r="J915" s="3">
        <v>1.1829311711197513E-2</v>
      </c>
      <c r="K915" s="1">
        <v>1.8321236905007521E-2</v>
      </c>
      <c r="L915" s="1">
        <v>-133.05410438419528</v>
      </c>
      <c r="M915" s="1">
        <v>-354.12534472466035</v>
      </c>
      <c r="N915" s="1">
        <v>-487.17944910885564</v>
      </c>
      <c r="O915" s="1">
        <v>-487.17944910885564</v>
      </c>
    </row>
    <row r="916" spans="2:15">
      <c r="B916">
        <v>908</v>
      </c>
      <c r="D916">
        <v>797.85437540404132</v>
      </c>
      <c r="E916">
        <v>1283.2895103463666</v>
      </c>
      <c r="F916">
        <v>0.69865685265465105</v>
      </c>
      <c r="G916">
        <v>0.72206898522592911</v>
      </c>
      <c r="H916" s="3">
        <v>385.79441818495184</v>
      </c>
      <c r="I916" s="3">
        <v>1.6391754092201467E-2</v>
      </c>
      <c r="J916" s="3">
        <v>-2.8979668170461235E-3</v>
      </c>
      <c r="K916" s="1">
        <v>3.5319401527030714E-3</v>
      </c>
      <c r="L916" s="1">
        <v>-281.72203082030626</v>
      </c>
      <c r="M916" s="1">
        <v>-365.23989975769717</v>
      </c>
      <c r="N916" s="1">
        <v>-646.96193057800349</v>
      </c>
      <c r="O916" s="1">
        <v>-646.96193057800338</v>
      </c>
    </row>
    <row r="917" spans="2:15">
      <c r="B917">
        <v>909</v>
      </c>
      <c r="D917">
        <v>1190.5603769787695</v>
      </c>
      <c r="E917">
        <v>1683.1341274999925</v>
      </c>
      <c r="F917">
        <v>0.69525132287184299</v>
      </c>
      <c r="G917">
        <v>0.72294213603909352</v>
      </c>
      <c r="H917" s="3">
        <v>408.97823557482644</v>
      </c>
      <c r="I917" s="3">
        <v>1.9365220491264948E-2</v>
      </c>
      <c r="J917" s="3">
        <v>-1.0836912874763738E-3</v>
      </c>
      <c r="K917" s="1">
        <v>5.7326126387707323E-3</v>
      </c>
      <c r="L917" s="1">
        <v>-447.97919522997825</v>
      </c>
      <c r="M917" s="1">
        <v>-476.17493719505444</v>
      </c>
      <c r="N917" s="1">
        <v>-924.1541324250328</v>
      </c>
      <c r="O917" s="1">
        <v>-924.15413242503269</v>
      </c>
    </row>
    <row r="918" spans="2:15">
      <c r="B918">
        <v>910</v>
      </c>
      <c r="D918">
        <v>803.06738514391782</v>
      </c>
      <c r="E918">
        <v>1284.1590282429859</v>
      </c>
      <c r="F918">
        <v>0.68864262329715709</v>
      </c>
      <c r="G918">
        <v>0.7273978128275046</v>
      </c>
      <c r="H918" s="3">
        <v>384.11321178330343</v>
      </c>
      <c r="I918" s="3">
        <v>2.6503367614514942E-2</v>
      </c>
      <c r="J918" s="3">
        <v>7.2977070253497714E-3</v>
      </c>
      <c r="K918" s="1">
        <v>1.3699593888404828E-2</v>
      </c>
      <c r="L918" s="1">
        <v>-289.16078017276936</v>
      </c>
      <c r="M918" s="1">
        <v>-252.64971682874884</v>
      </c>
      <c r="N918" s="1">
        <v>-541.81049700151812</v>
      </c>
      <c r="O918" s="1">
        <v>-541.81049700151823</v>
      </c>
    </row>
    <row r="919" spans="2:15">
      <c r="B919">
        <v>911</v>
      </c>
      <c r="D919">
        <v>866.00410625668997</v>
      </c>
      <c r="E919">
        <v>1345.849113822225</v>
      </c>
      <c r="F919">
        <v>0.69092988491721674</v>
      </c>
      <c r="G919">
        <v>0.72219691833337385</v>
      </c>
      <c r="H919" s="3">
        <v>385.00654525240134</v>
      </c>
      <c r="I919" s="3">
        <v>2.2156405278582727E-2</v>
      </c>
      <c r="J919" s="3">
        <v>2.9060780159626577E-3</v>
      </c>
      <c r="K919" s="1">
        <v>9.3228537701693474E-3</v>
      </c>
      <c r="L919" s="1">
        <v>-117.77203560823273</v>
      </c>
      <c r="M919" s="1">
        <v>-294.21950587053487</v>
      </c>
      <c r="N919" s="1">
        <v>-411.9915414787676</v>
      </c>
      <c r="O919" s="1">
        <v>-411.9915414787676</v>
      </c>
    </row>
    <row r="920" spans="2:15">
      <c r="B920">
        <v>912</v>
      </c>
      <c r="D920">
        <v>1087.5674444656552</v>
      </c>
      <c r="E920">
        <v>1581.9975186688364</v>
      </c>
      <c r="F920">
        <v>0.69280803399656787</v>
      </c>
      <c r="G920">
        <v>0.73393237371498099</v>
      </c>
      <c r="H920" s="3">
        <v>410.63377510091095</v>
      </c>
      <c r="I920" s="3">
        <v>3.0052416168513792E-2</v>
      </c>
      <c r="J920" s="3">
        <v>9.5207274134682419E-3</v>
      </c>
      <c r="K920" s="1">
        <v>1.636462366515009E-2</v>
      </c>
      <c r="L920" s="1">
        <v>-432.93732891024274</v>
      </c>
      <c r="M920" s="1">
        <v>-319.7763531431396</v>
      </c>
      <c r="N920" s="1">
        <v>-752.71368205338229</v>
      </c>
      <c r="O920" s="1">
        <v>-752.7136820533824</v>
      </c>
    </row>
    <row r="921" spans="2:15">
      <c r="B921">
        <v>913</v>
      </c>
      <c r="D921">
        <v>918.29799963828293</v>
      </c>
      <c r="E921">
        <v>1401.2928013650576</v>
      </c>
      <c r="F921">
        <v>0.68878717584223792</v>
      </c>
      <c r="G921">
        <v>0.71782473716547712</v>
      </c>
      <c r="H921" s="3">
        <v>399.13907206146155</v>
      </c>
      <c r="I921" s="3">
        <v>2.112472767156624E-2</v>
      </c>
      <c r="J921" s="3">
        <v>1.1677740684931624E-3</v>
      </c>
      <c r="K921" s="1">
        <v>7.8200919361841887E-3</v>
      </c>
      <c r="L921" s="1">
        <v>-133.01368473337243</v>
      </c>
      <c r="M921" s="1">
        <v>-417.91737631726198</v>
      </c>
      <c r="N921" s="1">
        <v>-550.93106105063441</v>
      </c>
      <c r="O921" s="1">
        <v>-550.93106105063441</v>
      </c>
    </row>
    <row r="922" spans="2:15">
      <c r="B922">
        <v>914</v>
      </c>
      <c r="D922">
        <v>922.49161304915742</v>
      </c>
      <c r="E922">
        <v>1428.308648887313</v>
      </c>
      <c r="F922">
        <v>0.69816930013027534</v>
      </c>
      <c r="G922">
        <v>0.71867782251333578</v>
      </c>
      <c r="H922" s="3">
        <v>424.46524982771336</v>
      </c>
      <c r="I922" s="3">
        <v>1.5362915742498458E-2</v>
      </c>
      <c r="J922" s="3">
        <v>-5.8603467488872098E-3</v>
      </c>
      <c r="K922" s="1">
        <v>1.2140740815746801E-3</v>
      </c>
      <c r="L922" s="1">
        <v>-628.3973709399778</v>
      </c>
      <c r="M922" s="1">
        <v>-329.33226236987917</v>
      </c>
      <c r="N922" s="1">
        <v>-957.72963330985704</v>
      </c>
      <c r="O922" s="1">
        <v>-957.72963330985704</v>
      </c>
    </row>
    <row r="923" spans="2:15">
      <c r="B923">
        <v>915</v>
      </c>
      <c r="D923">
        <v>836.27365484154984</v>
      </c>
      <c r="E923">
        <v>1336.155410455154</v>
      </c>
      <c r="F923">
        <v>0.70460650264818414</v>
      </c>
      <c r="G923">
        <v>0.7274367057766824</v>
      </c>
      <c r="H923" s="3">
        <v>411.98514777117293</v>
      </c>
      <c r="I923" s="3">
        <v>1.5858894061507599E-2</v>
      </c>
      <c r="J923" s="3">
        <v>-4.7403633270510434E-3</v>
      </c>
      <c r="K923" s="1">
        <v>2.1260558024685031E-3</v>
      </c>
      <c r="L923" s="1">
        <v>-229.64718341713649</v>
      </c>
      <c r="M923" s="1">
        <v>-334.41829720924403</v>
      </c>
      <c r="N923" s="1">
        <v>-564.06548062638058</v>
      </c>
      <c r="O923" s="1">
        <v>-564.06548062638058</v>
      </c>
    </row>
    <row r="924" spans="2:15">
      <c r="B924">
        <v>916</v>
      </c>
      <c r="D924">
        <v>922.58666520254758</v>
      </c>
      <c r="E924">
        <v>1423.3362317983883</v>
      </c>
      <c r="F924">
        <v>0.69368333522374281</v>
      </c>
      <c r="G924">
        <v>0.72667797304658355</v>
      </c>
      <c r="H924" s="3">
        <v>410.33201407022352</v>
      </c>
      <c r="I924" s="3">
        <v>2.3964639303722363E-2</v>
      </c>
      <c r="J924" s="3">
        <v>3.4480386002111868E-3</v>
      </c>
      <c r="K924" s="1">
        <v>1.0286905501381579E-2</v>
      </c>
      <c r="L924" s="1">
        <v>-127.44379571826184</v>
      </c>
      <c r="M924" s="1">
        <v>-358.441383926539</v>
      </c>
      <c r="N924" s="1">
        <v>-485.88517964480087</v>
      </c>
      <c r="O924" s="1">
        <v>-485.88517964480081</v>
      </c>
    </row>
    <row r="925" spans="2:15">
      <c r="B925">
        <v>917</v>
      </c>
      <c r="D925">
        <v>723.16763147913423</v>
      </c>
      <c r="E925">
        <v>1222.9384180448594</v>
      </c>
      <c r="F925">
        <v>0.68409759113797441</v>
      </c>
      <c r="G925">
        <v>0.71901755268967882</v>
      </c>
      <c r="H925" s="3">
        <v>401.04726479487169</v>
      </c>
      <c r="I925" s="3">
        <v>2.4555770307709914E-2</v>
      </c>
      <c r="J925" s="3">
        <v>4.5034070679663314E-3</v>
      </c>
      <c r="K925" s="1">
        <v>1.1187528147880859E-2</v>
      </c>
      <c r="L925" s="1">
        <v>-331.93773332635993</v>
      </c>
      <c r="M925" s="1">
        <v>-366.680420337192</v>
      </c>
      <c r="N925" s="1">
        <v>-698.61815366355188</v>
      </c>
      <c r="O925" s="1">
        <v>-698.61815366355199</v>
      </c>
    </row>
    <row r="926" spans="2:15">
      <c r="B926">
        <v>918</v>
      </c>
      <c r="D926">
        <v>948.1517622333522</v>
      </c>
      <c r="E926">
        <v>1459.5218152990167</v>
      </c>
      <c r="F926">
        <v>0.68740927393034368</v>
      </c>
      <c r="G926">
        <v>0.70849253949132684</v>
      </c>
      <c r="H926" s="3">
        <v>404.70264790468502</v>
      </c>
      <c r="I926" s="3">
        <v>1.4190895968374879E-2</v>
      </c>
      <c r="J926" s="3">
        <v>-6.0442364268593757E-3</v>
      </c>
      <c r="K926" s="1">
        <v>7.0080770488537697E-4</v>
      </c>
      <c r="L926" s="1">
        <v>-158.8429106268735</v>
      </c>
      <c r="M926" s="1">
        <v>-205.59295479165095</v>
      </c>
      <c r="N926" s="1">
        <v>-364.43586541852449</v>
      </c>
      <c r="O926" s="1">
        <v>-364.43586541852449</v>
      </c>
    </row>
    <row r="927" spans="2:15">
      <c r="B927">
        <v>919</v>
      </c>
      <c r="D927">
        <v>981.62644409722782</v>
      </c>
      <c r="E927">
        <v>1473.3471571511116</v>
      </c>
      <c r="F927">
        <v>0.69303224301341715</v>
      </c>
      <c r="G927">
        <v>0.72622570297309941</v>
      </c>
      <c r="H927" s="3">
        <v>382.471966895881</v>
      </c>
      <c r="I927" s="3">
        <v>2.2362754358029008E-2</v>
      </c>
      <c r="J927" s="3">
        <v>3.2391560132349582E-3</v>
      </c>
      <c r="K927" s="1">
        <v>9.6136887948329742E-3</v>
      </c>
      <c r="L927" s="1">
        <v>-101.5622235076664</v>
      </c>
      <c r="M927" s="1">
        <v>-442.4178346148982</v>
      </c>
      <c r="N927" s="1">
        <v>-543.98005812256463</v>
      </c>
      <c r="O927" s="1">
        <v>-543.98005812256463</v>
      </c>
    </row>
    <row r="928" spans="2:15">
      <c r="B928">
        <v>920</v>
      </c>
      <c r="D928">
        <v>820.73551091041509</v>
      </c>
      <c r="E928">
        <v>1281.436136870982</v>
      </c>
      <c r="F928">
        <v>0.68206215876765486</v>
      </c>
      <c r="G928">
        <v>0.72383883107129476</v>
      </c>
      <c r="H928" s="3">
        <v>372.32198953372534</v>
      </c>
      <c r="I928" s="3">
        <v>2.9868728795202221E-2</v>
      </c>
      <c r="J928" s="3">
        <v>1.1252629318515957E-2</v>
      </c>
      <c r="K928" s="1">
        <v>1.7457995810744711E-2</v>
      </c>
      <c r="L928" s="1">
        <v>-91.991830297273282</v>
      </c>
      <c r="M928" s="1">
        <v>-425.91282004516154</v>
      </c>
      <c r="N928" s="1">
        <v>-517.90465034243482</v>
      </c>
      <c r="O928" s="1">
        <v>-517.90465034243482</v>
      </c>
    </row>
    <row r="929" spans="2:15">
      <c r="B929">
        <v>921</v>
      </c>
      <c r="D929">
        <v>927.49883548190849</v>
      </c>
      <c r="E929">
        <v>1435.2530369347367</v>
      </c>
      <c r="F929">
        <v>0.69612687350377178</v>
      </c>
      <c r="G929">
        <v>0.73335860207042114</v>
      </c>
      <c r="H929" s="3">
        <v>414.27711151892089</v>
      </c>
      <c r="I929" s="3">
        <v>2.6874195546337274E-2</v>
      </c>
      <c r="J929" s="3">
        <v>6.16033997039123E-3</v>
      </c>
      <c r="K929" s="1">
        <v>1.3064958495706578E-2</v>
      </c>
      <c r="L929" s="1">
        <v>-144.60357309501651</v>
      </c>
      <c r="M929" s="1">
        <v>-373.31462141202383</v>
      </c>
      <c r="N929" s="1">
        <v>-517.91819450704031</v>
      </c>
      <c r="O929" s="1">
        <v>-517.91819450704031</v>
      </c>
    </row>
    <row r="930" spans="2:15">
      <c r="B930">
        <v>922</v>
      </c>
      <c r="D930">
        <v>969.48387502023411</v>
      </c>
      <c r="E930">
        <v>1451.197927649639</v>
      </c>
      <c r="F930">
        <v>0.69536603248483786</v>
      </c>
      <c r="G930">
        <v>0.72933119779429556</v>
      </c>
      <c r="H930" s="3">
        <v>389.01257570185351</v>
      </c>
      <c r="I930" s="3">
        <v>2.4040078135682322E-2</v>
      </c>
      <c r="J930" s="3">
        <v>4.5894493505896465E-3</v>
      </c>
      <c r="K930" s="1">
        <v>1.1072992278953872E-2</v>
      </c>
      <c r="L930" s="1">
        <v>-278.47423031618564</v>
      </c>
      <c r="M930" s="1">
        <v>-391.71359357066814</v>
      </c>
      <c r="N930" s="1">
        <v>-670.18782388685372</v>
      </c>
      <c r="O930" s="1">
        <v>-670.18782388685372</v>
      </c>
    </row>
    <row r="931" spans="2:15">
      <c r="B931">
        <v>923</v>
      </c>
      <c r="D931">
        <v>881.79043326075828</v>
      </c>
      <c r="E931">
        <v>1333.4963199586259</v>
      </c>
      <c r="F931">
        <v>0.69290853648868389</v>
      </c>
      <c r="G931">
        <v>0.73506927900621233</v>
      </c>
      <c r="H931" s="3">
        <v>369.44452341311762</v>
      </c>
      <c r="I931" s="3">
        <v>2.999183406256626E-2</v>
      </c>
      <c r="J931" s="3">
        <v>1.151960789191038E-2</v>
      </c>
      <c r="K931" s="1">
        <v>1.7677016615462338E-2</v>
      </c>
      <c r="L931" s="1">
        <v>46.708676516756988</v>
      </c>
      <c r="M931" s="1">
        <v>-151.04679187387993</v>
      </c>
      <c r="N931" s="1">
        <v>-104.338115357123</v>
      </c>
      <c r="O931" s="1">
        <v>-104.33811535712294</v>
      </c>
    </row>
    <row r="932" spans="2:15">
      <c r="B932">
        <v>924</v>
      </c>
      <c r="D932">
        <v>792.46905914042293</v>
      </c>
      <c r="E932">
        <v>1286.9580996372854</v>
      </c>
      <c r="F932">
        <v>0.69689655605820788</v>
      </c>
      <c r="G932">
        <v>0.72461393283432773</v>
      </c>
      <c r="H932" s="3">
        <v>402.09159488000995</v>
      </c>
      <c r="I932" s="3">
        <v>1.9483597974137359E-2</v>
      </c>
      <c r="J932" s="3">
        <v>-6.2098176986313813E-4</v>
      </c>
      <c r="K932" s="1">
        <v>6.0805448114703616E-3</v>
      </c>
      <c r="L932" s="1">
        <v>-293.90578858910919</v>
      </c>
      <c r="M932" s="1">
        <v>-285.43714349996327</v>
      </c>
      <c r="N932" s="1">
        <v>-579.34293208907252</v>
      </c>
      <c r="O932" s="1">
        <v>-579.34293208907252</v>
      </c>
    </row>
    <row r="933" spans="2:15">
      <c r="B933">
        <v>925</v>
      </c>
      <c r="D933">
        <v>880.43420600100239</v>
      </c>
      <c r="E933">
        <v>1369.4031578526005</v>
      </c>
      <c r="F933">
        <v>0.69467071507623923</v>
      </c>
      <c r="G933">
        <v>0.73043779362607841</v>
      </c>
      <c r="H933" s="3">
        <v>414.57239046733076</v>
      </c>
      <c r="I933" s="3">
        <v>2.6572609700429139E-2</v>
      </c>
      <c r="J933" s="3">
        <v>5.8439901770625975E-3</v>
      </c>
      <c r="K933" s="1">
        <v>1.2753530018184777E-2</v>
      </c>
      <c r="L933" s="1">
        <v>-245.88369873919061</v>
      </c>
      <c r="M933" s="1">
        <v>-348.58835273619468</v>
      </c>
      <c r="N933" s="1">
        <v>-594.47205147538534</v>
      </c>
      <c r="O933" s="1">
        <v>-594.47205147538534</v>
      </c>
    </row>
    <row r="934" spans="2:15">
      <c r="B934">
        <v>926</v>
      </c>
      <c r="D934">
        <v>642.12770493343589</v>
      </c>
      <c r="E934">
        <v>1144.6849610408058</v>
      </c>
      <c r="F934">
        <v>0.6894462803125565</v>
      </c>
      <c r="G934">
        <v>0.7208042356093215</v>
      </c>
      <c r="H934" s="3">
        <v>424.18453367496778</v>
      </c>
      <c r="I934" s="3">
        <v>2.4017206986482468E-2</v>
      </c>
      <c r="J934" s="3">
        <v>2.8079803027340824E-3</v>
      </c>
      <c r="K934" s="1">
        <v>9.8777225306502098E-3</v>
      </c>
      <c r="L934" s="1">
        <v>-142.48491256033964</v>
      </c>
      <c r="M934" s="1">
        <v>-397.19373467550923</v>
      </c>
      <c r="N934" s="1">
        <v>-539.67864723584887</v>
      </c>
      <c r="O934" s="1">
        <v>-539.67864723584887</v>
      </c>
    </row>
    <row r="935" spans="2:15">
      <c r="B935">
        <v>927</v>
      </c>
      <c r="D935">
        <v>832.68825708482598</v>
      </c>
      <c r="E935">
        <v>1312.1442804471642</v>
      </c>
      <c r="F935">
        <v>0.68637058032488041</v>
      </c>
      <c r="G935">
        <v>0.72280575320460783</v>
      </c>
      <c r="H935" s="3">
        <v>397.0584601293217</v>
      </c>
      <c r="I935" s="3">
        <v>2.6804950326674327E-2</v>
      </c>
      <c r="J935" s="3">
        <v>6.9520273202082448E-3</v>
      </c>
      <c r="K935" s="1">
        <v>1.3569668322363606E-2</v>
      </c>
      <c r="L935" s="1">
        <v>-194.44015627908797</v>
      </c>
      <c r="M935" s="1">
        <v>-255.88516643560851</v>
      </c>
      <c r="N935" s="1">
        <v>-450.32532271469654</v>
      </c>
      <c r="O935" s="1">
        <v>-450.32532271469648</v>
      </c>
    </row>
    <row r="936" spans="2:15">
      <c r="B936">
        <v>928</v>
      </c>
      <c r="D936">
        <v>1208.6516179179503</v>
      </c>
      <c r="E936">
        <v>1679.3981036024891</v>
      </c>
      <c r="F936">
        <v>0.69785245029193144</v>
      </c>
      <c r="G936">
        <v>0.72827524204425476</v>
      </c>
      <c r="H936" s="3">
        <v>380.30769307767349</v>
      </c>
      <c r="I936" s="3">
        <v>2.0996421191955793E-2</v>
      </c>
      <c r="J936" s="3">
        <v>1.9810365380721201E-3</v>
      </c>
      <c r="K936" s="1">
        <v>8.3194980893666788E-3</v>
      </c>
      <c r="L936" s="1">
        <v>-277.32084141161289</v>
      </c>
      <c r="M936" s="1">
        <v>-425.73134048222977</v>
      </c>
      <c r="N936" s="1">
        <v>-703.05218189384277</v>
      </c>
      <c r="O936" s="1">
        <v>-703.05218189384266</v>
      </c>
    </row>
    <row r="937" spans="2:15">
      <c r="B937">
        <v>929</v>
      </c>
      <c r="D937">
        <v>746.60598072522191</v>
      </c>
      <c r="E937">
        <v>1258.6103338774931</v>
      </c>
      <c r="F937">
        <v>0.67884620104511617</v>
      </c>
      <c r="G937">
        <v>0.71720570627577462</v>
      </c>
      <c r="H937" s="3">
        <v>420.88970803839851</v>
      </c>
      <c r="I937" s="3">
        <v>2.7035926653786947E-2</v>
      </c>
      <c r="J937" s="3">
        <v>5.9914412518670204E-3</v>
      </c>
      <c r="K937" s="1">
        <v>1.3006269719173662E-2</v>
      </c>
      <c r="L937" s="1">
        <v>-247.44878636954425</v>
      </c>
      <c r="M937" s="1">
        <v>-333.38266449813523</v>
      </c>
      <c r="N937" s="1">
        <v>-580.83145086767956</v>
      </c>
      <c r="O937" s="1">
        <v>-580.83145086767945</v>
      </c>
    </row>
    <row r="938" spans="2:15">
      <c r="B938">
        <v>930</v>
      </c>
      <c r="D938">
        <v>715.09374188931042</v>
      </c>
      <c r="E938">
        <v>1248.215338905213</v>
      </c>
      <c r="F938">
        <v>0.69284046764937579</v>
      </c>
      <c r="G938">
        <v>0.72514019178593614</v>
      </c>
      <c r="H938" s="3">
        <v>444.06480686198904</v>
      </c>
      <c r="I938" s="3">
        <v>2.3923845863503417E-2</v>
      </c>
      <c r="J938" s="3">
        <v>1.7206055204039665E-3</v>
      </c>
      <c r="K938" s="1">
        <v>9.1216856347704506E-3</v>
      </c>
      <c r="L938" s="1">
        <v>-297.25647892225265</v>
      </c>
      <c r="M938" s="1">
        <v>-466.34889883183814</v>
      </c>
      <c r="N938" s="1">
        <v>-763.6053777540908</v>
      </c>
      <c r="O938" s="1">
        <v>-763.6053777540908</v>
      </c>
    </row>
    <row r="939" spans="2:15">
      <c r="B939">
        <v>931</v>
      </c>
      <c r="D939">
        <v>924.74644326317048</v>
      </c>
      <c r="E939">
        <v>1402.2089143669473</v>
      </c>
      <c r="F939">
        <v>0.68798277016725895</v>
      </c>
      <c r="G939">
        <v>0.72764515536963958</v>
      </c>
      <c r="H939" s="3">
        <v>381.63654773462025</v>
      </c>
      <c r="I939" s="3">
        <v>2.7192527788672892E-2</v>
      </c>
      <c r="J939" s="3">
        <v>8.110700401941881E-3</v>
      </c>
      <c r="K939" s="1">
        <v>1.4471309530852216E-2</v>
      </c>
      <c r="L939" s="1">
        <v>-156.11946729040503</v>
      </c>
      <c r="M939" s="1">
        <v>-406.80146301920001</v>
      </c>
      <c r="N939" s="1">
        <v>-562.92093030960496</v>
      </c>
      <c r="O939" s="1">
        <v>-562.92093030960507</v>
      </c>
    </row>
    <row r="940" spans="2:15">
      <c r="B940">
        <v>932</v>
      </c>
      <c r="D940">
        <v>802.30155603854178</v>
      </c>
      <c r="E940">
        <v>1277.851615924694</v>
      </c>
      <c r="F940">
        <v>0.69969430544237321</v>
      </c>
      <c r="G940">
        <v>0.73585744095416616</v>
      </c>
      <c r="H940" s="3">
        <v>383.41830121208091</v>
      </c>
      <c r="I940" s="3">
        <v>2.5325648293913941E-2</v>
      </c>
      <c r="J940" s="3">
        <v>6.1547332333098947E-3</v>
      </c>
      <c r="K940" s="1">
        <v>1.2545038253511245E-2</v>
      </c>
      <c r="L940" s="1">
        <v>-134.11694689612455</v>
      </c>
      <c r="M940" s="1">
        <v>-296.64216580711565</v>
      </c>
      <c r="N940" s="1">
        <v>-430.75911270324013</v>
      </c>
      <c r="O940" s="1">
        <v>-430.75911270324019</v>
      </c>
    </row>
    <row r="941" spans="2:15">
      <c r="B941">
        <v>933</v>
      </c>
      <c r="D941">
        <v>865.71849671747248</v>
      </c>
      <c r="E941">
        <v>1356.8098069977057</v>
      </c>
      <c r="F941">
        <v>0.68801915384384027</v>
      </c>
      <c r="G941">
        <v>0.72280914874578639</v>
      </c>
      <c r="H941" s="3">
        <v>388.72903787108822</v>
      </c>
      <c r="I941" s="3">
        <v>2.3604470464375003E-2</v>
      </c>
      <c r="J941" s="3">
        <v>4.1680185708205947E-3</v>
      </c>
      <c r="K941" s="1">
        <v>1.0646835868672063E-2</v>
      </c>
      <c r="L941" s="1">
        <v>-393.39810030233321</v>
      </c>
      <c r="M941" s="1">
        <v>-269.57743132450173</v>
      </c>
      <c r="N941" s="1">
        <v>-662.97553162683494</v>
      </c>
      <c r="O941" s="1">
        <v>-662.97553162683494</v>
      </c>
    </row>
    <row r="942" spans="2:15">
      <c r="B942">
        <v>934</v>
      </c>
      <c r="D942">
        <v>793.76153050777259</v>
      </c>
      <c r="E942">
        <v>1300.7080298624314</v>
      </c>
      <c r="F942">
        <v>0.70329974611789448</v>
      </c>
      <c r="G942">
        <v>0.72848974210529116</v>
      </c>
      <c r="H942" s="3">
        <v>394.97654756664809</v>
      </c>
      <c r="I942" s="3">
        <v>1.6399929071538453E-2</v>
      </c>
      <c r="J942" s="3">
        <v>-3.3488983067939473E-3</v>
      </c>
      <c r="K942" s="1">
        <v>3.2340441526501843E-3</v>
      </c>
      <c r="L942" s="1">
        <v>-214.77111440158947</v>
      </c>
      <c r="M942" s="1">
        <v>-325.61620335532109</v>
      </c>
      <c r="N942" s="1">
        <v>-540.38731775691042</v>
      </c>
      <c r="O942" s="1">
        <v>-540.38731775691053</v>
      </c>
    </row>
    <row r="943" spans="2:15">
      <c r="B943">
        <v>935</v>
      </c>
      <c r="D943">
        <v>913.98248944237002</v>
      </c>
      <c r="E943">
        <v>1400.4855360320196</v>
      </c>
      <c r="F943">
        <v>0.69805342167136275</v>
      </c>
      <c r="G943">
        <v>0.72245238618107555</v>
      </c>
      <c r="H943" s="3">
        <v>399.2363914737939</v>
      </c>
      <c r="I943" s="3">
        <v>1.7390310477044413E-2</v>
      </c>
      <c r="J943" s="3">
        <v>-2.5715090966452817E-3</v>
      </c>
      <c r="K943" s="1">
        <v>4.082430761251284E-3</v>
      </c>
      <c r="L943" s="1">
        <v>-384.07979146239796</v>
      </c>
      <c r="M943" s="1">
        <v>-437.45602152707272</v>
      </c>
      <c r="N943" s="1">
        <v>-821.53581298947074</v>
      </c>
      <c r="O943" s="1">
        <v>-821.53581298947074</v>
      </c>
    </row>
    <row r="944" spans="2:15">
      <c r="B944">
        <v>936</v>
      </c>
      <c r="D944">
        <v>1036.3732015480196</v>
      </c>
      <c r="E944">
        <v>1496.8759416150133</v>
      </c>
      <c r="F944">
        <v>0.6909060835220755</v>
      </c>
      <c r="G944">
        <v>0.71869203171773155</v>
      </c>
      <c r="H944" s="3">
        <v>372.13045078887779</v>
      </c>
      <c r="I944" s="3">
        <v>1.8547311250901456E-2</v>
      </c>
      <c r="J944" s="3">
        <v>-5.9211288542432988E-5</v>
      </c>
      <c r="K944" s="1">
        <v>6.1429628912721967E-3</v>
      </c>
      <c r="L944" s="1">
        <v>-231.26473662223032</v>
      </c>
      <c r="M944" s="1">
        <v>-326.16857519307024</v>
      </c>
      <c r="N944" s="1">
        <v>-557.43331181530061</v>
      </c>
      <c r="O944" s="1">
        <v>-557.43331181530061</v>
      </c>
    </row>
    <row r="945" spans="2:15">
      <c r="B945">
        <v>937</v>
      </c>
      <c r="D945">
        <v>968.99014140330178</v>
      </c>
      <c r="E945">
        <v>1436.8462632040989</v>
      </c>
      <c r="F945">
        <v>0.69797040287802481</v>
      </c>
      <c r="G945">
        <v>0.73357714474685098</v>
      </c>
      <c r="H945" s="3">
        <v>391.6907156923175</v>
      </c>
      <c r="I945" s="3">
        <v>2.606154326222343E-2</v>
      </c>
      <c r="J945" s="3">
        <v>6.4770074776075576E-3</v>
      </c>
      <c r="K945" s="1">
        <v>1.3005186072479516E-2</v>
      </c>
      <c r="L945" s="1">
        <v>-213.87182892757784</v>
      </c>
      <c r="M945" s="1">
        <v>-397.80256057344457</v>
      </c>
      <c r="N945" s="1">
        <v>-611.67438950102246</v>
      </c>
      <c r="O945" s="1">
        <v>-611.67438950102246</v>
      </c>
    </row>
    <row r="946" spans="2:15">
      <c r="B946">
        <v>938</v>
      </c>
      <c r="D946">
        <v>954.91632125977139</v>
      </c>
      <c r="E946">
        <v>1440.6187604588058</v>
      </c>
      <c r="F946">
        <v>0.69475074843353335</v>
      </c>
      <c r="G946">
        <v>0.73097409716995354</v>
      </c>
      <c r="H946" s="3">
        <v>406.40202041131369</v>
      </c>
      <c r="I946" s="3">
        <v>2.7206379879232322E-2</v>
      </c>
      <c r="J946" s="3">
        <v>6.8862788586666369E-3</v>
      </c>
      <c r="K946" s="1">
        <v>1.3659645865521866E-2</v>
      </c>
      <c r="L946" s="1">
        <v>-362.23100527547479</v>
      </c>
      <c r="M946" s="1">
        <v>-373.32325472914556</v>
      </c>
      <c r="N946" s="1">
        <v>-735.55426000462035</v>
      </c>
      <c r="O946" s="1">
        <v>-735.55426000462035</v>
      </c>
    </row>
    <row r="947" spans="2:15">
      <c r="B947">
        <v>939</v>
      </c>
      <c r="D947">
        <v>1046.8730074574564</v>
      </c>
      <c r="E947">
        <v>1527.4208690058765</v>
      </c>
      <c r="F947">
        <v>0.69724910762761749</v>
      </c>
      <c r="G947">
        <v>0.72230083826512326</v>
      </c>
      <c r="H947" s="3">
        <v>408.25227542804885</v>
      </c>
      <c r="I947" s="3">
        <v>1.9354272071096495E-2</v>
      </c>
      <c r="J947" s="3">
        <v>-1.058341700305946E-3</v>
      </c>
      <c r="K947" s="1">
        <v>5.7458628901615339E-3</v>
      </c>
      <c r="L947" s="1">
        <v>-397.53227530447953</v>
      </c>
      <c r="M947" s="1">
        <v>-471.60272621248703</v>
      </c>
      <c r="N947" s="1">
        <v>-869.13500151696667</v>
      </c>
      <c r="O947" s="1">
        <v>-869.13500151696655</v>
      </c>
    </row>
    <row r="948" spans="2:15">
      <c r="B948">
        <v>940</v>
      </c>
      <c r="D948">
        <v>726.18894808868208</v>
      </c>
      <c r="E948">
        <v>1228.5476147214576</v>
      </c>
      <c r="F948">
        <v>0.69846342626730107</v>
      </c>
      <c r="G948">
        <v>0.72953625625958418</v>
      </c>
      <c r="H948" s="3">
        <v>403.97268371678717</v>
      </c>
      <c r="I948" s="3">
        <v>2.1626851101718528E-2</v>
      </c>
      <c r="J948" s="3">
        <v>1.4282169158791706E-3</v>
      </c>
      <c r="K948" s="1">
        <v>8.1610949778256232E-3</v>
      </c>
      <c r="L948" s="1">
        <v>-353.12196899984252</v>
      </c>
      <c r="M948" s="1">
        <v>-394.45472105327383</v>
      </c>
      <c r="N948" s="1">
        <v>-747.57669005311641</v>
      </c>
      <c r="O948" s="1">
        <v>-747.57669005311641</v>
      </c>
    </row>
    <row r="949" spans="2:15">
      <c r="B949">
        <v>941</v>
      </c>
      <c r="D949">
        <v>788.98987865416757</v>
      </c>
      <c r="E949">
        <v>1284.1158527320238</v>
      </c>
      <c r="F949">
        <v>0.69675807466167505</v>
      </c>
      <c r="G949">
        <v>0.72072732452624166</v>
      </c>
      <c r="H949" s="3">
        <v>406.30655477613686</v>
      </c>
      <c r="I949" s="3">
        <v>1.6990231889253405E-2</v>
      </c>
      <c r="J949" s="3">
        <v>-3.3250958495534381E-3</v>
      </c>
      <c r="K949" s="1">
        <v>3.4466800633821768E-3</v>
      </c>
      <c r="L949" s="1">
        <v>-263.89698699156355</v>
      </c>
      <c r="M949" s="1">
        <v>-310.2936982774911</v>
      </c>
      <c r="N949" s="1">
        <v>-574.19068526905471</v>
      </c>
      <c r="O949" s="1">
        <v>-574.19068526905471</v>
      </c>
    </row>
    <row r="950" spans="2:15">
      <c r="B950">
        <v>942</v>
      </c>
      <c r="D950">
        <v>812.40716542267091</v>
      </c>
      <c r="E950">
        <v>1307.2324604267617</v>
      </c>
      <c r="F950">
        <v>0.68536938194241326</v>
      </c>
      <c r="G950">
        <v>0.71702344412557717</v>
      </c>
      <c r="H950" s="3">
        <v>398.75678820462457</v>
      </c>
      <c r="I950" s="3">
        <v>2.1449977116355531E-2</v>
      </c>
      <c r="J950" s="3">
        <v>1.5121377061243016E-3</v>
      </c>
      <c r="K950" s="1">
        <v>8.1580841762013794E-3</v>
      </c>
      <c r="L950" s="1">
        <v>-87.706628168028033</v>
      </c>
      <c r="M950" s="1">
        <v>-340.80944843019978</v>
      </c>
      <c r="N950" s="1">
        <v>-428.51607659822776</v>
      </c>
      <c r="O950" s="1">
        <v>-428.51607659822781</v>
      </c>
    </row>
    <row r="951" spans="2:15">
      <c r="B951">
        <v>943</v>
      </c>
      <c r="D951">
        <v>715.94936312543143</v>
      </c>
      <c r="E951">
        <v>1192.4923149719532</v>
      </c>
      <c r="F951">
        <v>0.68812162883807726</v>
      </c>
      <c r="G951">
        <v>0.73777390942780197</v>
      </c>
      <c r="H951" s="3">
        <v>392.38624023834967</v>
      </c>
      <c r="I951" s="3">
        <v>3.5710940703534852E-2</v>
      </c>
      <c r="J951" s="3">
        <v>1.6091628691617364E-2</v>
      </c>
      <c r="K951" s="1">
        <v>2.2631399362256527E-2</v>
      </c>
      <c r="L951" s="1">
        <v>-111.11955291949099</v>
      </c>
      <c r="M951" s="1">
        <v>-391.62234111563924</v>
      </c>
      <c r="N951" s="1">
        <v>-502.74189403513014</v>
      </c>
      <c r="O951" s="1">
        <v>-502.74189403513026</v>
      </c>
    </row>
    <row r="952" spans="2:15">
      <c r="B952">
        <v>944</v>
      </c>
      <c r="D952">
        <v>1068.0643145819799</v>
      </c>
      <c r="E952">
        <v>1599.7923261444848</v>
      </c>
      <c r="F952">
        <v>0.69677389078542573</v>
      </c>
      <c r="G952">
        <v>0.72287648416894801</v>
      </c>
      <c r="H952" s="3">
        <v>421.2968583012335</v>
      </c>
      <c r="I952" s="3">
        <v>1.7941750260349106E-2</v>
      </c>
      <c r="J952" s="3">
        <v>-3.1230926547125698E-3</v>
      </c>
      <c r="K952" s="1">
        <v>3.89852165030799E-3</v>
      </c>
      <c r="L952" s="1">
        <v>-157.93043779953814</v>
      </c>
      <c r="M952" s="1">
        <v>-263.14284433216619</v>
      </c>
      <c r="N952" s="1">
        <v>-421.07328213170433</v>
      </c>
      <c r="O952" s="1">
        <v>-421.07328213170433</v>
      </c>
    </row>
    <row r="953" spans="2:15">
      <c r="B953">
        <v>945</v>
      </c>
      <c r="D953">
        <v>945.21888529461432</v>
      </c>
      <c r="E953">
        <v>1445.8330207598647</v>
      </c>
      <c r="F953">
        <v>0.69566173146097732</v>
      </c>
      <c r="G953">
        <v>0.72898270531589382</v>
      </c>
      <c r="H953" s="3">
        <v>408.31950710649841</v>
      </c>
      <c r="I953" s="3">
        <v>2.400405031197432E-2</v>
      </c>
      <c r="J953" s="3">
        <v>3.5880749566493987E-3</v>
      </c>
      <c r="K953" s="1">
        <v>1.0393400075091038E-2</v>
      </c>
      <c r="L953" s="1">
        <v>-212.49701809737437</v>
      </c>
      <c r="M953" s="1">
        <v>-406.62892919208548</v>
      </c>
      <c r="N953" s="1">
        <v>-619.12594728945987</v>
      </c>
      <c r="O953" s="1">
        <v>-619.12594728945987</v>
      </c>
    </row>
    <row r="954" spans="2:15">
      <c r="B954">
        <v>946</v>
      </c>
      <c r="D954">
        <v>929.21699291646416</v>
      </c>
      <c r="E954">
        <v>1415.6239826586452</v>
      </c>
      <c r="F954">
        <v>0.68941153920648879</v>
      </c>
      <c r="G954">
        <v>0.71238423250757521</v>
      </c>
      <c r="H954" s="3">
        <v>379.88101299964131</v>
      </c>
      <c r="I954" s="3">
        <v>1.5128829687054169E-2</v>
      </c>
      <c r="J954" s="3">
        <v>-3.8652209629278979E-3</v>
      </c>
      <c r="K954" s="1">
        <v>2.4661292537327909E-3</v>
      </c>
      <c r="L954" s="1">
        <v>-163.97916808718907</v>
      </c>
      <c r="M954" s="1">
        <v>-231.88803365032751</v>
      </c>
      <c r="N954" s="1">
        <v>-395.86720173751655</v>
      </c>
      <c r="O954" s="1">
        <v>-395.86720173751655</v>
      </c>
    </row>
    <row r="955" spans="2:15">
      <c r="B955">
        <v>947</v>
      </c>
      <c r="D955">
        <v>981.9435873378244</v>
      </c>
      <c r="E955">
        <v>1467.594950251631</v>
      </c>
      <c r="F955">
        <v>0.68845411568083437</v>
      </c>
      <c r="G955">
        <v>0.71878691028887021</v>
      </c>
      <c r="H955" s="3">
        <v>388.72443465745437</v>
      </c>
      <c r="I955" s="3">
        <v>2.1345705012656646E-2</v>
      </c>
      <c r="J955" s="3">
        <v>1.9094832797839252E-3</v>
      </c>
      <c r="K955" s="1">
        <v>8.3882238574081655E-3</v>
      </c>
      <c r="L955" s="1">
        <v>-155.83682942205496</v>
      </c>
      <c r="M955" s="1">
        <v>-334.6169860793126</v>
      </c>
      <c r="N955" s="1">
        <v>-490.45381550136744</v>
      </c>
      <c r="O955" s="1">
        <v>-490.45381550136756</v>
      </c>
    </row>
    <row r="956" spans="2:15">
      <c r="B956">
        <v>948</v>
      </c>
      <c r="D956">
        <v>1110.0508558289052</v>
      </c>
      <c r="E956">
        <v>1618.9393378900784</v>
      </c>
      <c r="F956">
        <v>0.69278123206737496</v>
      </c>
      <c r="G956">
        <v>0.71866356536876796</v>
      </c>
      <c r="H956" s="3">
        <v>420.8222007858194</v>
      </c>
      <c r="I956" s="3">
        <v>1.8529070237546671E-2</v>
      </c>
      <c r="J956" s="3">
        <v>-2.5120398017443001E-3</v>
      </c>
      <c r="K956" s="1">
        <v>4.5016635446860249E-3</v>
      </c>
      <c r="L956" s="1">
        <v>-305.25638043316167</v>
      </c>
      <c r="M956" s="1">
        <v>-289.90107320740435</v>
      </c>
      <c r="N956" s="1">
        <v>-595.1574536405659</v>
      </c>
      <c r="O956" s="1">
        <v>-595.15745364056602</v>
      </c>
    </row>
    <row r="957" spans="2:15">
      <c r="B957">
        <v>949</v>
      </c>
      <c r="D957">
        <v>954.35928767456676</v>
      </c>
      <c r="E957">
        <v>1411.0969859255745</v>
      </c>
      <c r="F957">
        <v>0.68744085361021667</v>
      </c>
      <c r="G957">
        <v>0.72874502228298155</v>
      </c>
      <c r="H957" s="3">
        <v>376.07377503901182</v>
      </c>
      <c r="I957" s="3">
        <v>2.984414091665569E-2</v>
      </c>
      <c r="J957" s="3">
        <v>1.1040452164705099E-2</v>
      </c>
      <c r="K957" s="1">
        <v>1.7308348415355296E-2</v>
      </c>
      <c r="L957" s="1">
        <v>-267.73870098277717</v>
      </c>
      <c r="M957" s="1">
        <v>-186.14823353854212</v>
      </c>
      <c r="N957" s="1">
        <v>-453.88693452131923</v>
      </c>
      <c r="O957" s="1">
        <v>-453.88693452131929</v>
      </c>
    </row>
    <row r="958" spans="2:15">
      <c r="B958">
        <v>950</v>
      </c>
      <c r="D958">
        <v>795.17562520106708</v>
      </c>
      <c r="E958">
        <v>1282.9133527783915</v>
      </c>
      <c r="F958">
        <v>0.70161343987620894</v>
      </c>
      <c r="G958">
        <v>0.73470283652894997</v>
      </c>
      <c r="H958" s="3">
        <v>402.3666011769634</v>
      </c>
      <c r="I958" s="3">
        <v>2.3952758262585493E-2</v>
      </c>
      <c r="J958" s="3">
        <v>3.8344282037373195E-3</v>
      </c>
      <c r="K958" s="1">
        <v>1.0540538223353378E-2</v>
      </c>
      <c r="L958" s="1">
        <v>-446.47775319348318</v>
      </c>
      <c r="M958" s="1">
        <v>-402.31884958811111</v>
      </c>
      <c r="N958" s="1">
        <v>-848.7966027815944</v>
      </c>
      <c r="O958" s="1">
        <v>-848.79660278159429</v>
      </c>
    </row>
    <row r="959" spans="2:15">
      <c r="B959">
        <v>951</v>
      </c>
      <c r="D959">
        <v>1124.8525774911402</v>
      </c>
      <c r="E959">
        <v>1598.7590699773045</v>
      </c>
      <c r="F959">
        <v>0.69665802549129441</v>
      </c>
      <c r="G959">
        <v>0.72860272783653868</v>
      </c>
      <c r="H959" s="3">
        <v>372.29761062139778</v>
      </c>
      <c r="I959" s="3">
        <v>2.1261293178682195E-2</v>
      </c>
      <c r="J959" s="3">
        <v>2.6464126476123014E-3</v>
      </c>
      <c r="K959" s="1">
        <v>8.8513728246356008E-3</v>
      </c>
      <c r="L959" s="1">
        <v>-357.63787907212031</v>
      </c>
      <c r="M959" s="1">
        <v>-185.36096459683694</v>
      </c>
      <c r="N959" s="1">
        <v>-542.99884366895731</v>
      </c>
      <c r="O959" s="1">
        <v>-542.99884366895731</v>
      </c>
    </row>
    <row r="960" spans="2:15">
      <c r="B960">
        <v>952</v>
      </c>
      <c r="D960">
        <v>884.87339789196915</v>
      </c>
      <c r="E960">
        <v>1372.4002935518149</v>
      </c>
      <c r="F960">
        <v>0.69645713818865151</v>
      </c>
      <c r="G960">
        <v>0.72418888181724705</v>
      </c>
      <c r="H960" s="3">
        <v>396.76622196034356</v>
      </c>
      <c r="I960" s="3">
        <v>1.9276773587994418E-2</v>
      </c>
      <c r="J960" s="3">
        <v>-5.6153751002276445E-4</v>
      </c>
      <c r="K960" s="1">
        <v>6.0512328559829635E-3</v>
      </c>
      <c r="L960" s="1">
        <v>-383.46158746116055</v>
      </c>
      <c r="M960" s="1">
        <v>-350.9902084874339</v>
      </c>
      <c r="N960" s="1">
        <v>-734.45179594859451</v>
      </c>
      <c r="O960" s="1">
        <v>-734.45179594859451</v>
      </c>
    </row>
    <row r="961" spans="2:15">
      <c r="B961">
        <v>953</v>
      </c>
      <c r="D961">
        <v>776.63450081139558</v>
      </c>
      <c r="E961">
        <v>1242.629744002495</v>
      </c>
      <c r="F961">
        <v>0.69572211591334965</v>
      </c>
      <c r="G961">
        <v>0.72328585163252646</v>
      </c>
      <c r="H961" s="3">
        <v>362.05362333469145</v>
      </c>
      <c r="I961" s="3">
        <v>1.8998380344175655E-2</v>
      </c>
      <c r="J961" s="3">
        <v>8.9569917744108246E-4</v>
      </c>
      <c r="K961" s="1">
        <v>6.9299262330192735E-3</v>
      </c>
      <c r="L961" s="1">
        <v>-248.90907170964422</v>
      </c>
      <c r="M961" s="1">
        <v>-317.97023357190255</v>
      </c>
      <c r="N961" s="1">
        <v>-566.87930528154675</v>
      </c>
      <c r="O961" s="1">
        <v>-566.87930528154675</v>
      </c>
    </row>
    <row r="962" spans="2:15">
      <c r="B962">
        <v>954</v>
      </c>
      <c r="D962">
        <v>920.16919778217709</v>
      </c>
      <c r="E962">
        <v>1416.3718837060153</v>
      </c>
      <c r="F962">
        <v>0.69538750237394409</v>
      </c>
      <c r="G962">
        <v>0.71450014366984294</v>
      </c>
      <c r="H962" s="3">
        <v>405.42738500069561</v>
      </c>
      <c r="I962" s="3">
        <v>1.3926767420314474E-2</v>
      </c>
      <c r="J962" s="3">
        <v>-6.3446018297203081E-3</v>
      </c>
      <c r="K962" s="1">
        <v>4.1252125362462033E-4</v>
      </c>
      <c r="L962" s="1">
        <v>-256.54499254358836</v>
      </c>
      <c r="M962" s="1">
        <v>-453.05049401456671</v>
      </c>
      <c r="N962" s="1">
        <v>-709.59548655815502</v>
      </c>
      <c r="O962" s="1">
        <v>-709.59548655815502</v>
      </c>
    </row>
    <row r="963" spans="2:15">
      <c r="B963">
        <v>955</v>
      </c>
      <c r="D963">
        <v>849.16797069529946</v>
      </c>
      <c r="E963">
        <v>1371.606359330166</v>
      </c>
      <c r="F963">
        <v>0.67823870104299178</v>
      </c>
      <c r="G963">
        <v>0.71578659216911622</v>
      </c>
      <c r="H963" s="3">
        <v>437.49553141324259</v>
      </c>
      <c r="I963" s="3">
        <v>2.7050164329765175E-2</v>
      </c>
      <c r="J963" s="3">
        <v>5.1753877591030444E-3</v>
      </c>
      <c r="K963" s="1">
        <v>1.2466979949323755E-2</v>
      </c>
      <c r="L963" s="1">
        <v>-213.81939140847931</v>
      </c>
      <c r="M963" s="1">
        <v>-188.3795211196113</v>
      </c>
      <c r="N963" s="1">
        <v>-402.1989125280906</v>
      </c>
      <c r="O963" s="1">
        <v>-402.1989125280906</v>
      </c>
    </row>
    <row r="964" spans="2:15">
      <c r="B964">
        <v>956</v>
      </c>
      <c r="D964">
        <v>821.95024364025835</v>
      </c>
      <c r="E964">
        <v>1276.6529306548885</v>
      </c>
      <c r="F964">
        <v>0.68507164726288527</v>
      </c>
      <c r="G964">
        <v>0.72837132303626362</v>
      </c>
      <c r="H964" s="3">
        <v>363.35308780171442</v>
      </c>
      <c r="I964" s="3">
        <v>2.9593312901225785E-2</v>
      </c>
      <c r="J964" s="3">
        <v>1.1425658511140063E-2</v>
      </c>
      <c r="K964" s="1">
        <v>1.7481543307835301E-2</v>
      </c>
      <c r="L964" s="1">
        <v>-397.10388195170037</v>
      </c>
      <c r="M964" s="1">
        <v>-358.47218608629953</v>
      </c>
      <c r="N964" s="1">
        <v>-755.57606803799979</v>
      </c>
      <c r="O964" s="1">
        <v>-755.5760680379999</v>
      </c>
    </row>
    <row r="965" spans="2:15">
      <c r="B965">
        <v>957</v>
      </c>
      <c r="D965">
        <v>817.58786360139641</v>
      </c>
      <c r="E965">
        <v>1332.4478488920672</v>
      </c>
      <c r="F965">
        <v>0.68942284425422651</v>
      </c>
      <c r="G965">
        <v>0.72147469820315402</v>
      </c>
      <c r="H965" s="3">
        <v>416.89590192622245</v>
      </c>
      <c r="I965" s="3">
        <v>2.2984767876019919E-2</v>
      </c>
      <c r="J965" s="3">
        <v>2.1399727797087979E-3</v>
      </c>
      <c r="K965" s="1">
        <v>9.0882378118125051E-3</v>
      </c>
      <c r="L965" s="1">
        <v>-67.339164066373115</v>
      </c>
      <c r="M965" s="1">
        <v>-472.11196705061383</v>
      </c>
      <c r="N965" s="1">
        <v>-539.45113111698697</v>
      </c>
      <c r="O965" s="1">
        <v>-539.45113111698697</v>
      </c>
    </row>
    <row r="966" spans="2:15">
      <c r="B966">
        <v>958</v>
      </c>
      <c r="D966">
        <v>882.70421804259252</v>
      </c>
      <c r="E966">
        <v>1386.2723453016247</v>
      </c>
      <c r="F966">
        <v>0.68962502897251909</v>
      </c>
      <c r="G966">
        <v>0.73234939350962924</v>
      </c>
      <c r="H966" s="3">
        <v>423.45948574271324</v>
      </c>
      <c r="I966" s="3">
        <v>3.1745279012790242E-2</v>
      </c>
      <c r="J966" s="3">
        <v>1.0572304725654579E-2</v>
      </c>
      <c r="K966" s="1">
        <v>1.7629962821366467E-2</v>
      </c>
      <c r="L966" s="1">
        <v>-289.6764016302165</v>
      </c>
      <c r="M966" s="1">
        <v>-347.04023754408405</v>
      </c>
      <c r="N966" s="1">
        <v>-636.71663917430055</v>
      </c>
      <c r="O966" s="1">
        <v>-636.71663917430055</v>
      </c>
    </row>
    <row r="967" spans="2:15">
      <c r="B967">
        <v>959</v>
      </c>
      <c r="D967">
        <v>893.29438024547972</v>
      </c>
      <c r="E967">
        <v>1372.43930990077</v>
      </c>
      <c r="F967">
        <v>0.69234138582035309</v>
      </c>
      <c r="G967">
        <v>0.72761100989407057</v>
      </c>
      <c r="H967" s="3">
        <v>399.07275752788939</v>
      </c>
      <c r="I967" s="3">
        <v>2.6789504218446555E-2</v>
      </c>
      <c r="J967" s="3">
        <v>6.835866342052084E-3</v>
      </c>
      <c r="K967" s="1">
        <v>1.3487078967516908E-2</v>
      </c>
      <c r="L967" s="1">
        <v>-307.82670418674314</v>
      </c>
      <c r="M967" s="1">
        <v>-274.48982289250768</v>
      </c>
      <c r="N967" s="1">
        <v>-582.31652707925082</v>
      </c>
      <c r="O967" s="1">
        <v>-582.31652707925082</v>
      </c>
    </row>
    <row r="968" spans="2:15">
      <c r="B968">
        <v>960</v>
      </c>
      <c r="D968">
        <v>1039.9902414378253</v>
      </c>
      <c r="E968">
        <v>1510.4671726058687</v>
      </c>
      <c r="F968">
        <v>0.69269971007955999</v>
      </c>
      <c r="G968">
        <v>0.7224461015479009</v>
      </c>
      <c r="H968" s="3">
        <v>384.04651075700281</v>
      </c>
      <c r="I968" s="3">
        <v>2.0919571533889708E-2</v>
      </c>
      <c r="J968" s="3">
        <v>1.7172459960395695E-3</v>
      </c>
      <c r="K968" s="1">
        <v>8.1180211753229484E-3</v>
      </c>
      <c r="L968" s="1">
        <v>-262.36928677202081</v>
      </c>
      <c r="M968" s="1">
        <v>-450.80177888931354</v>
      </c>
      <c r="N968" s="1">
        <v>-713.1710656613343</v>
      </c>
      <c r="O968" s="1">
        <v>-713.1710656613343</v>
      </c>
    </row>
    <row r="969" spans="2:15">
      <c r="B969">
        <v>961</v>
      </c>
      <c r="D969">
        <v>731.3392201588016</v>
      </c>
      <c r="E969">
        <v>1231.7771242928659</v>
      </c>
      <c r="F969">
        <v>0.68269783555426322</v>
      </c>
      <c r="G969">
        <v>0.72341995151540905</v>
      </c>
      <c r="H969" s="3">
        <v>408.47314772671729</v>
      </c>
      <c r="I969" s="3">
        <v>2.901137276416782E-2</v>
      </c>
      <c r="J969" s="3">
        <v>8.5877153778319559E-3</v>
      </c>
      <c r="K969" s="1">
        <v>1.5395601173277243E-2</v>
      </c>
      <c r="L969" s="1">
        <v>-249.60285745279577</v>
      </c>
      <c r="M969" s="1">
        <v>-383.58722367891562</v>
      </c>
      <c r="N969" s="1">
        <v>-633.19008113171139</v>
      </c>
      <c r="O969" s="1">
        <v>-633.19008113171139</v>
      </c>
    </row>
    <row r="970" spans="2:15">
      <c r="B970">
        <v>962</v>
      </c>
      <c r="D970">
        <v>983.78228738671658</v>
      </c>
      <c r="E970">
        <v>1475.3021236809166</v>
      </c>
      <c r="F970">
        <v>0.69665415033473621</v>
      </c>
      <c r="G970">
        <v>0.72351949914363078</v>
      </c>
      <c r="H970" s="3">
        <v>408.77618648847744</v>
      </c>
      <c r="I970" s="3">
        <v>1.998988975141025E-2</v>
      </c>
      <c r="J970" s="3">
        <v>-4.4891957301362168E-4</v>
      </c>
      <c r="K970" s="1">
        <v>6.3640168684610029E-3</v>
      </c>
      <c r="L970" s="1">
        <v>-255.61932370674862</v>
      </c>
      <c r="M970" s="1">
        <v>-352.53489456560982</v>
      </c>
      <c r="N970" s="1">
        <v>-608.15421827235832</v>
      </c>
      <c r="O970" s="1">
        <v>-608.15421827235843</v>
      </c>
    </row>
    <row r="971" spans="2:15">
      <c r="B971">
        <v>963</v>
      </c>
      <c r="D971">
        <v>742.39367609222745</v>
      </c>
      <c r="E971">
        <v>1217.0258202624686</v>
      </c>
      <c r="F971">
        <v>0.69234984236164054</v>
      </c>
      <c r="G971">
        <v>0.72998343124983156</v>
      </c>
      <c r="H971" s="3">
        <v>378.72546820990982</v>
      </c>
      <c r="I971" s="3">
        <v>2.576637195551269E-2</v>
      </c>
      <c r="J971" s="3">
        <v>6.8300985450171978E-3</v>
      </c>
      <c r="K971" s="1">
        <v>1.3142189681849029E-2</v>
      </c>
      <c r="L971" s="1">
        <v>-256.050150366791</v>
      </c>
      <c r="M971" s="1">
        <v>-320.32279509510352</v>
      </c>
      <c r="N971" s="1">
        <v>-576.37294546189457</v>
      </c>
      <c r="O971" s="1">
        <v>-576.37294546189446</v>
      </c>
    </row>
    <row r="972" spans="2:15">
      <c r="B972">
        <v>964</v>
      </c>
      <c r="D972">
        <v>936.16067400905672</v>
      </c>
      <c r="E972">
        <v>1424.0595631390495</v>
      </c>
      <c r="F972">
        <v>0.68392849052874305</v>
      </c>
      <c r="G972">
        <v>0.71527598519699442</v>
      </c>
      <c r="H972" s="3">
        <v>383.32598216375283</v>
      </c>
      <c r="I972" s="3">
        <v>2.1377870569130732E-2</v>
      </c>
      <c r="J972" s="3">
        <v>2.2115714609430917E-3</v>
      </c>
      <c r="K972" s="1">
        <v>8.6003378303389708E-3</v>
      </c>
      <c r="L972" s="1">
        <v>-332.21442682637934</v>
      </c>
      <c r="M972" s="1">
        <v>-278.63687714093498</v>
      </c>
      <c r="N972" s="1">
        <v>-610.85130396731438</v>
      </c>
      <c r="O972" s="1">
        <v>-610.85130396731438</v>
      </c>
    </row>
    <row r="973" spans="2:15">
      <c r="B973">
        <v>965</v>
      </c>
      <c r="D973">
        <v>976.18078313326816</v>
      </c>
      <c r="E973">
        <v>1448.5807707348031</v>
      </c>
      <c r="F973">
        <v>0.70266398742915093</v>
      </c>
      <c r="G973">
        <v>0.74053958900972428</v>
      </c>
      <c r="H973" s="3">
        <v>390.65350721533935</v>
      </c>
      <c r="I973" s="3">
        <v>2.7617718112925446E-2</v>
      </c>
      <c r="J973" s="3">
        <v>8.0850427521584785E-3</v>
      </c>
      <c r="K973" s="1">
        <v>1.4595934539080802E-2</v>
      </c>
      <c r="L973" s="1">
        <v>69.546692212337604</v>
      </c>
      <c r="M973" s="1">
        <v>-442.85169598341116</v>
      </c>
      <c r="N973" s="1">
        <v>-373.30500377107353</v>
      </c>
      <c r="O973" s="1">
        <v>-373.30500377107353</v>
      </c>
    </row>
    <row r="974" spans="2:15">
      <c r="B974">
        <v>966</v>
      </c>
      <c r="D974">
        <v>890.15818087663865</v>
      </c>
      <c r="E974">
        <v>1394.6837721674974</v>
      </c>
      <c r="F974">
        <v>0.6864037826592948</v>
      </c>
      <c r="G974">
        <v>0.72866104381145302</v>
      </c>
      <c r="H974" s="3">
        <v>403.03338644011211</v>
      </c>
      <c r="I974" s="3">
        <v>2.8622073871207208E-2</v>
      </c>
      <c r="J974" s="3">
        <v>8.4704045492016017E-3</v>
      </c>
      <c r="K974" s="1">
        <v>1.5187627656536805E-2</v>
      </c>
      <c r="L974" s="1">
        <v>-449.14036139098079</v>
      </c>
      <c r="M974" s="1">
        <v>-319.76672874563405</v>
      </c>
      <c r="N974" s="1">
        <v>-768.90709013661478</v>
      </c>
      <c r="O974" s="1">
        <v>-768.9070901366149</v>
      </c>
    </row>
    <row r="975" spans="2:15">
      <c r="B975">
        <v>967</v>
      </c>
      <c r="D975">
        <v>793.82581652509441</v>
      </c>
      <c r="E975">
        <v>1292.0487726622769</v>
      </c>
      <c r="F975">
        <v>0.68927104069296652</v>
      </c>
      <c r="G975">
        <v>0.72592832967839149</v>
      </c>
      <c r="H975" s="3">
        <v>399.8180308470578</v>
      </c>
      <c r="I975" s="3">
        <v>2.6130631561661104E-2</v>
      </c>
      <c r="J975" s="3">
        <v>6.1397300193082142E-3</v>
      </c>
      <c r="K975" s="1">
        <v>1.2803363866759178E-2</v>
      </c>
      <c r="L975" s="1">
        <v>-439.5623870335491</v>
      </c>
      <c r="M975" s="1">
        <v>-255.40315389385688</v>
      </c>
      <c r="N975" s="1">
        <v>-694.96554092740598</v>
      </c>
      <c r="O975" s="1">
        <v>-694.96554092740598</v>
      </c>
    </row>
    <row r="976" spans="2:15">
      <c r="B976">
        <v>968</v>
      </c>
      <c r="D976">
        <v>981.35999532355254</v>
      </c>
      <c r="E976">
        <v>1467.567426887286</v>
      </c>
      <c r="F976">
        <v>0.69235569064623503</v>
      </c>
      <c r="G976">
        <v>0.72748310062167199</v>
      </c>
      <c r="H976" s="3">
        <v>398.93168832886676</v>
      </c>
      <c r="I976" s="3">
        <v>2.5194530287026663E-2</v>
      </c>
      <c r="J976" s="3">
        <v>5.2479458705833211E-3</v>
      </c>
      <c r="K976" s="1">
        <v>1.1896807342731103E-2</v>
      </c>
      <c r="L976" s="1">
        <v>-165.46456464118495</v>
      </c>
      <c r="M976" s="1">
        <v>-383.2385633821433</v>
      </c>
      <c r="N976" s="1">
        <v>-548.70312802332819</v>
      </c>
      <c r="O976" s="1">
        <v>-548.70312802332819</v>
      </c>
    </row>
    <row r="977" spans="2:15">
      <c r="B977">
        <v>969</v>
      </c>
      <c r="D977">
        <v>753.79203593681996</v>
      </c>
      <c r="E977">
        <v>1263.2902278733095</v>
      </c>
      <c r="F977">
        <v>0.67836216893876444</v>
      </c>
      <c r="G977">
        <v>0.72087336772382093</v>
      </c>
      <c r="H977" s="3">
        <v>417.16506711515711</v>
      </c>
      <c r="I977" s="3">
        <v>3.03097024633056E-2</v>
      </c>
      <c r="J977" s="3">
        <v>9.4514491075477422E-3</v>
      </c>
      <c r="K977" s="1">
        <v>1.6404200226133696E-2</v>
      </c>
      <c r="L977" s="1">
        <v>-316.67117898942683</v>
      </c>
      <c r="M977" s="1">
        <v>-259.12649144933192</v>
      </c>
      <c r="N977" s="1">
        <v>-575.7976704387587</v>
      </c>
      <c r="O977" s="1">
        <v>-575.79767043875881</v>
      </c>
    </row>
    <row r="978" spans="2:15">
      <c r="B978">
        <v>970</v>
      </c>
      <c r="D978">
        <v>826.01483993710519</v>
      </c>
      <c r="E978">
        <v>1332.3469936361082</v>
      </c>
      <c r="F978">
        <v>0.69408159020188043</v>
      </c>
      <c r="G978">
        <v>0.740553227500926</v>
      </c>
      <c r="H978" s="3">
        <v>412.22223052363864</v>
      </c>
      <c r="I978" s="3">
        <v>3.1744471779275939E-2</v>
      </c>
      <c r="J978" s="3">
        <v>1.1133360253094006E-2</v>
      </c>
      <c r="K978" s="1">
        <v>1.8003730761821317E-2</v>
      </c>
      <c r="L978" s="1">
        <v>-162.14206352351556</v>
      </c>
      <c r="M978" s="1">
        <v>-283.93032287976501</v>
      </c>
      <c r="N978" s="1">
        <v>-446.07238640328057</v>
      </c>
      <c r="O978" s="1">
        <v>-446.07238640328057</v>
      </c>
    </row>
    <row r="979" spans="2:15">
      <c r="B979">
        <v>971</v>
      </c>
      <c r="D979">
        <v>891.4488927460128</v>
      </c>
      <c r="E979">
        <v>1382.3538516844271</v>
      </c>
      <c r="F979">
        <v>0.68817284699020664</v>
      </c>
      <c r="G979">
        <v>0.72419633857538068</v>
      </c>
      <c r="H979" s="3">
        <v>411.66596614263926</v>
      </c>
      <c r="I979" s="3">
        <v>2.7420850328316437E-2</v>
      </c>
      <c r="J979" s="3">
        <v>6.8375520211844745E-3</v>
      </c>
      <c r="K979" s="1">
        <v>1.3698651456895129E-2</v>
      </c>
      <c r="L979" s="1">
        <v>-221.26771917861723</v>
      </c>
      <c r="M979" s="1">
        <v>-339.94697183728903</v>
      </c>
      <c r="N979" s="1">
        <v>-561.21469101590628</v>
      </c>
      <c r="O979" s="1">
        <v>-561.21469101590628</v>
      </c>
    </row>
    <row r="980" spans="2:15">
      <c r="B980">
        <v>972</v>
      </c>
      <c r="D980">
        <v>926.40150920923247</v>
      </c>
      <c r="E980">
        <v>1392.6370830154704</v>
      </c>
      <c r="F980">
        <v>0.68432334688986307</v>
      </c>
      <c r="G980">
        <v>0.72744953918764532</v>
      </c>
      <c r="H980" s="3">
        <v>369.76697107528355</v>
      </c>
      <c r="I980" s="3">
        <v>2.9134333674425236E-2</v>
      </c>
      <c r="J980" s="3">
        <v>1.0645985120661058E-2</v>
      </c>
      <c r="K980" s="1">
        <v>1.6808767971915786E-2</v>
      </c>
      <c r="L980" s="1">
        <v>-308.42388909311165</v>
      </c>
      <c r="M980" s="1">
        <v>-252.91258535987822</v>
      </c>
      <c r="N980" s="1">
        <v>-561.33647445298993</v>
      </c>
      <c r="O980" s="1">
        <v>-561.33647445298993</v>
      </c>
    </row>
    <row r="981" spans="2:15">
      <c r="B981">
        <v>973</v>
      </c>
      <c r="D981">
        <v>809.36488724954268</v>
      </c>
      <c r="E981">
        <v>1300.3145005972126</v>
      </c>
      <c r="F981">
        <v>0.69559033007556348</v>
      </c>
      <c r="G981">
        <v>0.72655639173067277</v>
      </c>
      <c r="H981" s="3">
        <v>378.41684477826993</v>
      </c>
      <c r="I981" s="3">
        <v>2.0087406960141174E-2</v>
      </c>
      <c r="J981" s="3">
        <v>1.1665647212276767E-3</v>
      </c>
      <c r="K981" s="1">
        <v>7.4735121341988429E-3</v>
      </c>
      <c r="L981" s="1">
        <v>-75.637309682333907</v>
      </c>
      <c r="M981" s="1">
        <v>-282.84921838016061</v>
      </c>
      <c r="N981" s="1">
        <v>-358.48652806249447</v>
      </c>
      <c r="O981" s="1">
        <v>-358.48652806249453</v>
      </c>
    </row>
    <row r="982" spans="2:15">
      <c r="B982">
        <v>974</v>
      </c>
      <c r="D982">
        <v>817.55378057326652</v>
      </c>
      <c r="E982">
        <v>1325.241830909742</v>
      </c>
      <c r="F982">
        <v>0.69207342152722406</v>
      </c>
      <c r="G982">
        <v>0.73072976621143604</v>
      </c>
      <c r="H982" s="3">
        <v>408.23012672325973</v>
      </c>
      <c r="I982" s="3">
        <v>2.7213412171269571E-2</v>
      </c>
      <c r="J982" s="3">
        <v>6.801905835106585E-3</v>
      </c>
      <c r="K982" s="1">
        <v>1.3605741280494247E-2</v>
      </c>
      <c r="L982" s="1">
        <v>-271.28591479450535</v>
      </c>
      <c r="M982" s="1">
        <v>-292.89354980697959</v>
      </c>
      <c r="N982" s="1">
        <v>-564.17946460148505</v>
      </c>
      <c r="O982" s="1">
        <v>-564.17946460148494</v>
      </c>
    </row>
    <row r="983" spans="2:15">
      <c r="B983">
        <v>975</v>
      </c>
      <c r="D983">
        <v>885.79330534571272</v>
      </c>
      <c r="E983">
        <v>1363.2707387216215</v>
      </c>
      <c r="F983">
        <v>0.69513854415948573</v>
      </c>
      <c r="G983">
        <v>0.73144548740603477</v>
      </c>
      <c r="H983" s="3">
        <v>391.54259185984063</v>
      </c>
      <c r="I983" s="3">
        <v>2.5260085334360975E-2</v>
      </c>
      <c r="J983" s="3">
        <v>5.6829557413689419E-3</v>
      </c>
      <c r="K983" s="1">
        <v>1.2208665605699618E-2</v>
      </c>
      <c r="L983" s="1">
        <v>-406.43484904476321</v>
      </c>
      <c r="M983" s="1">
        <v>-310.48709885953576</v>
      </c>
      <c r="N983" s="1">
        <v>-716.92194790429903</v>
      </c>
      <c r="O983" s="1">
        <v>-716.92194790429903</v>
      </c>
    </row>
    <row r="984" spans="2:15">
      <c r="B984">
        <v>976</v>
      </c>
      <c r="D984">
        <v>1045.8422973651743</v>
      </c>
      <c r="E984">
        <v>1554.7894674407457</v>
      </c>
      <c r="F984">
        <v>0.69123297953971696</v>
      </c>
      <c r="G984">
        <v>0.7141858021584675</v>
      </c>
      <c r="H984" s="3">
        <v>417.30619445645868</v>
      </c>
      <c r="I984" s="3">
        <v>1.5930866116928122E-2</v>
      </c>
      <c r="J984" s="3">
        <v>-4.9344436058948137E-3</v>
      </c>
      <c r="K984" s="1">
        <v>2.020659635046166E-3</v>
      </c>
      <c r="L984" s="1">
        <v>-364.0530805449938</v>
      </c>
      <c r="M984" s="1">
        <v>-334.53693711838753</v>
      </c>
      <c r="N984" s="1">
        <v>-698.59001766338133</v>
      </c>
      <c r="O984" s="1">
        <v>-698.59001766338133</v>
      </c>
    </row>
    <row r="985" spans="2:15">
      <c r="B985">
        <v>977</v>
      </c>
      <c r="D985">
        <v>804.14695918223879</v>
      </c>
      <c r="E985">
        <v>1295.1809329481762</v>
      </c>
      <c r="F985">
        <v>0.70255742140492961</v>
      </c>
      <c r="G985">
        <v>0.720153755672162</v>
      </c>
      <c r="H985" s="3">
        <v>395.98487870634136</v>
      </c>
      <c r="I985" s="3">
        <v>1.2225031341818326E-2</v>
      </c>
      <c r="J985" s="3">
        <v>-7.5742125934987418E-3</v>
      </c>
      <c r="K985" s="1">
        <v>-9.7446461505971971E-4</v>
      </c>
      <c r="L985" s="1">
        <v>-173.2994554729471</v>
      </c>
      <c r="M985" s="1">
        <v>-385.78639413519903</v>
      </c>
      <c r="N985" s="1">
        <v>-559.08584960814619</v>
      </c>
      <c r="O985" s="1">
        <v>-559.08584960814619</v>
      </c>
    </row>
    <row r="986" spans="2:15">
      <c r="B986">
        <v>978</v>
      </c>
      <c r="D986">
        <v>1159.4224794389743</v>
      </c>
      <c r="E986">
        <v>1647.720681008554</v>
      </c>
      <c r="F986">
        <v>0.6929443194967867</v>
      </c>
      <c r="G986">
        <v>0.73528865116918107</v>
      </c>
      <c r="H986" s="3">
        <v>400.93801873519908</v>
      </c>
      <c r="I986" s="3">
        <v>3.0046716429000721E-2</v>
      </c>
      <c r="J986" s="3">
        <v>9.9998154922407677E-3</v>
      </c>
      <c r="K986" s="1">
        <v>1.6682115804494087E-2</v>
      </c>
      <c r="L986" s="1">
        <v>-306.5150634871207</v>
      </c>
      <c r="M986" s="1">
        <v>-436.8590645548893</v>
      </c>
      <c r="N986" s="1">
        <v>-743.37412804201006</v>
      </c>
      <c r="O986" s="1">
        <v>-743.37412804200994</v>
      </c>
    </row>
    <row r="987" spans="2:15">
      <c r="B987">
        <v>979</v>
      </c>
      <c r="D987">
        <v>772.19022042753215</v>
      </c>
      <c r="E987">
        <v>1276.6870119356024</v>
      </c>
      <c r="F987">
        <v>0.69224459701305263</v>
      </c>
      <c r="G987">
        <v>0.7183251496344516</v>
      </c>
      <c r="H987" s="3">
        <v>403.61211569730887</v>
      </c>
      <c r="I987" s="3">
        <v>1.7505064685192938E-2</v>
      </c>
      <c r="J987" s="3">
        <v>-2.6755410996725064E-3</v>
      </c>
      <c r="K987" s="1">
        <v>4.0513274952826417E-3</v>
      </c>
      <c r="L987" s="1">
        <v>-9.2025931793421503</v>
      </c>
      <c r="M987" s="1">
        <v>-379.51573212564404</v>
      </c>
      <c r="N987" s="1">
        <v>-388.71832530498614</v>
      </c>
      <c r="O987" s="1">
        <v>-388.71832530498619</v>
      </c>
    </row>
    <row r="988" spans="2:15">
      <c r="B988">
        <v>980</v>
      </c>
      <c r="D988">
        <v>818.3492951478961</v>
      </c>
      <c r="E988">
        <v>1302.327555820005</v>
      </c>
      <c r="F988">
        <v>0.69741314723441183</v>
      </c>
      <c r="G988">
        <v>0.7317642779303849</v>
      </c>
      <c r="H988" s="3">
        <v>381.61357049477567</v>
      </c>
      <c r="I988" s="3">
        <v>2.3162775829817087E-2</v>
      </c>
      <c r="J988" s="3">
        <v>4.0820973050782992E-3</v>
      </c>
      <c r="K988" s="1">
        <v>1.0442323479991229E-2</v>
      </c>
      <c r="L988" s="1">
        <v>-349.78245070134568</v>
      </c>
      <c r="M988" s="1">
        <v>-332.44576243420278</v>
      </c>
      <c r="N988" s="1">
        <v>-682.22821313554846</v>
      </c>
      <c r="O988" s="1">
        <v>-682.22821313554846</v>
      </c>
    </row>
    <row r="989" spans="2:15">
      <c r="B989">
        <v>981</v>
      </c>
      <c r="D989">
        <v>1249.4319908857965</v>
      </c>
      <c r="E989">
        <v>1717.8968906370294</v>
      </c>
      <c r="F989">
        <v>0.70094854504691639</v>
      </c>
      <c r="G989">
        <v>0.73183936156906948</v>
      </c>
      <c r="H989" s="3">
        <v>388.17164814913679</v>
      </c>
      <c r="I989" s="3">
        <v>2.1961141224958996E-2</v>
      </c>
      <c r="J989" s="3">
        <v>2.5525588175021527E-3</v>
      </c>
      <c r="K989" s="1">
        <v>9.0220862866544349E-3</v>
      </c>
      <c r="L989" s="1">
        <v>-113.2912320965473</v>
      </c>
      <c r="M989" s="1">
        <v>-298.37515293543225</v>
      </c>
      <c r="N989" s="1">
        <v>-411.66638503197953</v>
      </c>
      <c r="O989" s="1">
        <v>-411.66638503197953</v>
      </c>
    </row>
    <row r="990" spans="2:15">
      <c r="B990">
        <v>982</v>
      </c>
      <c r="D990">
        <v>783.59338330710727</v>
      </c>
      <c r="E990">
        <v>1287.8865930407669</v>
      </c>
      <c r="F990">
        <v>0.68849934875909335</v>
      </c>
      <c r="G990">
        <v>0.71542312547441422</v>
      </c>
      <c r="H990" s="3">
        <v>393.03436779268111</v>
      </c>
      <c r="I990" s="3">
        <v>1.8558903418259817E-2</v>
      </c>
      <c r="J990" s="3">
        <v>-1.0928149713742424E-3</v>
      </c>
      <c r="K990" s="1">
        <v>5.4577578251704447E-3</v>
      </c>
      <c r="L990" s="1">
        <v>-44.967419973119021</v>
      </c>
      <c r="M990" s="1">
        <v>-434.03451045017425</v>
      </c>
      <c r="N990" s="1">
        <v>-479.00193042329335</v>
      </c>
      <c r="O990" s="1">
        <v>-479.00193042329329</v>
      </c>
    </row>
    <row r="991" spans="2:15">
      <c r="B991">
        <v>983</v>
      </c>
      <c r="D991">
        <v>913.7449811101161</v>
      </c>
      <c r="E991">
        <v>1390.53290835862</v>
      </c>
      <c r="F991">
        <v>0.68287601665446063</v>
      </c>
      <c r="G991">
        <v>0.72078927873908638</v>
      </c>
      <c r="H991" s="3">
        <v>382.82687100988244</v>
      </c>
      <c r="I991" s="3">
        <v>2.6883582106880442E-2</v>
      </c>
      <c r="J991" s="3">
        <v>7.7422385563863175E-3</v>
      </c>
      <c r="K991" s="1">
        <v>1.4122686406551024E-2</v>
      </c>
      <c r="L991" s="1">
        <v>-244.72723604290979</v>
      </c>
      <c r="M991" s="1">
        <v>-277.06667819485801</v>
      </c>
      <c r="N991" s="1">
        <v>-521.79391423776781</v>
      </c>
      <c r="O991" s="1">
        <v>-521.79391423776781</v>
      </c>
    </row>
    <row r="992" spans="2:15">
      <c r="B992">
        <v>984</v>
      </c>
      <c r="D992">
        <v>893.47252588970355</v>
      </c>
      <c r="E992">
        <v>1366.6619725883061</v>
      </c>
      <c r="F992">
        <v>0.69222538620903662</v>
      </c>
      <c r="G992">
        <v>0.72576848117445503</v>
      </c>
      <c r="H992" s="3">
        <v>400.13282017313566</v>
      </c>
      <c r="I992" s="3">
        <v>2.5427344113244765E-2</v>
      </c>
      <c r="J992" s="3">
        <v>5.4207031045879796E-3</v>
      </c>
      <c r="K992" s="1">
        <v>1.2089583440806908E-2</v>
      </c>
      <c r="L992" s="1">
        <v>-329.16121109358301</v>
      </c>
      <c r="M992" s="1">
        <v>-394.2366570964225</v>
      </c>
      <c r="N992" s="1">
        <v>-723.39786819000551</v>
      </c>
      <c r="O992" s="1">
        <v>-723.39786819000551</v>
      </c>
    </row>
    <row r="993" spans="2:15">
      <c r="B993">
        <v>985</v>
      </c>
      <c r="D993">
        <v>866.65122822344279</v>
      </c>
      <c r="E993">
        <v>1371.6725890025564</v>
      </c>
      <c r="F993">
        <v>0.69529176901278245</v>
      </c>
      <c r="G993">
        <v>0.72246352557507187</v>
      </c>
      <c r="H993" s="3">
        <v>415.1105209945128</v>
      </c>
      <c r="I993" s="3">
        <v>1.9476183056810523E-2</v>
      </c>
      <c r="J993" s="3">
        <v>-1.2793429929151209E-3</v>
      </c>
      <c r="K993" s="1">
        <v>5.6391656903267608E-3</v>
      </c>
      <c r="L993" s="1">
        <v>-131.90042025627631</v>
      </c>
      <c r="M993" s="1">
        <v>-398.99852494196034</v>
      </c>
      <c r="N993" s="1">
        <v>-530.89894519823667</v>
      </c>
      <c r="O993" s="1">
        <v>-530.89894519823667</v>
      </c>
    </row>
    <row r="994" spans="2:15">
      <c r="B994">
        <v>986</v>
      </c>
      <c r="D994">
        <v>845.28197526750182</v>
      </c>
      <c r="E994">
        <v>1349.3368709464639</v>
      </c>
      <c r="F994">
        <v>0.69958413647569739</v>
      </c>
      <c r="G994">
        <v>0.73577760889039989</v>
      </c>
      <c r="H994" s="3">
        <v>428.56350210926189</v>
      </c>
      <c r="I994" s="3">
        <v>2.7488878045836138E-2</v>
      </c>
      <c r="J994" s="3">
        <v>6.0607029403730445E-3</v>
      </c>
      <c r="K994" s="1">
        <v>1.3203427975527409E-2</v>
      </c>
      <c r="L994" s="1">
        <v>-154.84473970602193</v>
      </c>
      <c r="M994" s="1">
        <v>-263.04720482362052</v>
      </c>
      <c r="N994" s="1">
        <v>-417.89194452964239</v>
      </c>
      <c r="O994" s="1">
        <v>-417.89194452964244</v>
      </c>
    </row>
    <row r="995" spans="2:15">
      <c r="B995">
        <v>987</v>
      </c>
      <c r="D995">
        <v>984.68637457245404</v>
      </c>
      <c r="E995">
        <v>1463.3147902412561</v>
      </c>
      <c r="F995">
        <v>0.69369974270860069</v>
      </c>
      <c r="G995">
        <v>0.72361416108113474</v>
      </c>
      <c r="H995" s="3">
        <v>385.09968481347062</v>
      </c>
      <c r="I995" s="3">
        <v>2.0368799354740858E-2</v>
      </c>
      <c r="J995" s="3">
        <v>1.1138151140673257E-3</v>
      </c>
      <c r="K995" s="1">
        <v>7.5321431942918359E-3</v>
      </c>
      <c r="L995" s="1">
        <v>-523.49248676725665</v>
      </c>
      <c r="M995" s="1">
        <v>-304.9435732872148</v>
      </c>
      <c r="N995" s="1">
        <v>-828.43606005447157</v>
      </c>
      <c r="O995" s="1">
        <v>-828.43606005447145</v>
      </c>
    </row>
    <row r="996" spans="2:15">
      <c r="B996">
        <v>988</v>
      </c>
      <c r="D996">
        <v>983.4510823358205</v>
      </c>
      <c r="E996">
        <v>1466.8663749369093</v>
      </c>
      <c r="F996">
        <v>0.69657127493711313</v>
      </c>
      <c r="G996">
        <v>0.72129304181136555</v>
      </c>
      <c r="H996" s="3">
        <v>371.79673852395678</v>
      </c>
      <c r="I996" s="3">
        <v>1.5946706937167602E-2</v>
      </c>
      <c r="J996" s="3">
        <v>-2.6431299890302372E-3</v>
      </c>
      <c r="K996" s="1">
        <v>3.5534823197023759E-3</v>
      </c>
      <c r="L996" s="1">
        <v>-187.08697420088748</v>
      </c>
      <c r="M996" s="1">
        <v>-293.82746351719885</v>
      </c>
      <c r="N996" s="1">
        <v>-480.91443771808645</v>
      </c>
      <c r="O996" s="1">
        <v>-480.91443771808633</v>
      </c>
    </row>
    <row r="997" spans="2:15">
      <c r="B997">
        <v>989</v>
      </c>
      <c r="D997">
        <v>1070.4729223325601</v>
      </c>
      <c r="E997">
        <v>1553.1732598984815</v>
      </c>
      <c r="F997">
        <v>0.68840573703376606</v>
      </c>
      <c r="G997">
        <v>0.71897562772288648</v>
      </c>
      <c r="H997" s="3">
        <v>389.60540114621318</v>
      </c>
      <c r="I997" s="3">
        <v>2.0847946144124427E-2</v>
      </c>
      <c r="J997" s="3">
        <v>1.3676760868137662E-3</v>
      </c>
      <c r="K997" s="1">
        <v>7.8610994392506548E-3</v>
      </c>
      <c r="L997" s="1">
        <v>-419.51919035445019</v>
      </c>
      <c r="M997" s="1">
        <v>-425.58052545791929</v>
      </c>
      <c r="N997" s="1">
        <v>-845.09971581236948</v>
      </c>
      <c r="O997" s="1">
        <v>-845.09971581236948</v>
      </c>
    </row>
    <row r="998" spans="2:15">
      <c r="B998">
        <v>990</v>
      </c>
      <c r="D998">
        <v>915.39497588263328</v>
      </c>
      <c r="E998">
        <v>1386.7357874176341</v>
      </c>
      <c r="F998">
        <v>0.69530391253608959</v>
      </c>
      <c r="G998">
        <v>0.74071431547051036</v>
      </c>
      <c r="H998" s="3">
        <v>383.093530876003</v>
      </c>
      <c r="I998" s="3">
        <v>3.1920445792444699E-2</v>
      </c>
      <c r="J998" s="3">
        <v>1.2765769248644549E-2</v>
      </c>
      <c r="K998" s="1">
        <v>1.9150661429911266E-2</v>
      </c>
      <c r="L998" s="1">
        <v>-280.7994294747657</v>
      </c>
      <c r="M998" s="1">
        <v>-427.92797963910778</v>
      </c>
      <c r="N998" s="1">
        <v>-708.72740911387348</v>
      </c>
      <c r="O998" s="1">
        <v>-708.72740911387348</v>
      </c>
    </row>
    <row r="999" spans="2:15">
      <c r="B999">
        <v>991</v>
      </c>
      <c r="D999">
        <v>888.18737147632226</v>
      </c>
      <c r="E999">
        <v>1381.4369980692798</v>
      </c>
      <c r="F999">
        <v>0.68223254698146985</v>
      </c>
      <c r="G999">
        <v>0.71088158412348734</v>
      </c>
      <c r="H999" s="3">
        <v>406.13705518839237</v>
      </c>
      <c r="I999" s="3">
        <v>2.1019150526343958E-2</v>
      </c>
      <c r="J999" s="3">
        <v>7.122977669243441E-4</v>
      </c>
      <c r="K999" s="1">
        <v>7.4812486867308816E-3</v>
      </c>
      <c r="L999" s="1">
        <v>-239.05408705302852</v>
      </c>
      <c r="M999" s="1">
        <v>-367.13849364263262</v>
      </c>
      <c r="N999" s="1">
        <v>-606.19258069566104</v>
      </c>
      <c r="O999" s="1">
        <v>-606.19258069566115</v>
      </c>
    </row>
    <row r="1000" spans="2:15">
      <c r="B1000">
        <v>992</v>
      </c>
      <c r="D1000">
        <v>1059.890006134091</v>
      </c>
      <c r="E1000">
        <v>1488.6363794648028</v>
      </c>
      <c r="F1000">
        <v>0.69161449284162846</v>
      </c>
      <c r="G1000">
        <v>0.73188558311510998</v>
      </c>
      <c r="H1000" s="3">
        <v>344.87584288575522</v>
      </c>
      <c r="I1000" s="3">
        <v>2.8127554240763963E-2</v>
      </c>
      <c r="J1000" s="3">
        <v>1.0883762096476204E-2</v>
      </c>
      <c r="K1000" s="1">
        <v>1.6631692811238788E-2</v>
      </c>
      <c r="L1000" s="1">
        <v>-341.77355350733262</v>
      </c>
      <c r="M1000" s="1">
        <v>-342.6258780848172</v>
      </c>
      <c r="N1000" s="1">
        <v>-684.39943159214988</v>
      </c>
      <c r="O1000" s="1">
        <v>-684.39943159214977</v>
      </c>
    </row>
    <row r="1001" spans="2:15">
      <c r="B1001">
        <v>993</v>
      </c>
      <c r="D1001">
        <v>941.68409190301691</v>
      </c>
      <c r="E1001">
        <v>1431.265881683388</v>
      </c>
      <c r="F1001">
        <v>0.68904152435230226</v>
      </c>
      <c r="G1001">
        <v>0.72152920367060724</v>
      </c>
      <c r="H1001" s="3">
        <v>406.43381068092941</v>
      </c>
      <c r="I1001" s="3">
        <v>2.4030152209298376E-2</v>
      </c>
      <c r="J1001" s="3">
        <v>3.7084616752519027E-3</v>
      </c>
      <c r="K1001" s="1">
        <v>1.048235851993406E-2</v>
      </c>
      <c r="L1001" s="1">
        <v>-202.73720172217827</v>
      </c>
      <c r="M1001" s="1">
        <v>-269.48291424430096</v>
      </c>
      <c r="N1001" s="1">
        <v>-472.22011596647923</v>
      </c>
      <c r="O1001" s="1">
        <v>-472.22011596647923</v>
      </c>
    </row>
    <row r="1002" spans="2:15">
      <c r="B1002">
        <v>994</v>
      </c>
      <c r="D1002">
        <v>800.20148241342872</v>
      </c>
      <c r="E1002">
        <v>1279.4157417598651</v>
      </c>
      <c r="F1002">
        <v>0.69762569867298863</v>
      </c>
      <c r="G1002">
        <v>0.73296627829111904</v>
      </c>
      <c r="H1002" s="3">
        <v>391.46642736624869</v>
      </c>
      <c r="I1002" s="3">
        <v>2.5516441045225113E-2</v>
      </c>
      <c r="J1002" s="3">
        <v>5.9431196769126754E-3</v>
      </c>
      <c r="K1002" s="1">
        <v>1.2467560133016821E-2</v>
      </c>
      <c r="L1002" s="1">
        <v>-185.06531853762618</v>
      </c>
      <c r="M1002" s="1">
        <v>-317.22428255281005</v>
      </c>
      <c r="N1002" s="1">
        <v>-502.28960109043624</v>
      </c>
      <c r="O1002" s="1">
        <v>-502.28960109043624</v>
      </c>
    </row>
    <row r="1003" spans="2:15">
      <c r="B1003">
        <v>995</v>
      </c>
      <c r="D1003">
        <v>943.52534421925941</v>
      </c>
      <c r="E1003">
        <v>1401.3309943357183</v>
      </c>
      <c r="F1003">
        <v>0.68058338417027175</v>
      </c>
      <c r="G1003">
        <v>0.724596300430986</v>
      </c>
      <c r="H1003" s="3">
        <v>379.80189299781443</v>
      </c>
      <c r="I1003" s="3">
        <v>3.0971380319001131E-2</v>
      </c>
      <c r="J1003" s="3">
        <v>1.1981285669110411E-2</v>
      </c>
      <c r="K1003" s="1">
        <v>1.8311317219073982E-2</v>
      </c>
      <c r="L1003" s="1">
        <v>-301.34882334548479</v>
      </c>
      <c r="M1003" s="1">
        <v>-156.5760043688426</v>
      </c>
      <c r="N1003" s="1">
        <v>-457.92482771432742</v>
      </c>
      <c r="O1003" s="1">
        <v>-457.92482771432742</v>
      </c>
    </row>
    <row r="1004" spans="2:15">
      <c r="B1004">
        <v>996</v>
      </c>
      <c r="D1004">
        <v>951.32826453932159</v>
      </c>
      <c r="E1004">
        <v>1442.9001347491781</v>
      </c>
      <c r="F1004">
        <v>0.69205859898640509</v>
      </c>
      <c r="G1004">
        <v>0.72076119664291127</v>
      </c>
      <c r="H1004" s="3">
        <v>420.10261400758282</v>
      </c>
      <c r="I1004" s="3">
        <v>2.2152483699242595E-2</v>
      </c>
      <c r="J1004" s="3">
        <v>1.1473529988634545E-3</v>
      </c>
      <c r="K1004" s="1">
        <v>8.1490632323231674E-3</v>
      </c>
      <c r="L1004" s="1">
        <v>-233.96424350916314</v>
      </c>
      <c r="M1004" s="1">
        <v>-356.43151217538531</v>
      </c>
      <c r="N1004" s="1">
        <v>-590.39575568454859</v>
      </c>
      <c r="O1004" s="1">
        <v>-590.39575568454848</v>
      </c>
    </row>
    <row r="1005" spans="2:15">
      <c r="B1005">
        <v>997</v>
      </c>
      <c r="D1005">
        <v>981.54093845888269</v>
      </c>
      <c r="E1005">
        <v>1472.4277769869354</v>
      </c>
      <c r="F1005">
        <v>0.68824157762461391</v>
      </c>
      <c r="G1005">
        <v>0.71262748188267044</v>
      </c>
      <c r="H1005" s="3">
        <v>409.10837570090786</v>
      </c>
      <c r="I1005" s="3">
        <v>1.8097128529013639E-2</v>
      </c>
      <c r="J1005" s="3">
        <v>-2.3582902560317538E-3</v>
      </c>
      <c r="K1005" s="1">
        <v>4.460182672316711E-3</v>
      </c>
      <c r="L1005" s="1">
        <v>-183.06251754587157</v>
      </c>
      <c r="M1005" s="1">
        <v>-255.08922788333382</v>
      </c>
      <c r="N1005" s="1">
        <v>-438.15174542920539</v>
      </c>
      <c r="O1005" s="1">
        <v>-438.15174542920539</v>
      </c>
    </row>
    <row r="1006" spans="2:15">
      <c r="B1006">
        <v>998</v>
      </c>
      <c r="D1006">
        <v>899.33874643621141</v>
      </c>
      <c r="E1006">
        <v>1380.8984180409013</v>
      </c>
      <c r="F1006">
        <v>0.69481001949167975</v>
      </c>
      <c r="G1006">
        <v>0.73172796712670274</v>
      </c>
      <c r="H1006" s="3">
        <v>398.13708028627309</v>
      </c>
      <c r="I1006" s="3">
        <v>2.6534678214636599E-2</v>
      </c>
      <c r="J1006" s="3">
        <v>6.6278242003229432E-3</v>
      </c>
      <c r="K1006" s="1">
        <v>1.3263442205094162E-2</v>
      </c>
      <c r="L1006" s="1">
        <v>-340.36464441760791</v>
      </c>
      <c r="M1006" s="1">
        <v>-341.81001990175866</v>
      </c>
      <c r="N1006" s="1">
        <v>-682.17466431936646</v>
      </c>
      <c r="O1006" s="1">
        <v>-682.17466431936657</v>
      </c>
    </row>
    <row r="1007" spans="2:15">
      <c r="B1007">
        <v>999</v>
      </c>
      <c r="D1007">
        <v>1071.0143831361761</v>
      </c>
      <c r="E1007">
        <v>1566.4907583280972</v>
      </c>
      <c r="F1007">
        <v>0.68369979139891546</v>
      </c>
      <c r="G1007">
        <v>0.72267411313591179</v>
      </c>
      <c r="H1007" s="3">
        <v>396.48104705862937</v>
      </c>
      <c r="I1007" s="3">
        <v>2.7091470498419215E-2</v>
      </c>
      <c r="J1007" s="3">
        <v>7.267418145487748E-3</v>
      </c>
      <c r="K1007" s="1">
        <v>1.3875435596464902E-2</v>
      </c>
      <c r="L1007" s="1">
        <v>-158.27009075125983</v>
      </c>
      <c r="M1007" s="1">
        <v>-332.05540203319094</v>
      </c>
      <c r="N1007" s="1">
        <v>-490.32549278445083</v>
      </c>
      <c r="O1007" s="1">
        <v>-490.32549278445077</v>
      </c>
    </row>
    <row r="1008" spans="2:15">
      <c r="B1008">
        <v>1000</v>
      </c>
      <c r="D1008">
        <v>894.45083310336645</v>
      </c>
      <c r="E1008">
        <v>1369.6167935834858</v>
      </c>
      <c r="F1008">
        <v>0.6696586728244005</v>
      </c>
      <c r="G1008">
        <v>0.71686406658678803</v>
      </c>
      <c r="H1008" s="3">
        <v>399.17109090089724</v>
      </c>
      <c r="I1008" s="3">
        <v>3.5100804267673556E-2</v>
      </c>
      <c r="J1008" s="3">
        <v>1.5142249722628693E-2</v>
      </c>
      <c r="K1008" s="1">
        <v>2.1795101237643649E-2</v>
      </c>
      <c r="L1008" s="1">
        <v>-274.79929749711829</v>
      </c>
      <c r="M1008" s="1">
        <v>-301.35156194381369</v>
      </c>
      <c r="N1008" s="1">
        <v>-576.15085944093209</v>
      </c>
      <c r="O1008" s="1">
        <v>-576.15085944093198</v>
      </c>
    </row>
    <row r="1009" spans="2:19">
      <c r="J1009">
        <f>'Model | 1 Year'!D105</f>
        <v>16282.237321075947</v>
      </c>
      <c r="K1009">
        <f>'Model | 1 Year'!D107</f>
        <v>9580.2422864949367</v>
      </c>
    </row>
    <row r="1010" spans="2:19">
      <c r="B1010" s="184">
        <v>2.5000000000000001E-2</v>
      </c>
      <c r="D1010" s="1">
        <f t="shared" ref="D1010:N1010" si="0">PERCENTILE(D$9:D$1008,0.025)</f>
        <v>680.08209519188927</v>
      </c>
      <c r="E1010" s="1">
        <f t="shared" si="0"/>
        <v>1174.1438534804722</v>
      </c>
      <c r="F1010" s="1">
        <f t="shared" si="0"/>
        <v>0.67806886599296867</v>
      </c>
      <c r="G1010" s="1">
        <f t="shared" si="0"/>
        <v>0.71071421666264045</v>
      </c>
      <c r="H1010" s="1">
        <f t="shared" si="0"/>
        <v>368.37630421509851</v>
      </c>
      <c r="I1010" s="1">
        <f t="shared" si="0"/>
        <v>1.4138526642116154E-2</v>
      </c>
      <c r="J1010" s="9">
        <f t="shared" si="0"/>
        <v>-6.7843013821183582E-3</v>
      </c>
      <c r="K1010" s="9">
        <f t="shared" si="0"/>
        <v>4.0976853369878148E-4</v>
      </c>
      <c r="L1010" s="9">
        <f t="shared" si="0"/>
        <v>-478.41093360875959</v>
      </c>
      <c r="M1010" s="9">
        <f t="shared" si="0"/>
        <v>-481.9648508809824</v>
      </c>
      <c r="N1010" s="9">
        <f t="shared" si="0"/>
        <v>-878.45158400570256</v>
      </c>
      <c r="O1010" s="9"/>
      <c r="P1010" s="9"/>
      <c r="Q1010" s="1"/>
      <c r="R1010" s="1"/>
      <c r="S1010" s="1"/>
    </row>
    <row r="1011" spans="2:19">
      <c r="B1011" s="184">
        <v>0.97499999999999998</v>
      </c>
      <c r="D1011" s="1">
        <f t="shared" ref="D1011:N1011" si="1">PERCENTILE(D$9:D$1008,0.975)</f>
        <v>1147.7084618534955</v>
      </c>
      <c r="E1011" s="1">
        <f t="shared" si="1"/>
        <v>1626.2918540932235</v>
      </c>
      <c r="F1011" s="1">
        <f t="shared" si="1"/>
        <v>0.70446233454587015</v>
      </c>
      <c r="G1011" s="1">
        <f t="shared" si="1"/>
        <v>0.73732743006511459</v>
      </c>
      <c r="H1011" s="1">
        <f t="shared" si="1"/>
        <v>432.75139083020781</v>
      </c>
      <c r="I1011" s="1">
        <f t="shared" si="1"/>
        <v>3.3662974206847808E-2</v>
      </c>
      <c r="J1011" s="9">
        <f t="shared" si="1"/>
        <v>1.4021745961040518E-2</v>
      </c>
      <c r="K1011" s="9">
        <f t="shared" si="1"/>
        <v>2.0472546538729396E-2</v>
      </c>
      <c r="L1011" s="9">
        <f t="shared" si="1"/>
        <v>-23.995557570689858</v>
      </c>
      <c r="M1011" s="9">
        <f t="shared" si="1"/>
        <v>-194.18523050404661</v>
      </c>
      <c r="N1011" s="9">
        <f t="shared" si="1"/>
        <v>-337.94583272526978</v>
      </c>
      <c r="O1011" s="9"/>
      <c r="P1011" s="9"/>
      <c r="Q1011" s="1"/>
      <c r="R1011" s="1"/>
      <c r="S1011" s="1"/>
    </row>
    <row r="1012" spans="2:19">
      <c r="B1012" s="111" t="s">
        <v>359</v>
      </c>
      <c r="D1012" s="1">
        <f t="shared" ref="D1012:N1012" si="2">STDEV(D$9:D$1008)</f>
        <v>121.17917254345188</v>
      </c>
      <c r="E1012" s="1">
        <f t="shared" si="2"/>
        <v>118.32087951297363</v>
      </c>
      <c r="F1012" s="1">
        <f t="shared" si="2"/>
        <v>6.7360344461829388E-3</v>
      </c>
      <c r="G1012" s="1">
        <f t="shared" si="2"/>
        <v>6.721698567615033E-3</v>
      </c>
      <c r="H1012" s="1">
        <f t="shared" si="2"/>
        <v>16.953445054145064</v>
      </c>
      <c r="I1012" s="1">
        <f t="shared" si="2"/>
        <v>5.1530597785105093E-3</v>
      </c>
      <c r="J1012" s="9">
        <f t="shared" si="2"/>
        <v>5.4062973056467649E-3</v>
      </c>
      <c r="K1012" s="9">
        <f t="shared" si="2"/>
        <v>5.3082041542518721E-3</v>
      </c>
      <c r="L1012" s="9">
        <f t="shared" si="2"/>
        <v>121.49005850782275</v>
      </c>
      <c r="M1012" s="9">
        <f t="shared" si="2"/>
        <v>74.180134091579035</v>
      </c>
      <c r="N1012" s="9">
        <f t="shared" si="2"/>
        <v>141.20906209922049</v>
      </c>
      <c r="O1012" s="9"/>
      <c r="P1012" s="9"/>
      <c r="Q1012" s="1"/>
      <c r="R1012" s="1"/>
      <c r="S1012" s="1"/>
    </row>
    <row r="1013" spans="2:19">
      <c r="B1013" s="111" t="s">
        <v>358</v>
      </c>
      <c r="D1013" s="1">
        <f t="shared" ref="D1013:N1013" si="3">AVERAGE(D$9:D$1008)</f>
        <v>881.76192670515411</v>
      </c>
      <c r="E1013" s="1">
        <f t="shared" si="3"/>
        <v>1370.659779839785</v>
      </c>
      <c r="F1013" s="1">
        <f t="shared" si="3"/>
        <v>0.69164387589753806</v>
      </c>
      <c r="G1013" s="1">
        <f t="shared" si="3"/>
        <v>0.72482103281620336</v>
      </c>
      <c r="H1013" s="1">
        <f t="shared" si="3"/>
        <v>400.02399101906951</v>
      </c>
      <c r="I1013" s="1">
        <f t="shared" si="3"/>
        <v>2.3718770970376911E-2</v>
      </c>
      <c r="J1013" s="9">
        <f t="shared" si="3"/>
        <v>3.7175714194234068E-3</v>
      </c>
      <c r="K1013" s="9">
        <f t="shared" si="3"/>
        <v>1.0384637936407905E-2</v>
      </c>
      <c r="L1013" s="9">
        <f t="shared" si="3"/>
        <v>-252.2512679651507</v>
      </c>
      <c r="M1013" s="9">
        <f t="shared" si="3"/>
        <v>-342.89510191579973</v>
      </c>
      <c r="N1013" s="9">
        <f t="shared" si="3"/>
        <v>-595.14636988095026</v>
      </c>
      <c r="O1013" s="9"/>
      <c r="P1013" s="9"/>
    </row>
    <row r="1014" spans="2:19">
      <c r="J1014" s="9">
        <f>H1013/I1013</f>
        <v>16865.291693177169</v>
      </c>
    </row>
    <row r="1016" spans="2:19">
      <c r="J1016">
        <f>COUNTIF(J9:J1008,"&gt;0")</f>
        <v>759</v>
      </c>
      <c r="K1016">
        <f>COUNTIF(K9:K1008,"&gt;0")</f>
        <v>976</v>
      </c>
    </row>
    <row r="1017" spans="2:19">
      <c r="J1017">
        <f>COUNTIF(J10:J1009,"&lt;0")</f>
        <v>241</v>
      </c>
    </row>
  </sheetData>
  <phoneticPr fontId="31" type="noConversion"/>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PSAsimulations">
                <anchor moveWithCells="1" sizeWithCells="1">
                  <from>
                    <xdr:col>1</xdr:col>
                    <xdr:colOff>139700</xdr:colOff>
                    <xdr:row>2</xdr:row>
                    <xdr:rowOff>114300</xdr:rowOff>
                  </from>
                  <to>
                    <xdr:col>4</xdr:col>
                    <xdr:colOff>266700</xdr:colOff>
                    <xdr:row>4</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A4292-97BA-494A-88E8-1E8ED367228E}">
  <sheetPr codeName="Sheet4">
    <tabColor rgb="FF4C627F"/>
  </sheetPr>
  <dimension ref="B2:BE60"/>
  <sheetViews>
    <sheetView zoomScaleNormal="100" workbookViewId="0">
      <selection activeCell="D7" sqref="D7"/>
    </sheetView>
  </sheetViews>
  <sheetFormatPr baseColWidth="10" defaultColWidth="11" defaultRowHeight="16"/>
  <cols>
    <col min="2" max="2" width="21.5" customWidth="1"/>
    <col min="11" max="12" width="11.1640625" bestFit="1" customWidth="1"/>
  </cols>
  <sheetData>
    <row r="2" spans="2:57" ht="21">
      <c r="B2" s="5" t="s">
        <v>643</v>
      </c>
    </row>
    <row r="4" spans="2:57">
      <c r="C4" t="s">
        <v>34</v>
      </c>
      <c r="D4" t="s">
        <v>354</v>
      </c>
      <c r="H4" s="273" t="s">
        <v>1</v>
      </c>
      <c r="I4" s="273"/>
    </row>
    <row r="5" spans="2:57">
      <c r="B5" s="111" t="s">
        <v>122</v>
      </c>
      <c r="C5" s="1">
        <f>SUMPRODUCT(C10:C29,F10:F29)-C25*H6/I6</f>
        <v>-1.8523132944929142</v>
      </c>
      <c r="D5" s="1">
        <f ca="1">SUMPRODUCT(F10:F29,M10:M29)-M25*H6/I6</f>
        <v>-1.8250721596276924</v>
      </c>
      <c r="H5" s="111" t="s">
        <v>358</v>
      </c>
      <c r="I5" s="111" t="s">
        <v>359</v>
      </c>
    </row>
    <row r="6" spans="2:57">
      <c r="B6" s="111" t="s">
        <v>328</v>
      </c>
      <c r="C6" s="1">
        <f>C25/I6</f>
        <v>4.6917080727557237E-2</v>
      </c>
      <c r="D6" s="1">
        <f ca="1">M25/I6</f>
        <v>4.5855864752868888E-2</v>
      </c>
      <c r="H6" s="3">
        <v>12.1175717070453</v>
      </c>
      <c r="I6" s="3">
        <v>5.3178926764182401</v>
      </c>
      <c r="K6">
        <f>H6/I6</f>
        <v>2.2786416432922163</v>
      </c>
    </row>
    <row r="7" spans="2:57">
      <c r="P7" t="s">
        <v>353</v>
      </c>
      <c r="AK7" t="s">
        <v>356</v>
      </c>
    </row>
    <row r="8" spans="2:57">
      <c r="H8" t="s">
        <v>355</v>
      </c>
    </row>
    <row r="9" spans="2:57">
      <c r="C9" t="s">
        <v>329</v>
      </c>
      <c r="D9" t="s">
        <v>330</v>
      </c>
      <c r="F9" t="s">
        <v>352</v>
      </c>
      <c r="H9" t="s">
        <v>350</v>
      </c>
      <c r="I9" t="s">
        <v>351</v>
      </c>
      <c r="K9" s="111" t="s">
        <v>24</v>
      </c>
      <c r="L9" s="111" t="s">
        <v>25</v>
      </c>
      <c r="M9" s="163" t="s">
        <v>26</v>
      </c>
      <c r="N9" s="163"/>
      <c r="O9" s="163"/>
      <c r="P9" t="s">
        <v>631</v>
      </c>
      <c r="Q9" t="s">
        <v>39</v>
      </c>
      <c r="R9" t="s">
        <v>42</v>
      </c>
      <c r="S9" t="s">
        <v>632</v>
      </c>
      <c r="T9" t="s">
        <v>331</v>
      </c>
      <c r="U9" t="s">
        <v>332</v>
      </c>
      <c r="V9" t="s">
        <v>633</v>
      </c>
      <c r="W9" t="s">
        <v>634</v>
      </c>
      <c r="X9" t="s">
        <v>635</v>
      </c>
      <c r="Y9" t="s">
        <v>636</v>
      </c>
      <c r="Z9" t="s">
        <v>498</v>
      </c>
      <c r="AA9" t="s">
        <v>41</v>
      </c>
      <c r="AB9" t="s">
        <v>637</v>
      </c>
      <c r="AC9" t="s">
        <v>638</v>
      </c>
      <c r="AD9" t="s">
        <v>639</v>
      </c>
      <c r="AE9" t="s">
        <v>499</v>
      </c>
      <c r="AF9" t="s">
        <v>640</v>
      </c>
      <c r="AG9" t="s">
        <v>497</v>
      </c>
      <c r="AH9" t="s">
        <v>89</v>
      </c>
      <c r="AI9" t="s">
        <v>642</v>
      </c>
      <c r="AL9" t="s">
        <v>631</v>
      </c>
      <c r="AM9" t="s">
        <v>39</v>
      </c>
      <c r="AN9" t="s">
        <v>42</v>
      </c>
      <c r="AO9" t="s">
        <v>632</v>
      </c>
      <c r="AP9" t="s">
        <v>331</v>
      </c>
      <c r="AQ9" t="s">
        <v>332</v>
      </c>
      <c r="AR9" t="s">
        <v>633</v>
      </c>
      <c r="AS9" t="s">
        <v>634</v>
      </c>
      <c r="AT9" t="s">
        <v>635</v>
      </c>
      <c r="AU9" t="s">
        <v>636</v>
      </c>
      <c r="AV9" t="s">
        <v>498</v>
      </c>
      <c r="AW9" t="s">
        <v>41</v>
      </c>
      <c r="AX9" t="s">
        <v>637</v>
      </c>
      <c r="AY9" t="s">
        <v>638</v>
      </c>
      <c r="AZ9" t="s">
        <v>639</v>
      </c>
      <c r="BA9" t="s">
        <v>499</v>
      </c>
      <c r="BB9" t="s">
        <v>640</v>
      </c>
      <c r="BC9" t="s">
        <v>497</v>
      </c>
      <c r="BD9" t="s">
        <v>89</v>
      </c>
      <c r="BE9" t="s">
        <v>642</v>
      </c>
    </row>
    <row r="10" spans="2:57">
      <c r="B10" t="s">
        <v>631</v>
      </c>
      <c r="C10" s="1">
        <v>-1.3367450000000001</v>
      </c>
      <c r="D10" s="1">
        <v>2.3675490694469101E-2</v>
      </c>
      <c r="F10">
        <v>1</v>
      </c>
      <c r="H10">
        <f>SUMPRODUCT(C10:C29,F10:F29)</f>
        <v>-1.2837922044915062</v>
      </c>
      <c r="I10">
        <f>SUMPRODUCT(C10:C25,F10:F25)</f>
        <v>-1.2837922044915062</v>
      </c>
      <c r="K10" s="1">
        <f ca="1">_xlfn.NORM.INV(RAND(),0,1)</f>
        <v>1.9326750017624537</v>
      </c>
      <c r="L10" s="1" cm="1">
        <f t="array" aca="1" ref="L10:L29" ca="1">MMULT(P10:AI29,K10:K29)</f>
        <v>4.5757029019660021E-2</v>
      </c>
      <c r="M10" s="1">
        <f ca="1">C10+L10</f>
        <v>-1.29098797098034</v>
      </c>
      <c r="N10" s="1"/>
      <c r="O10" s="1" t="s">
        <v>631</v>
      </c>
      <c r="P10">
        <v>2.3675490694469101E-2</v>
      </c>
      <c r="Q10">
        <v>0</v>
      </c>
      <c r="R10">
        <v>0</v>
      </c>
      <c r="S10">
        <v>0</v>
      </c>
      <c r="T10">
        <v>0</v>
      </c>
      <c r="U10">
        <v>0</v>
      </c>
      <c r="V10">
        <v>0</v>
      </c>
      <c r="W10">
        <v>0</v>
      </c>
      <c r="X10">
        <v>0</v>
      </c>
      <c r="Y10">
        <v>0</v>
      </c>
      <c r="Z10">
        <v>0</v>
      </c>
      <c r="AA10">
        <v>0</v>
      </c>
      <c r="AB10">
        <v>0</v>
      </c>
      <c r="AC10">
        <v>0</v>
      </c>
      <c r="AD10">
        <v>0</v>
      </c>
      <c r="AE10">
        <v>0</v>
      </c>
      <c r="AF10">
        <v>0</v>
      </c>
      <c r="AG10">
        <v>0</v>
      </c>
      <c r="AH10">
        <v>0</v>
      </c>
      <c r="AI10">
        <v>0</v>
      </c>
      <c r="AK10" t="s">
        <v>631</v>
      </c>
      <c r="AL10">
        <v>5.6052885962389303E-4</v>
      </c>
      <c r="AM10">
        <v>-1.02386543019626E-4</v>
      </c>
      <c r="AN10" s="67">
        <v>-4.74E-5</v>
      </c>
      <c r="AO10" s="67">
        <v>-4.5399999999999999E-5</v>
      </c>
      <c r="AP10" s="67">
        <v>-1.0156865244789E-4</v>
      </c>
      <c r="AQ10">
        <v>-1.5003514724529801E-4</v>
      </c>
      <c r="AR10">
        <v>-5.0699999999999999E-5</v>
      </c>
      <c r="AS10">
        <v>-4.9400000000000001E-5</v>
      </c>
      <c r="AT10">
        <v>-9.9500000000000006E-5</v>
      </c>
      <c r="AU10">
        <v>-9.1500000000000001E-5</v>
      </c>
      <c r="AV10">
        <v>-5.2599999999999998E-5</v>
      </c>
      <c r="AW10">
        <v>-2.72E-5</v>
      </c>
      <c r="AX10" s="67">
        <v>1.0300000000000001E-6</v>
      </c>
      <c r="AY10" s="67">
        <v>-1.0000000000000001E-5</v>
      </c>
      <c r="AZ10" s="67">
        <v>-2.3174161464396199E-4</v>
      </c>
      <c r="BA10" s="67">
        <v>4.3000000000000003E-6</v>
      </c>
      <c r="BB10" s="67">
        <v>2.23E-5</v>
      </c>
      <c r="BC10">
        <v>-5.3000000000000001E-6</v>
      </c>
      <c r="BD10">
        <v>6.4499999999999997E-7</v>
      </c>
      <c r="BE10">
        <v>-4.6199999999999998E-7</v>
      </c>
    </row>
    <row r="11" spans="2:57">
      <c r="B11" t="s">
        <v>39</v>
      </c>
      <c r="C11" s="1">
        <v>-5.4102999999999998E-2</v>
      </c>
      <c r="D11" s="1">
        <v>1.1188236322899701E-2</v>
      </c>
      <c r="F11" s="1">
        <v>0.66789195210247798</v>
      </c>
      <c r="H11" s="1">
        <f>C25</f>
        <v>0.2495</v>
      </c>
      <c r="I11" s="1">
        <f>C22+C26</f>
        <v>4.5397E-2</v>
      </c>
      <c r="K11" s="1">
        <f t="shared" ref="K11:K29" ca="1" si="0">_xlfn.NORM.INV(RAND(),0,1)</f>
        <v>0.51034712514351621</v>
      </c>
      <c r="L11" s="1">
        <f ca="1"/>
        <v>-3.0919108188976856E-3</v>
      </c>
      <c r="M11" s="1">
        <f t="shared" ref="M11:M29" ca="1" si="1">C11+L11</f>
        <v>-5.7194910818897687E-2</v>
      </c>
      <c r="N11" s="1"/>
      <c r="O11" s="1" t="s">
        <v>39</v>
      </c>
      <c r="P11">
        <v>-4.3245795553265897E-3</v>
      </c>
      <c r="Q11">
        <v>1.03186551297494E-2</v>
      </c>
      <c r="R11">
        <v>0</v>
      </c>
      <c r="S11">
        <v>0</v>
      </c>
      <c r="T11">
        <v>0</v>
      </c>
      <c r="U11">
        <v>0</v>
      </c>
      <c r="V11">
        <v>0</v>
      </c>
      <c r="W11">
        <v>0</v>
      </c>
      <c r="X11">
        <v>0</v>
      </c>
      <c r="Y11">
        <v>0</v>
      </c>
      <c r="Z11">
        <v>0</v>
      </c>
      <c r="AA11">
        <v>0</v>
      </c>
      <c r="AB11">
        <v>0</v>
      </c>
      <c r="AC11">
        <v>0</v>
      </c>
      <c r="AD11">
        <v>0</v>
      </c>
      <c r="AE11">
        <v>0</v>
      </c>
      <c r="AF11">
        <v>0</v>
      </c>
      <c r="AG11">
        <v>0</v>
      </c>
      <c r="AH11">
        <v>0</v>
      </c>
      <c r="AI11">
        <v>0</v>
      </c>
      <c r="AK11" t="s">
        <v>39</v>
      </c>
      <c r="AL11">
        <v>-1.02386543019626E-4</v>
      </c>
      <c r="AM11">
        <v>1.2517663201705201E-4</v>
      </c>
      <c r="AN11" s="67">
        <v>-6.7899999999999998E-7</v>
      </c>
      <c r="AO11" s="67">
        <v>4.7400000000000004E-6</v>
      </c>
      <c r="AP11" s="67">
        <v>1.4E-5</v>
      </c>
      <c r="AQ11" s="67">
        <v>1.84E-5</v>
      </c>
      <c r="AR11" s="67">
        <v>1.36E-5</v>
      </c>
      <c r="AS11" s="67">
        <v>7.43E-6</v>
      </c>
      <c r="AT11" s="67">
        <v>2.8E-5</v>
      </c>
      <c r="AU11" s="67">
        <v>6.4500000000000001E-6</v>
      </c>
      <c r="AV11" s="67">
        <v>-9.91E-6</v>
      </c>
      <c r="AW11" s="67">
        <v>-7.9999999999999996E-6</v>
      </c>
      <c r="AX11" s="67">
        <v>7.1099999999999997E-6</v>
      </c>
      <c r="AY11" s="67">
        <v>2.03E-6</v>
      </c>
      <c r="AZ11" s="67">
        <v>-1.39E-6</v>
      </c>
      <c r="BA11" s="67">
        <v>-3.3900000000000002E-6</v>
      </c>
      <c r="BB11" s="67">
        <v>-4.95E-6</v>
      </c>
      <c r="BC11" s="67">
        <v>1.44E-6</v>
      </c>
      <c r="BD11">
        <v>5.1000000000000003E-6</v>
      </c>
      <c r="BE11">
        <v>-1.7499999999999999E-7</v>
      </c>
    </row>
    <row r="12" spans="2:57">
      <c r="B12" t="s">
        <v>42</v>
      </c>
      <c r="C12" s="1">
        <v>-2.8891E-2</v>
      </c>
      <c r="D12" s="1">
        <v>1.05180230503788E-2</v>
      </c>
      <c r="F12" s="1">
        <v>0.54859370648844297</v>
      </c>
      <c r="K12" s="1">
        <f t="shared" ca="1" si="0"/>
        <v>0.95824585524274719</v>
      </c>
      <c r="L12" s="1">
        <f ca="1"/>
        <v>5.5220813513343634E-3</v>
      </c>
      <c r="M12" s="1">
        <f t="shared" ca="1" si="1"/>
        <v>-2.3368918648665638E-2</v>
      </c>
      <c r="N12" s="1"/>
      <c r="O12" s="1" t="s">
        <v>42</v>
      </c>
      <c r="P12">
        <v>-2.0034431539005799E-3</v>
      </c>
      <c r="Q12">
        <v>-9.0549918596795895E-4</v>
      </c>
      <c r="R12">
        <v>1.0285674292023801E-2</v>
      </c>
      <c r="S12">
        <v>0</v>
      </c>
      <c r="T12">
        <v>0</v>
      </c>
      <c r="U12">
        <v>0</v>
      </c>
      <c r="V12">
        <v>0</v>
      </c>
      <c r="W12">
        <v>0</v>
      </c>
      <c r="X12">
        <v>0</v>
      </c>
      <c r="Y12">
        <v>0</v>
      </c>
      <c r="Z12">
        <v>0</v>
      </c>
      <c r="AA12">
        <v>0</v>
      </c>
      <c r="AB12">
        <v>0</v>
      </c>
      <c r="AC12">
        <v>0</v>
      </c>
      <c r="AD12">
        <v>0</v>
      </c>
      <c r="AE12">
        <v>0</v>
      </c>
      <c r="AF12">
        <v>0</v>
      </c>
      <c r="AG12">
        <v>0</v>
      </c>
      <c r="AH12">
        <v>0</v>
      </c>
      <c r="AI12">
        <v>0</v>
      </c>
      <c r="AK12" t="s">
        <v>42</v>
      </c>
      <c r="AL12" s="67">
        <v>-4.74E-5</v>
      </c>
      <c r="AM12" s="67">
        <v>-6.7899999999999998E-7</v>
      </c>
      <c r="AN12">
        <v>1.1062880888829999E-4</v>
      </c>
      <c r="AO12" s="67">
        <v>-7.4100000000000002E-6</v>
      </c>
      <c r="AP12" s="67">
        <v>-6.5300000000000002E-6</v>
      </c>
      <c r="AQ12" s="67">
        <v>7.5700000000000004E-6</v>
      </c>
      <c r="AR12" s="67">
        <v>-3.1099999999999999E-6</v>
      </c>
      <c r="AS12" s="67">
        <v>-3.7400000000000002E-6</v>
      </c>
      <c r="AT12" s="67">
        <v>-8.4300000000000006E-6</v>
      </c>
      <c r="AU12" s="67">
        <v>-4.2200000000000003E-6</v>
      </c>
      <c r="AV12" s="67">
        <v>6.2299999999999996E-6</v>
      </c>
      <c r="AW12" s="67">
        <v>-4.4299999999999999E-6</v>
      </c>
      <c r="AX12" s="67">
        <v>-3.3500000000000001E-6</v>
      </c>
      <c r="AY12" s="67">
        <v>8.5099999999999998E-7</v>
      </c>
      <c r="AZ12" s="67">
        <v>-2.4099999999999998E-6</v>
      </c>
      <c r="BA12" s="67">
        <v>8.7799999999999999E-9</v>
      </c>
      <c r="BB12" s="67">
        <v>-1.26E-5</v>
      </c>
      <c r="BC12" s="67">
        <v>5.8899999999999999E-7</v>
      </c>
      <c r="BD12">
        <v>5.7800000000000001E-7</v>
      </c>
      <c r="BE12">
        <v>3.2300000000000002E-7</v>
      </c>
    </row>
    <row r="13" spans="2:57">
      <c r="B13" t="s">
        <v>632</v>
      </c>
      <c r="C13" s="1">
        <v>-5.9403999999999998E-2</v>
      </c>
      <c r="D13" s="1">
        <v>1.0737961717848301E-2</v>
      </c>
      <c r="F13" s="1">
        <v>0.450849345586188</v>
      </c>
      <c r="H13" t="s">
        <v>357</v>
      </c>
      <c r="K13" s="1">
        <f t="shared" ca="1" si="0"/>
        <v>0.48087004616563156</v>
      </c>
      <c r="L13" s="1">
        <f ca="1"/>
        <v>8.803260360915402E-5</v>
      </c>
      <c r="M13" s="1">
        <f t="shared" ca="1" si="1"/>
        <v>-5.9315967396390848E-2</v>
      </c>
      <c r="N13" s="1"/>
      <c r="O13" s="1" t="s">
        <v>632</v>
      </c>
      <c r="P13">
        <v>-1.91816996144729E-3</v>
      </c>
      <c r="Q13">
        <v>-3.4452935743329698E-4</v>
      </c>
      <c r="R13">
        <v>-1.12482308658606E-3</v>
      </c>
      <c r="S13">
        <v>1.0499548485469599E-2</v>
      </c>
      <c r="T13">
        <v>0</v>
      </c>
      <c r="U13">
        <v>0</v>
      </c>
      <c r="V13">
        <v>0</v>
      </c>
      <c r="W13">
        <v>0</v>
      </c>
      <c r="X13">
        <v>0</v>
      </c>
      <c r="Y13">
        <v>0</v>
      </c>
      <c r="Z13">
        <v>0</v>
      </c>
      <c r="AA13">
        <v>0</v>
      </c>
      <c r="AB13">
        <v>0</v>
      </c>
      <c r="AC13">
        <v>0</v>
      </c>
      <c r="AD13">
        <v>0</v>
      </c>
      <c r="AE13">
        <v>0</v>
      </c>
      <c r="AF13">
        <v>0</v>
      </c>
      <c r="AG13">
        <v>0</v>
      </c>
      <c r="AH13">
        <v>0</v>
      </c>
      <c r="AI13">
        <v>0</v>
      </c>
      <c r="AK13" t="s">
        <v>632</v>
      </c>
      <c r="AL13" s="67">
        <v>-4.5399999999999999E-5</v>
      </c>
      <c r="AM13" s="67">
        <v>4.7400000000000004E-6</v>
      </c>
      <c r="AN13" s="67">
        <v>-7.4100000000000002E-6</v>
      </c>
      <c r="AO13">
        <v>1.15303821853975E-4</v>
      </c>
      <c r="AP13" s="67">
        <v>-2.6299999999999999E-5</v>
      </c>
      <c r="AQ13" s="67">
        <v>-9.55E-6</v>
      </c>
      <c r="AR13" s="67">
        <v>1.9400000000000001E-5</v>
      </c>
      <c r="AS13" s="67">
        <v>1.01E-5</v>
      </c>
      <c r="AT13" s="67">
        <v>-1.5099999999999999E-5</v>
      </c>
      <c r="AU13" s="67">
        <v>-1.04E-5</v>
      </c>
      <c r="AV13" s="67">
        <v>9.5300000000000002E-7</v>
      </c>
      <c r="AW13" s="67">
        <v>2.5100000000000001E-6</v>
      </c>
      <c r="AX13" s="67">
        <v>-1.9E-6</v>
      </c>
      <c r="AY13" s="67">
        <v>-2.04E-7</v>
      </c>
      <c r="AZ13" s="67">
        <v>1.2799999999999999E-5</v>
      </c>
      <c r="BA13" s="67">
        <v>3.2200000000000001E-6</v>
      </c>
      <c r="BB13" s="67">
        <v>-3.9499999999999998E-7</v>
      </c>
      <c r="BC13" s="67">
        <v>4.0099999999999997E-6</v>
      </c>
      <c r="BD13">
        <v>7.3900000000000004E-7</v>
      </c>
      <c r="BE13">
        <v>-4.3000000000000001E-7</v>
      </c>
    </row>
    <row r="14" spans="2:57">
      <c r="B14" t="s">
        <v>331</v>
      </c>
      <c r="C14" s="1">
        <v>-0.117687</v>
      </c>
      <c r="D14" s="1">
        <v>1.2943360965866299E-2</v>
      </c>
      <c r="F14" s="1">
        <v>0.58668894458368104</v>
      </c>
      <c r="H14" t="s">
        <v>350</v>
      </c>
      <c r="I14" t="s">
        <v>351</v>
      </c>
      <c r="K14" s="1">
        <f t="shared" ca="1" si="0"/>
        <v>-1.0095758355893496</v>
      </c>
      <c r="L14" s="1">
        <f ca="1"/>
        <v>-2.3343826547073961E-2</v>
      </c>
      <c r="M14" s="1">
        <f t="shared" ca="1" si="1"/>
        <v>-0.14103082654707397</v>
      </c>
      <c r="N14" s="1"/>
      <c r="O14" s="1" t="s">
        <v>331</v>
      </c>
      <c r="P14">
        <v>-4.2900336790746103E-3</v>
      </c>
      <c r="Q14">
        <v>-4.4145511255769E-4</v>
      </c>
      <c r="R14">
        <v>-1.5088868424679399E-3</v>
      </c>
      <c r="S14">
        <v>-3.4664891748601399E-3</v>
      </c>
      <c r="T14">
        <v>1.16033630817069E-2</v>
      </c>
      <c r="U14">
        <v>0</v>
      </c>
      <c r="V14">
        <v>0</v>
      </c>
      <c r="W14">
        <v>0</v>
      </c>
      <c r="X14">
        <v>0</v>
      </c>
      <c r="Y14">
        <v>0</v>
      </c>
      <c r="Z14">
        <v>0</v>
      </c>
      <c r="AA14">
        <v>0</v>
      </c>
      <c r="AB14">
        <v>0</v>
      </c>
      <c r="AC14">
        <v>0</v>
      </c>
      <c r="AD14">
        <v>0</v>
      </c>
      <c r="AE14">
        <v>0</v>
      </c>
      <c r="AF14">
        <v>0</v>
      </c>
      <c r="AG14">
        <v>0</v>
      </c>
      <c r="AH14">
        <v>0</v>
      </c>
      <c r="AI14">
        <v>0</v>
      </c>
      <c r="AK14" t="s">
        <v>331</v>
      </c>
      <c r="AL14" s="67">
        <v>-1.0156865244789E-4</v>
      </c>
      <c r="AM14" s="67">
        <v>1.4E-5</v>
      </c>
      <c r="AN14" s="67">
        <v>-6.5300000000000002E-6</v>
      </c>
      <c r="AO14" s="67">
        <v>-2.6299999999999999E-5</v>
      </c>
      <c r="AP14">
        <v>1.67530593092712E-4</v>
      </c>
      <c r="AQ14" s="67">
        <v>1.29926545732518E-4</v>
      </c>
      <c r="AR14" s="67">
        <v>-2.43E-6</v>
      </c>
      <c r="AS14" s="67">
        <v>8.0500000000000002E-7</v>
      </c>
      <c r="AT14" s="67">
        <v>-1.8499999999999999E-5</v>
      </c>
      <c r="AU14" s="67">
        <v>-1.6099999999999998E-5</v>
      </c>
      <c r="AV14" s="67">
        <v>8.0700000000000007E-6</v>
      </c>
      <c r="AW14" s="67">
        <v>2.29E-7</v>
      </c>
      <c r="AX14" s="67">
        <v>-8.1699999999999997E-7</v>
      </c>
      <c r="AY14" s="67">
        <v>7.2399999999999997E-7</v>
      </c>
      <c r="AZ14" s="67">
        <v>-4.8999999999999997E-6</v>
      </c>
      <c r="BA14" s="67">
        <v>3.8799999999999998E-7</v>
      </c>
      <c r="BB14" s="67">
        <v>-7.5700000000000004E-6</v>
      </c>
      <c r="BC14" s="67">
        <v>1.84E-6</v>
      </c>
      <c r="BD14">
        <v>2.6299999999999998E-6</v>
      </c>
      <c r="BE14">
        <v>1.9999999999999999E-7</v>
      </c>
    </row>
    <row r="15" spans="2:57">
      <c r="B15" t="s">
        <v>332</v>
      </c>
      <c r="C15" s="1">
        <v>-5.1601000000000001E-2</v>
      </c>
      <c r="D15" s="1">
        <v>1.9721808197142102E-2</v>
      </c>
      <c r="F15" s="1">
        <v>0.17499303815093301</v>
      </c>
      <c r="H15">
        <f ca="1">SUMPRODUCT(M10:M24,F10:F24)</f>
        <v>-1.2694104302962326</v>
      </c>
      <c r="I15">
        <f ca="1">SUMPRODUCT(M10:M25,F10:F25)</f>
        <v>-1.2694104302962326</v>
      </c>
      <c r="K15" s="1">
        <f t="shared" ca="1" si="0"/>
        <v>2.3725706416187777</v>
      </c>
      <c r="L15" s="1">
        <f ca="1"/>
        <v>1.7052884080906196E-2</v>
      </c>
      <c r="M15" s="1">
        <f t="shared" ca="1" si="1"/>
        <v>-3.4548115919093805E-2</v>
      </c>
      <c r="N15" s="1"/>
      <c r="O15" s="1" t="s">
        <v>332</v>
      </c>
      <c r="P15">
        <v>-6.3371504811238297E-3</v>
      </c>
      <c r="Q15">
        <v>-8.7689068946868501E-4</v>
      </c>
      <c r="R15">
        <v>-5.7513567687032796E-4</v>
      </c>
      <c r="S15">
        <v>-2.1578263159199602E-3</v>
      </c>
      <c r="T15">
        <v>8.1015264262898207E-3</v>
      </c>
      <c r="U15">
        <v>1.66553168439036E-2</v>
      </c>
      <c r="V15">
        <v>0</v>
      </c>
      <c r="W15">
        <v>0</v>
      </c>
      <c r="X15">
        <v>0</v>
      </c>
      <c r="Y15">
        <v>0</v>
      </c>
      <c r="Z15">
        <v>0</v>
      </c>
      <c r="AA15">
        <v>0</v>
      </c>
      <c r="AB15">
        <v>0</v>
      </c>
      <c r="AC15">
        <v>0</v>
      </c>
      <c r="AD15">
        <v>0</v>
      </c>
      <c r="AE15">
        <v>0</v>
      </c>
      <c r="AF15">
        <v>0</v>
      </c>
      <c r="AG15">
        <v>0</v>
      </c>
      <c r="AH15">
        <v>0</v>
      </c>
      <c r="AI15">
        <v>0</v>
      </c>
      <c r="AK15" t="s">
        <v>332</v>
      </c>
      <c r="AL15">
        <v>-1.5003514724529801E-4</v>
      </c>
      <c r="AM15" s="67">
        <v>1.84E-5</v>
      </c>
      <c r="AN15" s="67">
        <v>7.5700000000000004E-6</v>
      </c>
      <c r="AO15" s="67">
        <v>-9.55E-6</v>
      </c>
      <c r="AP15" s="67">
        <v>1.29926545732518E-4</v>
      </c>
      <c r="AQ15">
        <v>3.88949718564862E-4</v>
      </c>
      <c r="AR15">
        <v>1.1399999999999999E-5</v>
      </c>
      <c r="AS15" s="67">
        <v>-5.6300000000000003E-6</v>
      </c>
      <c r="AT15" s="67">
        <v>-1.7900000000000001E-5</v>
      </c>
      <c r="AU15" s="67">
        <v>-1.29E-5</v>
      </c>
      <c r="AV15" s="67">
        <v>1.38E-5</v>
      </c>
      <c r="AW15" s="67">
        <v>-1.3E-7</v>
      </c>
      <c r="AX15" s="67">
        <v>-1.1799999999999999E-6</v>
      </c>
      <c r="AY15" s="67">
        <v>-4.7099999999999998E-6</v>
      </c>
      <c r="AZ15" s="67">
        <v>-2.08E-6</v>
      </c>
      <c r="BA15" s="67">
        <v>1.3799999999999999E-6</v>
      </c>
      <c r="BB15" s="67">
        <v>-7.1299999999999998E-5</v>
      </c>
      <c r="BC15" s="67">
        <v>3.5999999999999998E-6</v>
      </c>
      <c r="BD15">
        <v>-1.86E-6</v>
      </c>
      <c r="BE15">
        <v>6.7599999999999997E-7</v>
      </c>
    </row>
    <row r="16" spans="2:57">
      <c r="B16" t="s">
        <v>633</v>
      </c>
      <c r="C16" s="1">
        <v>0.11833399999999999</v>
      </c>
      <c r="D16" s="1">
        <v>1.3138832382979601E-2</v>
      </c>
      <c r="F16" s="1">
        <v>0.24377610693400201</v>
      </c>
      <c r="H16" s="1">
        <f ca="1">M22</f>
        <v>3.4917500906216169E-2</v>
      </c>
      <c r="I16" s="1">
        <f ca="1">M22+M26</f>
        <v>3.078422448570646E-2</v>
      </c>
      <c r="K16" s="1">
        <f t="shared" ca="1" si="0"/>
        <v>0.37475384907889459</v>
      </c>
      <c r="L16" s="1">
        <f ca="1"/>
        <v>2.4456579267592049E-3</v>
      </c>
      <c r="M16" s="1">
        <f t="shared" ca="1" si="1"/>
        <v>0.1207796579267592</v>
      </c>
      <c r="N16" s="1"/>
      <c r="O16" s="1" t="s">
        <v>633</v>
      </c>
      <c r="P16">
        <v>-2.1404401041433098E-3</v>
      </c>
      <c r="Q16">
        <v>4.1666350367084001E-4</v>
      </c>
      <c r="R16">
        <v>-6.8240265237067596E-4</v>
      </c>
      <c r="S16">
        <v>1.39914049775691E-3</v>
      </c>
      <c r="T16">
        <v>-6.5584668608965695E-4</v>
      </c>
      <c r="U16">
        <v>3.6949855243652801E-4</v>
      </c>
      <c r="V16">
        <v>1.2840712305202701E-2</v>
      </c>
      <c r="W16">
        <v>0</v>
      </c>
      <c r="X16">
        <v>0</v>
      </c>
      <c r="Y16">
        <v>0</v>
      </c>
      <c r="Z16">
        <v>0</v>
      </c>
      <c r="AA16">
        <v>0</v>
      </c>
      <c r="AB16">
        <v>0</v>
      </c>
      <c r="AC16">
        <v>0</v>
      </c>
      <c r="AD16">
        <v>0</v>
      </c>
      <c r="AE16">
        <v>0</v>
      </c>
      <c r="AF16">
        <v>0</v>
      </c>
      <c r="AG16">
        <v>0</v>
      </c>
      <c r="AH16">
        <v>0</v>
      </c>
      <c r="AI16">
        <v>0</v>
      </c>
      <c r="AK16" t="s">
        <v>633</v>
      </c>
      <c r="AL16">
        <v>-5.0699999999999999E-5</v>
      </c>
      <c r="AM16" s="67">
        <v>1.36E-5</v>
      </c>
      <c r="AN16" s="67">
        <v>-3.1099999999999999E-6</v>
      </c>
      <c r="AO16" s="67">
        <v>1.9400000000000001E-5</v>
      </c>
      <c r="AP16" s="67">
        <v>-2.43E-6</v>
      </c>
      <c r="AQ16">
        <v>1.1399999999999999E-5</v>
      </c>
      <c r="AR16">
        <v>1.72628916388033E-4</v>
      </c>
      <c r="AS16" s="67">
        <v>5.8999999999999998E-5</v>
      </c>
      <c r="AT16" s="67">
        <v>-3.5299999999999997E-5</v>
      </c>
      <c r="AU16" s="67">
        <v>-1.8899999999999999E-5</v>
      </c>
      <c r="AV16" s="67">
        <v>-6.8000000000000001E-6</v>
      </c>
      <c r="AW16" s="67">
        <v>-4.4599999999999996E-6</v>
      </c>
      <c r="AX16" s="67">
        <v>-7.6499999999999996E-6</v>
      </c>
      <c r="AY16" s="67">
        <v>-2.7999999999999999E-6</v>
      </c>
      <c r="AZ16" s="67">
        <v>-1.4100000000000001E-6</v>
      </c>
      <c r="BA16" s="67">
        <v>-5.2100000000000001E-6</v>
      </c>
      <c r="BB16" s="67">
        <v>-5.3300000000000002E-7</v>
      </c>
      <c r="BC16" s="67">
        <v>5.7300000000000002E-6</v>
      </c>
      <c r="BD16">
        <v>-4.8500000000000002E-6</v>
      </c>
      <c r="BE16">
        <v>-2.2700000000000001E-7</v>
      </c>
    </row>
    <row r="17" spans="2:57">
      <c r="B17" t="s">
        <v>634</v>
      </c>
      <c r="C17" s="1">
        <v>4.8743000000000002E-2</v>
      </c>
      <c r="D17" s="1">
        <v>1.2516387593574201E-2</v>
      </c>
      <c r="F17" s="1">
        <v>0.26633249791144498</v>
      </c>
      <c r="K17" s="1">
        <f t="shared" ca="1" si="0"/>
        <v>1.4937599547806741</v>
      </c>
      <c r="L17" s="1">
        <f ca="1"/>
        <v>1.2987563882458576E-2</v>
      </c>
      <c r="M17" s="1">
        <f t="shared" ca="1" si="1"/>
        <v>6.1730563882458581E-2</v>
      </c>
      <c r="N17" s="1"/>
      <c r="O17" s="1" t="s">
        <v>634</v>
      </c>
      <c r="P17">
        <v>-2.08502671794146E-3</v>
      </c>
      <c r="Q17">
        <v>-1.5345285114134701E-4</v>
      </c>
      <c r="R17">
        <v>-7.8290273318705104E-4</v>
      </c>
      <c r="S17">
        <v>4.9649300253196897E-4</v>
      </c>
      <c r="T17">
        <v>-6.6083493294817597E-4</v>
      </c>
      <c r="U17">
        <v>-7.8095043417662996E-4</v>
      </c>
      <c r="V17">
        <v>4.1486695899867997E-3</v>
      </c>
      <c r="W17">
        <v>1.15399994130504E-2</v>
      </c>
      <c r="X17">
        <v>0</v>
      </c>
      <c r="Y17">
        <v>0</v>
      </c>
      <c r="Z17">
        <v>0</v>
      </c>
      <c r="AA17">
        <v>0</v>
      </c>
      <c r="AB17">
        <v>0</v>
      </c>
      <c r="AC17">
        <v>0</v>
      </c>
      <c r="AD17">
        <v>0</v>
      </c>
      <c r="AE17">
        <v>0</v>
      </c>
      <c r="AF17">
        <v>0</v>
      </c>
      <c r="AG17">
        <v>0</v>
      </c>
      <c r="AH17">
        <v>0</v>
      </c>
      <c r="AI17">
        <v>0</v>
      </c>
      <c r="AK17" t="s">
        <v>634</v>
      </c>
      <c r="AL17">
        <v>-4.9400000000000001E-5</v>
      </c>
      <c r="AM17" s="67">
        <v>7.43E-6</v>
      </c>
      <c r="AN17" s="67">
        <v>-3.7400000000000002E-6</v>
      </c>
      <c r="AO17" s="67">
        <v>1.01E-5</v>
      </c>
      <c r="AP17" s="67">
        <v>8.0500000000000002E-7</v>
      </c>
      <c r="AQ17" s="67">
        <v>-5.6300000000000003E-6</v>
      </c>
      <c r="AR17" s="67">
        <v>5.8999999999999998E-5</v>
      </c>
      <c r="AS17">
        <v>1.5665995839257899E-4</v>
      </c>
      <c r="AT17">
        <v>-2.4199999999999999E-5</v>
      </c>
      <c r="AU17" s="67">
        <v>-1.6099999999999998E-5</v>
      </c>
      <c r="AV17" s="67">
        <v>-7.8699999999999992E-6</v>
      </c>
      <c r="AW17" s="67">
        <v>-7.7100000000000001E-7</v>
      </c>
      <c r="AX17" s="67">
        <v>-1.3E-6</v>
      </c>
      <c r="AY17" s="67">
        <v>6.5000000000000002E-7</v>
      </c>
      <c r="AZ17" s="67">
        <v>3.1200000000000002E-6</v>
      </c>
      <c r="BA17" s="67">
        <v>-1.2899999999999999E-6</v>
      </c>
      <c r="BB17" s="67">
        <v>-5.31E-6</v>
      </c>
      <c r="BC17" s="67">
        <v>-7.4600000000000004E-7</v>
      </c>
      <c r="BD17">
        <v>-3.4599999999999999E-6</v>
      </c>
      <c r="BE17">
        <v>-1.2499999999999999E-7</v>
      </c>
    </row>
    <row r="18" spans="2:57">
      <c r="B18" t="s">
        <v>635</v>
      </c>
      <c r="C18" s="1">
        <v>-4.3381999999999997E-2</v>
      </c>
      <c r="D18" s="1">
        <v>1.81810364180797E-2</v>
      </c>
      <c r="F18" s="1">
        <v>0.12659426343636901</v>
      </c>
      <c r="K18" s="1">
        <f t="shared" ca="1" si="0"/>
        <v>8.1837747634020602E-2</v>
      </c>
      <c r="L18" s="1">
        <f ca="1"/>
        <v>-1.1424662198782284E-2</v>
      </c>
      <c r="M18" s="1">
        <f t="shared" ca="1" si="1"/>
        <v>-5.4806662198782281E-2</v>
      </c>
      <c r="N18" s="1"/>
      <c r="O18" s="1" t="s">
        <v>635</v>
      </c>
      <c r="P18">
        <v>-4.2023926967327697E-3</v>
      </c>
      <c r="Q18">
        <v>9.5200922628372502E-4</v>
      </c>
      <c r="R18">
        <v>-1.55436926590753E-3</v>
      </c>
      <c r="S18">
        <v>-2.3368089429308299E-3</v>
      </c>
      <c r="T18">
        <v>-4.0093311668744497E-3</v>
      </c>
      <c r="U18">
        <v>-1.0280490858197301E-3</v>
      </c>
      <c r="V18">
        <v>-3.4813940286890399E-3</v>
      </c>
      <c r="W18">
        <v>-1.8927570131085101E-3</v>
      </c>
      <c r="X18">
        <v>1.64703571490818E-2</v>
      </c>
      <c r="Y18">
        <v>0</v>
      </c>
      <c r="Z18">
        <v>0</v>
      </c>
      <c r="AA18">
        <v>0</v>
      </c>
      <c r="AB18">
        <v>0</v>
      </c>
      <c r="AC18">
        <v>0</v>
      </c>
      <c r="AD18">
        <v>0</v>
      </c>
      <c r="AE18">
        <v>0</v>
      </c>
      <c r="AF18">
        <v>0</v>
      </c>
      <c r="AG18">
        <v>0</v>
      </c>
      <c r="AH18">
        <v>0</v>
      </c>
      <c r="AI18">
        <v>0</v>
      </c>
      <c r="AK18" t="s">
        <v>635</v>
      </c>
      <c r="AL18">
        <v>-9.9500000000000006E-5</v>
      </c>
      <c r="AM18" s="67">
        <v>2.8E-5</v>
      </c>
      <c r="AN18" s="67">
        <v>-8.4300000000000006E-6</v>
      </c>
      <c r="AO18" s="67">
        <v>-1.5099999999999999E-5</v>
      </c>
      <c r="AP18" s="67">
        <v>-1.8499999999999999E-5</v>
      </c>
      <c r="AQ18" s="67">
        <v>-1.7900000000000001E-5</v>
      </c>
      <c r="AR18" s="67">
        <v>-3.5299999999999997E-5</v>
      </c>
      <c r="AS18">
        <v>-2.4199999999999999E-5</v>
      </c>
      <c r="AT18">
        <v>3.3055008523554099E-4</v>
      </c>
      <c r="AU18" s="67">
        <v>1.10457020744484E-4</v>
      </c>
      <c r="AV18" s="67">
        <v>-1.66E-6</v>
      </c>
      <c r="AW18" s="67">
        <v>3.3400000000000002E-6</v>
      </c>
      <c r="AX18" s="67">
        <v>-2.35E-7</v>
      </c>
      <c r="AY18" s="67">
        <v>1.04E-5</v>
      </c>
      <c r="AZ18" s="67">
        <v>9.2199999999999998E-6</v>
      </c>
      <c r="BA18" s="67">
        <v>-2.1100000000000001E-6</v>
      </c>
      <c r="BB18" s="67">
        <v>-8.0800000000000006E-6</v>
      </c>
      <c r="BC18" s="67">
        <v>4.4100000000000001E-6</v>
      </c>
      <c r="BD18">
        <v>4.4800000000000003E-6</v>
      </c>
      <c r="BE18">
        <v>4.9599999999999999E-7</v>
      </c>
    </row>
    <row r="19" spans="2:57">
      <c r="B19" t="s">
        <v>636</v>
      </c>
      <c r="C19" s="1">
        <v>-7.9875000000000002E-2</v>
      </c>
      <c r="D19" s="1">
        <v>1.2205460516092E-2</v>
      </c>
      <c r="F19" s="1">
        <v>0.61203007518797004</v>
      </c>
      <c r="K19" s="1">
        <f t="shared" ca="1" si="0"/>
        <v>-0.80942777431383184</v>
      </c>
      <c r="L19" s="1">
        <f ca="1"/>
        <v>-1.9143055100405534E-2</v>
      </c>
      <c r="M19" s="1">
        <f t="shared" ca="1" si="1"/>
        <v>-9.9018055100405539E-2</v>
      </c>
      <c r="N19" s="1"/>
      <c r="O19" s="1" t="s">
        <v>636</v>
      </c>
      <c r="P19">
        <v>-3.8660885321772998E-3</v>
      </c>
      <c r="Q19">
        <v>-9.9522400442927602E-4</v>
      </c>
      <c r="R19">
        <v>-1.2507748845405301E-3</v>
      </c>
      <c r="S19">
        <v>-1.8633097573376E-3</v>
      </c>
      <c r="T19">
        <v>-3.5770718850638801E-3</v>
      </c>
      <c r="U19">
        <v>-8.4397815479238204E-4</v>
      </c>
      <c r="V19">
        <v>-2.1081475607436402E-3</v>
      </c>
      <c r="W19">
        <v>-1.6125968015057201E-3</v>
      </c>
      <c r="X19">
        <v>3.8407444629121701E-3</v>
      </c>
      <c r="Y19">
        <v>9.6278751020411005E-3</v>
      </c>
      <c r="Z19">
        <v>0</v>
      </c>
      <c r="AA19">
        <v>0</v>
      </c>
      <c r="AB19">
        <v>0</v>
      </c>
      <c r="AC19">
        <v>0</v>
      </c>
      <c r="AD19">
        <v>0</v>
      </c>
      <c r="AE19">
        <v>0</v>
      </c>
      <c r="AF19">
        <v>0</v>
      </c>
      <c r="AG19">
        <v>0</v>
      </c>
      <c r="AH19">
        <v>0</v>
      </c>
      <c r="AI19">
        <v>0</v>
      </c>
      <c r="AK19" t="s">
        <v>636</v>
      </c>
      <c r="AL19">
        <v>-9.1500000000000001E-5</v>
      </c>
      <c r="AM19" s="67">
        <v>6.4500000000000001E-6</v>
      </c>
      <c r="AN19" s="67">
        <v>-4.2200000000000003E-6</v>
      </c>
      <c r="AO19" s="67">
        <v>-1.04E-5</v>
      </c>
      <c r="AP19" s="67">
        <v>-1.6099999999999998E-5</v>
      </c>
      <c r="AQ19" s="67">
        <v>-1.29E-5</v>
      </c>
      <c r="AR19" s="67">
        <v>-1.8899999999999999E-5</v>
      </c>
      <c r="AS19" s="67">
        <v>-1.6099999999999998E-5</v>
      </c>
      <c r="AT19" s="67">
        <v>1.10457020744484E-4</v>
      </c>
      <c r="AU19">
        <v>1.48973266409882E-4</v>
      </c>
      <c r="AV19">
        <v>1.1000000000000001E-6</v>
      </c>
      <c r="AW19" s="67">
        <v>1.8799999999999999E-7</v>
      </c>
      <c r="AX19" s="67">
        <v>3.2799999999999999E-6</v>
      </c>
      <c r="AY19" s="67">
        <v>3.05E-6</v>
      </c>
      <c r="AZ19" s="67">
        <v>8.9800000000000004E-6</v>
      </c>
      <c r="BA19" s="67">
        <v>1.5799999999999999E-6</v>
      </c>
      <c r="BB19" s="67">
        <v>4.34E-6</v>
      </c>
      <c r="BC19" s="67">
        <v>1.4100000000000001E-6</v>
      </c>
      <c r="BD19">
        <v>2.96E-6</v>
      </c>
      <c r="BE19">
        <v>-1.1600000000000001E-7</v>
      </c>
    </row>
    <row r="20" spans="2:57">
      <c r="B20" t="s">
        <v>498</v>
      </c>
      <c r="C20" s="1">
        <v>0.291773</v>
      </c>
      <c r="D20" s="1">
        <v>1.14228503701013E-2</v>
      </c>
      <c r="F20" s="1">
        <v>0.41102756892230602</v>
      </c>
      <c r="K20" s="1">
        <f t="shared" ca="1" si="0"/>
        <v>-2.6222647424190435</v>
      </c>
      <c r="L20" s="1">
        <f ca="1"/>
        <v>-3.4390969570988271E-2</v>
      </c>
      <c r="M20" s="1">
        <f t="shared" ca="1" si="1"/>
        <v>0.25738203042901175</v>
      </c>
      <c r="N20" s="1"/>
      <c r="O20" s="1" t="s">
        <v>498</v>
      </c>
      <c r="P20">
        <v>-2.2197919745296502E-3</v>
      </c>
      <c r="Q20">
        <v>-1.89103942963897E-3</v>
      </c>
      <c r="R20">
        <v>6.6200000000000001E-6</v>
      </c>
      <c r="S20">
        <v>-3.7614657054079202E-4</v>
      </c>
      <c r="T20">
        <v>-3.0869513907798502E-4</v>
      </c>
      <c r="U20">
        <v>-1.4E-5</v>
      </c>
      <c r="V20">
        <v>-8.1220887560037598E-4</v>
      </c>
      <c r="W20">
        <v>-8.1831959196901804E-4</v>
      </c>
      <c r="X20">
        <v>-9.5219992732563396E-4</v>
      </c>
      <c r="Y20">
        <v>-1.09564832637562E-3</v>
      </c>
      <c r="Z20">
        <v>1.08767883339546E-2</v>
      </c>
      <c r="AA20">
        <v>0</v>
      </c>
      <c r="AB20">
        <v>0</v>
      </c>
      <c r="AC20">
        <v>0</v>
      </c>
      <c r="AD20">
        <v>0</v>
      </c>
      <c r="AE20">
        <v>0</v>
      </c>
      <c r="AF20">
        <v>0</v>
      </c>
      <c r="AG20">
        <v>0</v>
      </c>
      <c r="AH20">
        <v>0</v>
      </c>
      <c r="AI20">
        <v>0</v>
      </c>
      <c r="AK20" t="s">
        <v>498</v>
      </c>
      <c r="AL20">
        <v>-5.2599999999999998E-5</v>
      </c>
      <c r="AM20" s="67">
        <v>-9.91E-6</v>
      </c>
      <c r="AN20" s="67">
        <v>6.2299999999999996E-6</v>
      </c>
      <c r="AO20" s="67">
        <v>9.5300000000000002E-7</v>
      </c>
      <c r="AP20" s="67">
        <v>8.0700000000000007E-6</v>
      </c>
      <c r="AQ20" s="67">
        <v>1.38E-5</v>
      </c>
      <c r="AR20" s="67">
        <v>-6.8000000000000001E-6</v>
      </c>
      <c r="AS20" s="67">
        <v>-7.8699999999999992E-6</v>
      </c>
      <c r="AT20" s="67">
        <v>-1.66E-6</v>
      </c>
      <c r="AU20">
        <v>1.1000000000000001E-6</v>
      </c>
      <c r="AV20">
        <v>1.3048151057772401E-4</v>
      </c>
      <c r="AW20" s="67">
        <v>-1.47E-5</v>
      </c>
      <c r="AX20" s="67">
        <v>-1.38E-5</v>
      </c>
      <c r="AY20" s="67">
        <v>-3.1099999999999997E-5</v>
      </c>
      <c r="AZ20" s="67">
        <v>1.5999999999999999E-5</v>
      </c>
      <c r="BA20" s="67">
        <v>-7.3599999999999998E-6</v>
      </c>
      <c r="BB20" s="67">
        <v>6.7700000000000004E-6</v>
      </c>
      <c r="BC20" s="67">
        <v>-3.9700000000000001E-6</v>
      </c>
      <c r="BD20">
        <v>-3.9600000000000002E-6</v>
      </c>
      <c r="BE20">
        <v>5.5599999999999995E-7</v>
      </c>
    </row>
    <row r="21" spans="2:57">
      <c r="B21" t="s">
        <v>41</v>
      </c>
      <c r="C21" s="1">
        <v>0.25036399999999998</v>
      </c>
      <c r="D21" s="1">
        <v>1.0979022500252501E-2</v>
      </c>
      <c r="F21" s="1">
        <v>0.418045112781955</v>
      </c>
      <c r="K21" s="1">
        <f t="shared" ca="1" si="0"/>
        <v>-0.14661594378708365</v>
      </c>
      <c r="L21" s="1">
        <f ca="1"/>
        <v>2.6126722343043293E-4</v>
      </c>
      <c r="M21" s="1">
        <f t="shared" ca="1" si="1"/>
        <v>0.25062526722343043</v>
      </c>
      <c r="N21" s="1"/>
      <c r="O21" s="1" t="s">
        <v>41</v>
      </c>
      <c r="P21">
        <v>-1.1474898960702E-3</v>
      </c>
      <c r="Q21">
        <v>-1.25658323257934E-3</v>
      </c>
      <c r="R21">
        <v>-7.6511490798912096E-4</v>
      </c>
      <c r="S21">
        <v>-9.3399999999999993E-5</v>
      </c>
      <c r="T21">
        <v>-5.7969086957627102E-4</v>
      </c>
      <c r="U21">
        <v>-2.6709616942934602E-4</v>
      </c>
      <c r="V21">
        <v>-5.5045829532333597E-4</v>
      </c>
      <c r="W21">
        <v>-1.9212218585195601E-4</v>
      </c>
      <c r="X21">
        <v>-3.9916874223830401E-4</v>
      </c>
      <c r="Y21">
        <v>-9.2083367818757199E-4</v>
      </c>
      <c r="Z21">
        <v>-2.0111815665074901E-3</v>
      </c>
      <c r="AA21">
        <v>1.0547495555261001E-2</v>
      </c>
      <c r="AB21">
        <v>0</v>
      </c>
      <c r="AC21">
        <v>0</v>
      </c>
      <c r="AD21">
        <v>0</v>
      </c>
      <c r="AE21">
        <v>0</v>
      </c>
      <c r="AF21">
        <v>0</v>
      </c>
      <c r="AG21">
        <v>0</v>
      </c>
      <c r="AH21">
        <v>0</v>
      </c>
      <c r="AI21">
        <v>0</v>
      </c>
      <c r="AK21" t="s">
        <v>41</v>
      </c>
      <c r="AL21">
        <v>-2.72E-5</v>
      </c>
      <c r="AM21" s="67">
        <v>-7.9999999999999996E-6</v>
      </c>
      <c r="AN21" s="67">
        <v>-4.4299999999999999E-6</v>
      </c>
      <c r="AO21" s="67">
        <v>2.5100000000000001E-6</v>
      </c>
      <c r="AP21" s="67">
        <v>2.29E-7</v>
      </c>
      <c r="AQ21" s="67">
        <v>-1.3E-7</v>
      </c>
      <c r="AR21" s="67">
        <v>-4.4599999999999996E-6</v>
      </c>
      <c r="AS21" s="67">
        <v>-7.7100000000000001E-7</v>
      </c>
      <c r="AT21" s="67">
        <v>3.3400000000000002E-6</v>
      </c>
      <c r="AU21" s="67">
        <v>1.8799999999999999E-7</v>
      </c>
      <c r="AV21" s="67">
        <v>-1.47E-5</v>
      </c>
      <c r="AW21">
        <v>1.2053893506105E-4</v>
      </c>
      <c r="AX21" s="67">
        <v>-3.03E-7</v>
      </c>
      <c r="AY21" s="67">
        <v>-2.6599999999999999E-5</v>
      </c>
      <c r="AZ21" s="67">
        <v>-3.0599999999999999E-6</v>
      </c>
      <c r="BA21" s="67">
        <v>-4.8600000000000001E-6</v>
      </c>
      <c r="BB21" s="67">
        <v>-1.9199999999999998E-6</v>
      </c>
      <c r="BC21" s="67">
        <v>-1.55E-6</v>
      </c>
      <c r="BD21">
        <v>-5.49E-6</v>
      </c>
      <c r="BE21">
        <v>2.4200000000000002E-7</v>
      </c>
    </row>
    <row r="22" spans="2:57">
      <c r="B22" t="s">
        <v>637</v>
      </c>
      <c r="C22" s="1">
        <v>4.0073999999999999E-2</v>
      </c>
      <c r="D22" s="1">
        <v>1.6956750950098E-2</v>
      </c>
      <c r="F22">
        <v>0</v>
      </c>
      <c r="K22" s="1">
        <f t="shared" ca="1" si="0"/>
        <v>-0.48406941218346122</v>
      </c>
      <c r="L22" s="1">
        <f ca="1"/>
        <v>-5.1564990937838281E-3</v>
      </c>
      <c r="M22" s="1">
        <f t="shared" ca="1" si="1"/>
        <v>3.4917500906216169E-2</v>
      </c>
      <c r="N22" s="1"/>
      <c r="O22" s="1" t="s">
        <v>637</v>
      </c>
      <c r="P22">
        <v>4.3600000000000003E-5</v>
      </c>
      <c r="Q22">
        <v>7.0742882305035797E-4</v>
      </c>
      <c r="R22">
        <v>-2.54907475507338E-4</v>
      </c>
      <c r="S22">
        <v>-1.77307749989048E-4</v>
      </c>
      <c r="T22">
        <v>-1.13476251475104E-4</v>
      </c>
      <c r="U22">
        <v>6.64E-6</v>
      </c>
      <c r="V22">
        <v>-6.1149492901560801E-4</v>
      </c>
      <c r="W22">
        <v>1.0835539012064599E-4</v>
      </c>
      <c r="X22">
        <v>-2.37257919556198E-4</v>
      </c>
      <c r="Y22">
        <v>3.01556966808609E-4</v>
      </c>
      <c r="Z22" s="67">
        <v>-1.1708691447879899E-3</v>
      </c>
      <c r="AA22">
        <v>-2.0166674373172901E-4</v>
      </c>
      <c r="AB22">
        <v>1.68812087261794E-2</v>
      </c>
      <c r="AC22">
        <v>0</v>
      </c>
      <c r="AD22">
        <v>0</v>
      </c>
      <c r="AE22">
        <v>0</v>
      </c>
      <c r="AF22">
        <v>0</v>
      </c>
      <c r="AG22">
        <v>0</v>
      </c>
      <c r="AH22">
        <v>0</v>
      </c>
      <c r="AI22">
        <v>0</v>
      </c>
      <c r="AK22" t="s">
        <v>637</v>
      </c>
      <c r="AL22" s="67">
        <v>1.0300000000000001E-6</v>
      </c>
      <c r="AM22" s="67">
        <v>7.1099999999999997E-6</v>
      </c>
      <c r="AN22" s="67">
        <v>-3.3500000000000001E-6</v>
      </c>
      <c r="AO22" s="67">
        <v>-1.9E-6</v>
      </c>
      <c r="AP22" s="67">
        <v>-8.1699999999999997E-7</v>
      </c>
      <c r="AQ22" s="67">
        <v>-1.1799999999999999E-6</v>
      </c>
      <c r="AR22" s="67">
        <v>-7.6499999999999996E-6</v>
      </c>
      <c r="AS22" s="67">
        <v>-1.3E-6</v>
      </c>
      <c r="AT22" s="67">
        <v>-2.35E-7</v>
      </c>
      <c r="AU22" s="67">
        <v>3.2799999999999999E-6</v>
      </c>
      <c r="AV22" s="67">
        <v>-1.38E-5</v>
      </c>
      <c r="AW22" s="67">
        <v>-3.03E-7</v>
      </c>
      <c r="AX22" s="67">
        <v>2.8753140278365202E-4</v>
      </c>
      <c r="AY22" s="67">
        <v>-7.7600000000000002E-5</v>
      </c>
      <c r="AZ22" s="67">
        <v>-1.2799999999999999E-5</v>
      </c>
      <c r="BA22" s="67">
        <v>5.8900000000000004E-6</v>
      </c>
      <c r="BB22" s="67">
        <v>-2.2500000000000001E-6</v>
      </c>
      <c r="BC22" s="67">
        <v>5.51E-7</v>
      </c>
      <c r="BD22">
        <v>-1.6500000000000001E-6</v>
      </c>
      <c r="BE22">
        <v>-1.17E-5</v>
      </c>
    </row>
    <row r="23" spans="2:57">
      <c r="B23" t="s">
        <v>638</v>
      </c>
      <c r="C23" s="1">
        <v>-8.2889999999999995E-3</v>
      </c>
      <c r="D23" s="1">
        <v>1.3445990523968099E-2</v>
      </c>
      <c r="F23">
        <v>0.27100000000000002</v>
      </c>
      <c r="K23" s="1">
        <f t="shared" ca="1" si="0"/>
        <v>-0.3057158320162327</v>
      </c>
      <c r="L23" s="1">
        <f ca="1"/>
        <v>5.4088633013141697E-3</v>
      </c>
      <c r="M23" s="1">
        <f t="shared" ca="1" si="1"/>
        <v>-2.8801366986858298E-3</v>
      </c>
      <c r="N23" s="1"/>
      <c r="O23" s="1" t="s">
        <v>638</v>
      </c>
      <c r="P23">
        <v>-4.2319520025676502E-4</v>
      </c>
      <c r="Q23">
        <v>1.9300000000000002E-5</v>
      </c>
      <c r="R23">
        <v>1.9599999999999999E-6</v>
      </c>
      <c r="S23">
        <v>-9.59E-5</v>
      </c>
      <c r="T23">
        <v>-1.21689040328691E-4</v>
      </c>
      <c r="U23">
        <v>-3.9596360088516502E-4</v>
      </c>
      <c r="V23">
        <v>-2.73203541920085E-4</v>
      </c>
      <c r="W23">
        <v>4.8900000000000003E-5</v>
      </c>
      <c r="X23">
        <v>4.0241588796973598E-4</v>
      </c>
      <c r="Y23">
        <v>-1.6143389798957801E-4</v>
      </c>
      <c r="Z23">
        <v>-2.9476835116237399E-3</v>
      </c>
      <c r="AA23">
        <v>-3.15892452205309E-3</v>
      </c>
      <c r="AB23">
        <v>-4.8402811015240401E-3</v>
      </c>
      <c r="AC23">
        <v>1.1750464345055601E-2</v>
      </c>
      <c r="AD23">
        <v>0</v>
      </c>
      <c r="AE23">
        <v>0</v>
      </c>
      <c r="AF23">
        <v>0</v>
      </c>
      <c r="AG23">
        <v>0</v>
      </c>
      <c r="AH23">
        <v>0</v>
      </c>
      <c r="AI23">
        <v>0</v>
      </c>
      <c r="AK23" t="s">
        <v>638</v>
      </c>
      <c r="AL23" s="67">
        <v>-1.0000000000000001E-5</v>
      </c>
      <c r="AM23" s="67">
        <v>2.03E-6</v>
      </c>
      <c r="AN23" s="67">
        <v>8.5099999999999998E-7</v>
      </c>
      <c r="AO23" s="67">
        <v>-2.04E-7</v>
      </c>
      <c r="AP23" s="67">
        <v>7.2399999999999997E-7</v>
      </c>
      <c r="AQ23" s="67">
        <v>-4.7099999999999998E-6</v>
      </c>
      <c r="AR23" s="67">
        <v>-2.7999999999999999E-6</v>
      </c>
      <c r="AS23" s="67">
        <v>6.5000000000000002E-7</v>
      </c>
      <c r="AT23" s="67">
        <v>1.04E-5</v>
      </c>
      <c r="AU23" s="67">
        <v>3.05E-6</v>
      </c>
      <c r="AV23" s="67">
        <v>-3.1099999999999997E-5</v>
      </c>
      <c r="AW23" s="67">
        <v>-2.6599999999999999E-5</v>
      </c>
      <c r="AX23" s="67">
        <v>-7.7600000000000002E-5</v>
      </c>
      <c r="AY23" s="67">
        <v>1.8079466117064101E-4</v>
      </c>
      <c r="AZ23" s="67">
        <v>-9.9199999999999999E-6</v>
      </c>
      <c r="BA23" s="67">
        <v>-1.0699999999999999E-5</v>
      </c>
      <c r="BB23" s="67">
        <v>-4.4100000000000001E-6</v>
      </c>
      <c r="BC23" s="67">
        <v>-2.8900000000000001E-7</v>
      </c>
      <c r="BD23">
        <v>-2.2699999999999999E-6</v>
      </c>
      <c r="BE23">
        <v>9.6800000000000009E-7</v>
      </c>
    </row>
    <row r="24" spans="2:57">
      <c r="B24" t="s">
        <v>639</v>
      </c>
      <c r="C24" s="1">
        <v>-5.9601000000000001E-2</v>
      </c>
      <c r="D24" s="1">
        <v>1.5924691308864099E-2</v>
      </c>
      <c r="F24">
        <v>0</v>
      </c>
      <c r="K24" s="1">
        <f t="shared" ca="1" si="0"/>
        <v>-8.3216493453882566E-3</v>
      </c>
      <c r="L24" s="1">
        <f ca="1"/>
        <v>-1.4307885690673381E-2</v>
      </c>
      <c r="M24" s="1">
        <f t="shared" ca="1" si="1"/>
        <v>-7.3908885690673387E-2</v>
      </c>
      <c r="N24" s="1"/>
      <c r="O24" s="1" t="s">
        <v>639</v>
      </c>
      <c r="P24">
        <v>-9.7882496981614702E-3</v>
      </c>
      <c r="Q24">
        <v>-4.2373026140030898E-3</v>
      </c>
      <c r="R24">
        <v>-2.5139695989730101E-3</v>
      </c>
      <c r="S24">
        <v>-9.7991682721752598E-4</v>
      </c>
      <c r="T24">
        <v>-4.8220971513751997E-3</v>
      </c>
      <c r="U24">
        <v>-1.94072396818496E-3</v>
      </c>
      <c r="V24">
        <v>-1.82129581929757E-3</v>
      </c>
      <c r="W24">
        <v>-1.43528867677492E-3</v>
      </c>
      <c r="X24">
        <v>-3.9140137499355599E-3</v>
      </c>
      <c r="Y24">
        <v>-4.9913359076852E-3</v>
      </c>
      <c r="Z24">
        <v>-2.5209126257976699E-3</v>
      </c>
      <c r="AA24">
        <v>-3.5506922527414201E-3</v>
      </c>
      <c r="AB24">
        <v>-8.7223465430373505E-4</v>
      </c>
      <c r="AC24">
        <v>-3.2296512220647299E-3</v>
      </c>
      <c r="AD24">
        <v>5.4560013766095398E-3</v>
      </c>
      <c r="AE24">
        <v>0</v>
      </c>
      <c r="AF24">
        <v>0</v>
      </c>
      <c r="AG24">
        <v>0</v>
      </c>
      <c r="AH24">
        <v>0</v>
      </c>
      <c r="AI24">
        <v>0</v>
      </c>
      <c r="AK24" t="s">
        <v>639</v>
      </c>
      <c r="AL24" s="67">
        <v>-2.3174161464396199E-4</v>
      </c>
      <c r="AM24" s="67">
        <v>-1.39E-6</v>
      </c>
      <c r="AN24" s="67">
        <v>-2.4099999999999998E-6</v>
      </c>
      <c r="AO24" s="67">
        <v>1.2799999999999999E-5</v>
      </c>
      <c r="AP24" s="67">
        <v>-4.8999999999999997E-6</v>
      </c>
      <c r="AQ24" s="67">
        <v>-2.08E-6</v>
      </c>
      <c r="AR24" s="67">
        <v>-1.4100000000000001E-6</v>
      </c>
      <c r="AS24" s="67">
        <v>3.1200000000000002E-6</v>
      </c>
      <c r="AT24" s="67">
        <v>9.2199999999999998E-6</v>
      </c>
      <c r="AU24" s="67">
        <v>8.9800000000000004E-6</v>
      </c>
      <c r="AV24" s="67">
        <v>1.5999999999999999E-5</v>
      </c>
      <c r="AW24" s="67">
        <v>-3.0599999999999999E-6</v>
      </c>
      <c r="AX24" s="67">
        <v>-1.2799999999999999E-5</v>
      </c>
      <c r="AY24" s="67">
        <v>-9.9199999999999999E-6</v>
      </c>
      <c r="AZ24" s="67">
        <v>2.5359579328261198E-4</v>
      </c>
      <c r="BA24" s="67">
        <v>6.5200000000000003E-6</v>
      </c>
      <c r="BB24" s="67">
        <v>5.1699999999999996E-6</v>
      </c>
      <c r="BC24" s="67">
        <v>2.0800000000000001E-7</v>
      </c>
      <c r="BD24">
        <v>-1.64E-6</v>
      </c>
      <c r="BE24">
        <v>-4.5400000000000002E-7</v>
      </c>
    </row>
    <row r="25" spans="2:57">
      <c r="B25" t="s">
        <v>499</v>
      </c>
      <c r="C25" s="1">
        <v>0.2495</v>
      </c>
      <c r="D25" s="1">
        <v>5.9174974670758596E-3</v>
      </c>
      <c r="F25" s="14">
        <v>0</v>
      </c>
      <c r="K25" s="1">
        <f t="shared" ca="1" si="0"/>
        <v>-1.3703469969328448</v>
      </c>
      <c r="L25" s="1">
        <f ca="1"/>
        <v>-5.643432659893222E-3</v>
      </c>
      <c r="M25" s="1">
        <f t="shared" ca="1" si="1"/>
        <v>0.24385656734010677</v>
      </c>
      <c r="N25" s="1"/>
      <c r="O25" s="1" t="s">
        <v>499</v>
      </c>
      <c r="P25">
        <v>1.81553356886163E-4</v>
      </c>
      <c r="Q25">
        <v>-2.5267369014159998E-4</v>
      </c>
      <c r="R25">
        <v>1.4E-5</v>
      </c>
      <c r="S25">
        <v>3.32759309564613E-4</v>
      </c>
      <c r="T25">
        <v>1.9221734772432701E-4</v>
      </c>
      <c r="U25">
        <v>8.8700000000000001E-5</v>
      </c>
      <c r="V25">
        <v>-3.95810789838232E-4</v>
      </c>
      <c r="W25">
        <v>6.3899999999999995E-5</v>
      </c>
      <c r="X25">
        <v>-4.2400000000000001E-5</v>
      </c>
      <c r="Y25">
        <v>2.9734092301376698E-4</v>
      </c>
      <c r="Z25">
        <v>-6.6535081211300303E-4</v>
      </c>
      <c r="AA25">
        <v>-5.7628672414266301E-4</v>
      </c>
      <c r="AB25">
        <v>2.9011187135306399E-4</v>
      </c>
      <c r="AC25">
        <v>-1.10630318580283E-3</v>
      </c>
      <c r="AD25">
        <v>4.2705443867886202E-4</v>
      </c>
      <c r="AE25">
        <v>5.6785633944160304E-3</v>
      </c>
      <c r="AF25">
        <v>0</v>
      </c>
      <c r="AG25">
        <v>0</v>
      </c>
      <c r="AH25">
        <v>0</v>
      </c>
      <c r="AI25">
        <v>0</v>
      </c>
      <c r="AK25" t="s">
        <v>499</v>
      </c>
      <c r="AL25" s="67">
        <v>4.3000000000000003E-6</v>
      </c>
      <c r="AM25" s="67">
        <v>-3.3900000000000002E-6</v>
      </c>
      <c r="AN25" s="67">
        <v>8.7799999999999999E-9</v>
      </c>
      <c r="AO25" s="67">
        <v>3.2200000000000001E-6</v>
      </c>
      <c r="AP25" s="67">
        <v>3.8799999999999998E-7</v>
      </c>
      <c r="AQ25" s="67">
        <v>1.3799999999999999E-6</v>
      </c>
      <c r="AR25" s="67">
        <v>-5.2100000000000001E-6</v>
      </c>
      <c r="AS25" s="67">
        <v>-1.2899999999999999E-6</v>
      </c>
      <c r="AT25" s="67">
        <v>-2.1100000000000001E-6</v>
      </c>
      <c r="AU25" s="67">
        <v>1.5799999999999999E-6</v>
      </c>
      <c r="AV25" s="67">
        <v>-7.3599999999999998E-6</v>
      </c>
      <c r="AW25" s="67">
        <v>-4.8600000000000001E-6</v>
      </c>
      <c r="AX25" s="67">
        <v>5.8900000000000004E-6</v>
      </c>
      <c r="AY25" s="67">
        <v>-1.0699999999999999E-5</v>
      </c>
      <c r="AZ25" s="67">
        <v>6.5200000000000003E-6</v>
      </c>
      <c r="BA25">
        <v>3.4999999999999997E-5</v>
      </c>
      <c r="BB25">
        <v>4.3100000000000002E-6</v>
      </c>
      <c r="BC25" s="67">
        <v>-1.55E-6</v>
      </c>
      <c r="BD25">
        <v>-2.08E-6</v>
      </c>
      <c r="BE25">
        <v>-6.1099999999999999E-6</v>
      </c>
    </row>
    <row r="26" spans="2:57">
      <c r="B26" t="s">
        <v>640</v>
      </c>
      <c r="C26" s="1">
        <v>5.3229999999999996E-3</v>
      </c>
      <c r="D26" s="1">
        <v>6.7619624531671399E-3</v>
      </c>
      <c r="F26" s="14">
        <v>0</v>
      </c>
      <c r="K26" s="1">
        <f t="shared" ca="1" si="0"/>
        <v>0.45772000826127229</v>
      </c>
      <c r="L26" s="1">
        <f ca="1"/>
        <v>-9.4562764205097082E-3</v>
      </c>
      <c r="M26" s="1">
        <f t="shared" ca="1" si="1"/>
        <v>-4.1332764205097086E-3</v>
      </c>
      <c r="N26" s="1"/>
      <c r="O26" s="1" t="s">
        <v>640</v>
      </c>
      <c r="P26">
        <v>9.4259972981713697E-4</v>
      </c>
      <c r="Q26">
        <v>-8.42E-5</v>
      </c>
      <c r="R26">
        <v>-1.04742360411757E-3</v>
      </c>
      <c r="S26">
        <v>1.9599999999999999E-5</v>
      </c>
      <c r="T26">
        <v>-4.3768171315745598E-4</v>
      </c>
      <c r="U26">
        <v>-3.7483413772959801E-3</v>
      </c>
      <c r="V26">
        <v>1.46022050265873E-4</v>
      </c>
      <c r="W26">
        <v>-6.9412355238485796E-4</v>
      </c>
      <c r="X26">
        <v>-7.3061873632944603E-4</v>
      </c>
      <c r="Y26">
        <v>4.0443059537397799E-4</v>
      </c>
      <c r="Z26">
        <v>7.19790970488222E-4</v>
      </c>
      <c r="AA26">
        <v>-1.4420537292716401E-4</v>
      </c>
      <c r="AB26">
        <v>-1.0903698388018801E-4</v>
      </c>
      <c r="AC26">
        <v>-3.38221337900222E-4</v>
      </c>
      <c r="AD26">
        <v>1.0769946939033E-4</v>
      </c>
      <c r="AE26">
        <v>7.9297412895924996E-4</v>
      </c>
      <c r="AF26">
        <v>5.1943058267561399E-3</v>
      </c>
      <c r="AG26">
        <v>0</v>
      </c>
      <c r="AH26">
        <v>0</v>
      </c>
      <c r="AI26">
        <v>0</v>
      </c>
      <c r="AK26" t="s">
        <v>640</v>
      </c>
      <c r="AL26" s="67">
        <v>2.23E-5</v>
      </c>
      <c r="AM26" s="67">
        <v>-4.95E-6</v>
      </c>
      <c r="AN26" s="67">
        <v>-1.26E-5</v>
      </c>
      <c r="AO26" s="67">
        <v>-3.9499999999999998E-7</v>
      </c>
      <c r="AP26" s="67">
        <v>-7.5700000000000004E-6</v>
      </c>
      <c r="AQ26" s="67">
        <v>-7.1299999999999998E-5</v>
      </c>
      <c r="AR26" s="67">
        <v>-5.3300000000000002E-7</v>
      </c>
      <c r="AS26" s="67">
        <v>-5.31E-6</v>
      </c>
      <c r="AT26" s="67">
        <v>-8.0800000000000006E-6</v>
      </c>
      <c r="AU26" s="67">
        <v>4.34E-6</v>
      </c>
      <c r="AV26" s="67">
        <v>6.7700000000000004E-6</v>
      </c>
      <c r="AW26" s="67">
        <v>-1.9199999999999998E-6</v>
      </c>
      <c r="AX26" s="67">
        <v>-2.2500000000000001E-6</v>
      </c>
      <c r="AY26" s="67">
        <v>-4.4100000000000001E-6</v>
      </c>
      <c r="AZ26" s="67">
        <v>5.1699999999999996E-6</v>
      </c>
      <c r="BA26">
        <v>4.3100000000000002E-6</v>
      </c>
      <c r="BB26">
        <v>4.57E-5</v>
      </c>
      <c r="BC26" s="67">
        <v>-3.8299999999999998E-6</v>
      </c>
      <c r="BD26">
        <v>-4.6399999999999996E-6</v>
      </c>
      <c r="BE26">
        <v>-5.3200000000000005E-7</v>
      </c>
    </row>
    <row r="27" spans="2:57">
      <c r="B27" t="s">
        <v>497</v>
      </c>
      <c r="C27" s="1">
        <v>6.7431000000000005E-2</v>
      </c>
      <c r="D27" s="1">
        <v>5.2156736085387902E-3</v>
      </c>
      <c r="F27">
        <v>0</v>
      </c>
      <c r="K27" s="1">
        <f t="shared" ca="1" si="0"/>
        <v>-0.75337609594285493</v>
      </c>
      <c r="L27" s="1">
        <f ca="1"/>
        <v>-3.1453343233013419E-3</v>
      </c>
      <c r="M27" s="1">
        <f t="shared" ca="1" si="1"/>
        <v>6.4285665676698661E-2</v>
      </c>
      <c r="N27" s="1"/>
      <c r="O27" s="1" t="s">
        <v>497</v>
      </c>
      <c r="P27">
        <v>-2.23899075213769E-4</v>
      </c>
      <c r="Q27">
        <v>4.5399999999999999E-5</v>
      </c>
      <c r="R27">
        <v>1.7600000000000001E-5</v>
      </c>
      <c r="S27">
        <v>3.4429921649692402E-4</v>
      </c>
      <c r="T27">
        <v>1.83064939470201E-4</v>
      </c>
      <c r="U27">
        <v>8.9499999999999994E-5</v>
      </c>
      <c r="V27">
        <v>3.77633539561626E-4</v>
      </c>
      <c r="W27">
        <v>-2.3728888608599499E-4</v>
      </c>
      <c r="X27">
        <v>3.6124273045984599E-4</v>
      </c>
      <c r="Y27">
        <v>1.04940039228143E-4</v>
      </c>
      <c r="Z27">
        <v>-3.3338437643196101E-4</v>
      </c>
      <c r="AA27">
        <v>-1.7495431605381599E-4</v>
      </c>
      <c r="AB27">
        <v>2.9600000000000001E-5</v>
      </c>
      <c r="AC27">
        <v>-1.44692969834732E-4</v>
      </c>
      <c r="AD27">
        <v>5.1499999999999998E-6</v>
      </c>
      <c r="AE27">
        <v>-3.5146351138527797E-4</v>
      </c>
      <c r="AF27">
        <v>-5.2672993844897801E-4</v>
      </c>
      <c r="AG27">
        <v>5.1072674569365003E-3</v>
      </c>
      <c r="AH27">
        <v>0</v>
      </c>
      <c r="AI27">
        <v>0</v>
      </c>
      <c r="AK27" t="s">
        <v>497</v>
      </c>
      <c r="AL27">
        <v>-5.3000000000000001E-6</v>
      </c>
      <c r="AM27" s="67">
        <v>1.44E-6</v>
      </c>
      <c r="AN27" s="67">
        <v>5.8899999999999999E-7</v>
      </c>
      <c r="AO27" s="67">
        <v>4.0099999999999997E-6</v>
      </c>
      <c r="AP27" s="67">
        <v>1.84E-6</v>
      </c>
      <c r="AQ27" s="67">
        <v>3.5999999999999998E-6</v>
      </c>
      <c r="AR27" s="67">
        <v>5.7300000000000002E-6</v>
      </c>
      <c r="AS27" s="67">
        <v>-7.4600000000000004E-7</v>
      </c>
      <c r="AT27" s="67">
        <v>4.4100000000000001E-6</v>
      </c>
      <c r="AU27" s="67">
        <v>1.4100000000000001E-6</v>
      </c>
      <c r="AV27" s="67">
        <v>-3.9700000000000001E-6</v>
      </c>
      <c r="AW27" s="67">
        <v>-1.55E-6</v>
      </c>
      <c r="AX27" s="67">
        <v>5.51E-7</v>
      </c>
      <c r="AY27" s="67">
        <v>-2.8900000000000001E-7</v>
      </c>
      <c r="AZ27" s="67">
        <v>2.0800000000000001E-7</v>
      </c>
      <c r="BA27" s="67">
        <v>-1.55E-6</v>
      </c>
      <c r="BB27" s="67">
        <v>-3.8299999999999998E-6</v>
      </c>
      <c r="BC27">
        <v>2.72E-5</v>
      </c>
      <c r="BD27">
        <v>-1.73E-6</v>
      </c>
      <c r="BE27">
        <v>-6.6399999999999999E-8</v>
      </c>
    </row>
    <row r="28" spans="2:57">
      <c r="B28" t="s">
        <v>89</v>
      </c>
      <c r="C28" s="1">
        <v>7.4210999999999999E-2</v>
      </c>
      <c r="D28" s="1">
        <v>5.3397346489600702E-3</v>
      </c>
      <c r="F28">
        <v>0</v>
      </c>
      <c r="K28" s="1">
        <f t="shared" ca="1" si="0"/>
        <v>-0.72188724768897072</v>
      </c>
      <c r="L28" s="1">
        <f ca="1"/>
        <v>-2.9041381533356958E-3</v>
      </c>
      <c r="M28" s="1">
        <f t="shared" ca="1" si="1"/>
        <v>7.1306861846664307E-2</v>
      </c>
      <c r="O28" t="s">
        <v>89</v>
      </c>
      <c r="P28">
        <v>2.72E-5</v>
      </c>
      <c r="Q28">
        <v>5.0541238971237295E-4</v>
      </c>
      <c r="R28">
        <v>1.06028080216625E-4</v>
      </c>
      <c r="S28">
        <v>1.03279063843088E-4</v>
      </c>
      <c r="T28">
        <v>3.0030576061243198E-4</v>
      </c>
      <c r="U28">
        <v>-2.0376023793274801E-4</v>
      </c>
      <c r="V28">
        <v>-3.7420509922554002E-4</v>
      </c>
      <c r="W28">
        <v>-1.4726521992372601E-4</v>
      </c>
      <c r="X28">
        <v>2.38823122975042E-4</v>
      </c>
      <c r="Y28">
        <v>2.9639624996944498E-4</v>
      </c>
      <c r="Z28">
        <v>-2.4735220306025698E-4</v>
      </c>
      <c r="AA28">
        <v>-4.7146709455315501E-4</v>
      </c>
      <c r="AB28">
        <v>-1.51280983402122E-4</v>
      </c>
      <c r="AC28">
        <v>-4.5927687176193401E-4</v>
      </c>
      <c r="AD28">
        <v>-3.6900000000000002E-5</v>
      </c>
      <c r="AE28">
        <v>-5.5158983460037103E-4</v>
      </c>
      <c r="AF28">
        <v>-9.1598299396406305E-4</v>
      </c>
      <c r="AG28">
        <v>-5.3497507132650203E-4</v>
      </c>
      <c r="AH28">
        <v>5.0839610414232603E-3</v>
      </c>
      <c r="AI28">
        <v>0</v>
      </c>
      <c r="AK28" t="s">
        <v>89</v>
      </c>
      <c r="AL28">
        <v>6.4499999999999997E-7</v>
      </c>
      <c r="AM28">
        <v>5.1000000000000003E-6</v>
      </c>
      <c r="AN28">
        <v>5.7800000000000001E-7</v>
      </c>
      <c r="AO28">
        <v>7.3900000000000004E-7</v>
      </c>
      <c r="AP28">
        <v>2.6299999999999998E-6</v>
      </c>
      <c r="AQ28">
        <v>-1.86E-6</v>
      </c>
      <c r="AR28">
        <v>-4.8500000000000002E-6</v>
      </c>
      <c r="AS28">
        <v>-3.4599999999999999E-6</v>
      </c>
      <c r="AT28">
        <v>4.4800000000000003E-6</v>
      </c>
      <c r="AU28">
        <v>2.96E-6</v>
      </c>
      <c r="AV28">
        <v>-3.9600000000000002E-6</v>
      </c>
      <c r="AW28">
        <v>-5.49E-6</v>
      </c>
      <c r="AX28">
        <v>-1.6500000000000001E-6</v>
      </c>
      <c r="AY28">
        <v>-2.2699999999999999E-6</v>
      </c>
      <c r="AZ28">
        <v>-1.64E-6</v>
      </c>
      <c r="BA28">
        <v>-2.08E-6</v>
      </c>
      <c r="BB28">
        <v>-4.6399999999999996E-6</v>
      </c>
      <c r="BC28">
        <v>-1.73E-6</v>
      </c>
      <c r="BD28">
        <v>2.8500000000000002E-5</v>
      </c>
      <c r="BE28">
        <v>4.5200000000000001E-8</v>
      </c>
    </row>
    <row r="29" spans="2:57">
      <c r="B29" t="s">
        <v>641</v>
      </c>
      <c r="C29" s="1">
        <v>-5.5181000000000001E-2</v>
      </c>
      <c r="D29" s="1">
        <v>1.4042614298481901E-2</v>
      </c>
      <c r="F29">
        <f>F22*F25</f>
        <v>0</v>
      </c>
      <c r="K29" s="1">
        <f t="shared" ca="1" si="0"/>
        <v>2.0518764188564171</v>
      </c>
      <c r="L29" s="1">
        <f ca="1"/>
        <v>6.630570249911788E-3</v>
      </c>
      <c r="M29" s="1">
        <f t="shared" ca="1" si="1"/>
        <v>-4.8550429750088213E-2</v>
      </c>
      <c r="O29" t="s">
        <v>642</v>
      </c>
      <c r="P29">
        <v>-1.95E-5</v>
      </c>
      <c r="Q29">
        <v>-2.51E-5</v>
      </c>
      <c r="R29">
        <v>2.5400000000000001E-5</v>
      </c>
      <c r="S29">
        <v>-4.2599999999999999E-5</v>
      </c>
      <c r="T29">
        <v>-4.03E-7</v>
      </c>
      <c r="U29">
        <v>2.7399999999999999E-5</v>
      </c>
      <c r="V29">
        <v>-1.49E-5</v>
      </c>
      <c r="W29">
        <v>-3.9099999999999998E-6</v>
      </c>
      <c r="X29">
        <v>2.0999999999999999E-5</v>
      </c>
      <c r="Y29">
        <v>-3.7400000000000001E-5</v>
      </c>
      <c r="Z29">
        <v>3.8000000000000002E-5</v>
      </c>
      <c r="AA29">
        <v>2.3799999999999999E-5</v>
      </c>
      <c r="AB29">
        <v>-6.88590785357041E-4</v>
      </c>
      <c r="AC29">
        <v>-1.8696468727859899E-4</v>
      </c>
      <c r="AD29">
        <v>-3.3722176160438098E-4</v>
      </c>
      <c r="AE29">
        <v>-1.0423922942705E-3</v>
      </c>
      <c r="AF29">
        <v>6.6500000000000004E-5</v>
      </c>
      <c r="AG29">
        <v>-7.3700000000000002E-5</v>
      </c>
      <c r="AH29">
        <v>-1.3171082442226101E-4</v>
      </c>
      <c r="AI29">
        <v>2.2864897770870302E-3</v>
      </c>
      <c r="AK29" t="s">
        <v>642</v>
      </c>
      <c r="AL29">
        <v>-4.6199999999999998E-7</v>
      </c>
      <c r="AM29">
        <v>-1.7499999999999999E-7</v>
      </c>
      <c r="AN29">
        <v>3.2300000000000002E-7</v>
      </c>
      <c r="AO29">
        <v>-4.3000000000000001E-7</v>
      </c>
      <c r="AP29">
        <v>1.9999999999999999E-7</v>
      </c>
      <c r="AQ29">
        <v>6.7599999999999997E-7</v>
      </c>
      <c r="AR29">
        <v>-2.2700000000000001E-7</v>
      </c>
      <c r="AS29">
        <v>-1.2499999999999999E-7</v>
      </c>
      <c r="AT29">
        <v>4.9599999999999999E-7</v>
      </c>
      <c r="AU29">
        <v>-1.1600000000000001E-7</v>
      </c>
      <c r="AV29">
        <v>5.5599999999999995E-7</v>
      </c>
      <c r="AW29">
        <v>2.4200000000000002E-7</v>
      </c>
      <c r="AX29">
        <v>-1.17E-5</v>
      </c>
      <c r="AY29">
        <v>9.6800000000000009E-7</v>
      </c>
      <c r="AZ29">
        <v>-4.5400000000000002E-7</v>
      </c>
      <c r="BA29">
        <v>-6.1099999999999999E-6</v>
      </c>
      <c r="BB29" s="67">
        <v>-5.3200000000000005E-7</v>
      </c>
      <c r="BC29">
        <v>-6.6399999999999999E-8</v>
      </c>
      <c r="BD29">
        <v>4.5200000000000001E-8</v>
      </c>
      <c r="BE29">
        <v>6.9700000000000002E-6</v>
      </c>
    </row>
    <row r="31" spans="2:57">
      <c r="E31" t="str">
        <f>H9</f>
        <v>Untreated Cohorts</v>
      </c>
      <c r="F31" t="str">
        <f>I9</f>
        <v>Treated Cohorts</v>
      </c>
    </row>
    <row r="32" spans="2:57">
      <c r="C32">
        <f>(D32-$H$6)/$I$6</f>
        <v>-2.2786416432922163</v>
      </c>
      <c r="D32">
        <v>0</v>
      </c>
      <c r="E32">
        <f>1-EXP($H$10+C32*$H$11)</f>
        <v>0.8431261491674179</v>
      </c>
      <c r="F32">
        <f>1-EXP($I$10+C32*$I$11)</f>
        <v>0.75023522378311958</v>
      </c>
      <c r="H32">
        <f>1-EXP($C$5+$C$6*D32)</f>
        <v>0.8431261491674179</v>
      </c>
    </row>
    <row r="33" spans="3:8">
      <c r="C33">
        <f t="shared" ref="C33:C60" si="2">(D33-$H$6)/$I$6</f>
        <v>-2.0905972315585197</v>
      </c>
      <c r="D33">
        <v>1</v>
      </c>
      <c r="E33">
        <f t="shared" ref="E33:E60" si="3">1-EXP($H$10+C33*$H$11)</f>
        <v>0.83559069755825555</v>
      </c>
      <c r="F33">
        <f t="shared" ref="F33:F60" si="4">1-EXP($I$10+C33*$I$11)</f>
        <v>0.74809394208204605</v>
      </c>
      <c r="H33">
        <f>1-EXP($C$5+$C$6*D33)</f>
        <v>0.83559069755825555</v>
      </c>
    </row>
    <row r="34" spans="3:8">
      <c r="C34">
        <f t="shared" si="2"/>
        <v>-1.9025528198248234</v>
      </c>
      <c r="D34">
        <v>2</v>
      </c>
      <c r="E34">
        <f t="shared" si="3"/>
        <v>0.82769327975362683</v>
      </c>
      <c r="F34">
        <f t="shared" si="4"/>
        <v>0.74593430275908212</v>
      </c>
      <c r="H34">
        <f t="shared" ref="H34:H60" si="5">1-EXP($C$5+$C$6*D34)</f>
        <v>0.82769327975362683</v>
      </c>
    </row>
    <row r="35" spans="3:8">
      <c r="C35">
        <f t="shared" si="2"/>
        <v>-1.714508408091127</v>
      </c>
      <c r="D35">
        <v>3</v>
      </c>
      <c r="E35">
        <f t="shared" si="3"/>
        <v>0.81941650866998905</v>
      </c>
      <c r="F35">
        <f t="shared" si="4"/>
        <v>0.74375614843078708</v>
      </c>
      <c r="H35">
        <f t="shared" si="5"/>
        <v>0.81941650866998905</v>
      </c>
    </row>
    <row r="36" spans="3:8">
      <c r="C36">
        <f t="shared" si="2"/>
        <v>-1.5264639963574307</v>
      </c>
      <c r="D36">
        <v>4</v>
      </c>
      <c r="E36">
        <f t="shared" si="3"/>
        <v>0.81074216203344773</v>
      </c>
      <c r="F36">
        <f t="shared" si="4"/>
        <v>0.74155932036444161</v>
      </c>
      <c r="H36">
        <f t="shared" si="5"/>
        <v>0.81074216203344773</v>
      </c>
    </row>
    <row r="37" spans="3:8">
      <c r="C37">
        <f t="shared" si="2"/>
        <v>-1.3384195846237343</v>
      </c>
      <c r="D37">
        <v>5</v>
      </c>
      <c r="E37">
        <f t="shared" si="3"/>
        <v>0.80165114226130196</v>
      </c>
      <c r="F37">
        <f t="shared" si="4"/>
        <v>0.7393436584664802</v>
      </c>
      <c r="H37">
        <f t="shared" si="5"/>
        <v>0.80165114226130196</v>
      </c>
    </row>
    <row r="38" spans="3:8">
      <c r="C38">
        <f t="shared" si="2"/>
        <v>-1.150375172890038</v>
      </c>
      <c r="D38">
        <v>6</v>
      </c>
      <c r="E38">
        <f t="shared" si="3"/>
        <v>0.79212343441649546</v>
      </c>
      <c r="F38">
        <f t="shared" si="4"/>
        <v>0.73710900127082413</v>
      </c>
      <c r="H38">
        <f t="shared" si="5"/>
        <v>0.79212343441649546</v>
      </c>
    </row>
    <row r="39" spans="3:8">
      <c r="C39">
        <f t="shared" si="2"/>
        <v>-0.96233076115634175</v>
      </c>
      <c r="D39">
        <v>7</v>
      </c>
      <c r="E39">
        <f t="shared" si="3"/>
        <v>0.78213806214240567</v>
      </c>
      <c r="F39">
        <f t="shared" si="4"/>
        <v>0.73485518592711485</v>
      </c>
      <c r="H39">
        <f t="shared" si="5"/>
        <v>0.78213806214240567</v>
      </c>
    </row>
    <row r="40" spans="3:8">
      <c r="C40">
        <f t="shared" si="2"/>
        <v>-0.7742863494226454</v>
      </c>
      <c r="D40">
        <v>8</v>
      </c>
      <c r="E40">
        <f t="shared" si="3"/>
        <v>0.77167304148095539</v>
      </c>
      <c r="F40">
        <f t="shared" si="4"/>
        <v>0.73258204818884642</v>
      </c>
      <c r="H40">
        <f t="shared" si="5"/>
        <v>0.77167304148095539</v>
      </c>
    </row>
    <row r="41" spans="3:8">
      <c r="C41">
        <f t="shared" si="2"/>
        <v>-0.58624193768894906</v>
      </c>
      <c r="D41">
        <v>9</v>
      </c>
      <c r="E41">
        <f t="shared" si="3"/>
        <v>0.76070533247237326</v>
      </c>
      <c r="F41">
        <f t="shared" si="4"/>
        <v>0.73028942240139538</v>
      </c>
      <c r="H41">
        <f t="shared" si="5"/>
        <v>0.76070533247237326</v>
      </c>
    </row>
    <row r="42" spans="3:8">
      <c r="C42">
        <f t="shared" si="2"/>
        <v>-0.39819752595525271</v>
      </c>
      <c r="D42">
        <v>10</v>
      </c>
      <c r="E42">
        <f t="shared" si="3"/>
        <v>0.74921078843004318</v>
      </c>
      <c r="F42">
        <f t="shared" si="4"/>
        <v>0.72797714148994941</v>
      </c>
      <c r="H42">
        <f t="shared" si="5"/>
        <v>0.74921078843004318</v>
      </c>
    </row>
    <row r="43" spans="3:8">
      <c r="C43">
        <f t="shared" si="2"/>
        <v>-0.21015311422155636</v>
      </c>
      <c r="D43">
        <v>11</v>
      </c>
      <c r="E43">
        <f t="shared" si="3"/>
        <v>0.73716410277876643</v>
      </c>
      <c r="F43">
        <f t="shared" si="4"/>
        <v>0.72564503694733196</v>
      </c>
      <c r="H43">
        <f t="shared" si="5"/>
        <v>0.73716410277876643</v>
      </c>
    </row>
    <row r="44" spans="3:8">
      <c r="C44">
        <f t="shared" si="2"/>
        <v>-2.2108702487859996E-2</v>
      </c>
      <c r="D44">
        <v>12</v>
      </c>
      <c r="E44">
        <f t="shared" si="3"/>
        <v>0.72453875333939366</v>
      </c>
      <c r="F44">
        <f t="shared" si="4"/>
        <v>0.72329293882172085</v>
      </c>
      <c r="H44">
        <f t="shared" si="5"/>
        <v>0.72453875333939366</v>
      </c>
    </row>
    <row r="45" spans="3:8">
      <c r="C45">
        <f t="shared" si="2"/>
        <v>0.16593570924583637</v>
      </c>
      <c r="D45">
        <v>13</v>
      </c>
      <c r="E45">
        <f t="shared" si="3"/>
        <v>0.71130694393716398</v>
      </c>
      <c r="F45">
        <f t="shared" si="4"/>
        <v>0.72092067570426532</v>
      </c>
      <c r="H45">
        <f t="shared" si="5"/>
        <v>0.71130694393716398</v>
      </c>
    </row>
    <row r="46" spans="3:8">
      <c r="C46">
        <f t="shared" si="2"/>
        <v>0.35398012097953269</v>
      </c>
      <c r="D46">
        <v>14</v>
      </c>
      <c r="E46">
        <f t="shared" si="3"/>
        <v>0.69743954320519408</v>
      </c>
      <c r="F46">
        <f t="shared" si="4"/>
        <v>0.71852807471659252</v>
      </c>
      <c r="H46">
        <f t="shared" si="5"/>
        <v>0.69743954320519408</v>
      </c>
    </row>
    <row r="47" spans="3:8">
      <c r="C47">
        <f t="shared" si="2"/>
        <v>0.54202453271322903</v>
      </c>
      <c r="D47">
        <v>15</v>
      </c>
      <c r="E47">
        <f t="shared" si="3"/>
        <v>0.68290602044838677</v>
      </c>
      <c r="F47">
        <f t="shared" si="4"/>
        <v>0.71611496149821008</v>
      </c>
      <c r="H47">
        <f t="shared" si="5"/>
        <v>0.68290602044838677</v>
      </c>
    </row>
    <row r="48" spans="3:8">
      <c r="C48">
        <f t="shared" si="2"/>
        <v>0.73006894444692538</v>
      </c>
      <c r="D48">
        <v>16</v>
      </c>
      <c r="E48">
        <f t="shared" si="3"/>
        <v>0.66767437842655641</v>
      </c>
      <c r="F48">
        <f t="shared" si="4"/>
        <v>0.71368116019379979</v>
      </c>
      <c r="H48">
        <f t="shared" si="5"/>
        <v>0.66767437842655641</v>
      </c>
    </row>
    <row r="49" spans="3:8">
      <c r="C49">
        <f t="shared" si="2"/>
        <v>0.91811335618062173</v>
      </c>
      <c r="D49">
        <v>17</v>
      </c>
      <c r="E49">
        <f t="shared" si="3"/>
        <v>0.65171108290878377</v>
      </c>
      <c r="F49">
        <f t="shared" si="4"/>
        <v>0.71122649344040112</v>
      </c>
      <c r="H49">
        <f t="shared" si="5"/>
        <v>0.65171108290878377</v>
      </c>
    </row>
    <row r="50" spans="3:8">
      <c r="C50">
        <f t="shared" si="2"/>
        <v>1.1061577679143182</v>
      </c>
      <c r="D50">
        <v>18</v>
      </c>
      <c r="E50">
        <f t="shared" si="3"/>
        <v>0.63498098884390775</v>
      </c>
      <c r="F50">
        <f t="shared" si="4"/>
        <v>0.70875078235448763</v>
      </c>
      <c r="H50">
        <f t="shared" si="5"/>
        <v>0.63498098884390775</v>
      </c>
    </row>
    <row r="51" spans="3:8">
      <c r="C51">
        <f t="shared" si="2"/>
        <v>1.2942021796480145</v>
      </c>
      <c r="D51">
        <v>19</v>
      </c>
      <c r="E51">
        <f t="shared" si="3"/>
        <v>0.61744726298460884</v>
      </c>
      <c r="F51">
        <f t="shared" si="4"/>
        <v>0.70625384651892853</v>
      </c>
      <c r="H51">
        <f t="shared" si="5"/>
        <v>0.61744726298460884</v>
      </c>
    </row>
    <row r="52" spans="3:8">
      <c r="C52">
        <f t="shared" si="2"/>
        <v>1.4822465913817109</v>
      </c>
      <c r="D52">
        <v>20</v>
      </c>
      <c r="E52">
        <f t="shared" si="3"/>
        <v>0.59907130279473275</v>
      </c>
      <c r="F52">
        <f t="shared" si="4"/>
        <v>0.7037355039698433</v>
      </c>
      <c r="H52">
        <f t="shared" si="5"/>
        <v>0.59907130279473275</v>
      </c>
    </row>
    <row r="53" spans="3:8">
      <c r="C53">
        <f t="shared" si="2"/>
        <v>1.6702910031154072</v>
      </c>
      <c r="D53">
        <v>21</v>
      </c>
      <c r="E53">
        <f t="shared" si="3"/>
        <v>0.579812651461318</v>
      </c>
      <c r="F53">
        <f t="shared" si="4"/>
        <v>0.70119557118333931</v>
      </c>
      <c r="H53">
        <f t="shared" si="5"/>
        <v>0.579812651461318</v>
      </c>
    </row>
    <row r="54" spans="3:8">
      <c r="C54">
        <f t="shared" si="2"/>
        <v>1.8583354148491036</v>
      </c>
      <c r="D54">
        <v>22</v>
      </c>
      <c r="E54">
        <f t="shared" si="3"/>
        <v>0.55962890882421901</v>
      </c>
      <c r="F54">
        <f t="shared" si="4"/>
        <v>0.69863386306213782</v>
      </c>
      <c r="H54">
        <f t="shared" si="5"/>
        <v>0.55962890882421901</v>
      </c>
    </row>
    <row r="55" spans="3:8">
      <c r="C55">
        <f t="shared" si="2"/>
        <v>2.0463798265827999</v>
      </c>
      <c r="D55">
        <v>23</v>
      </c>
      <c r="E55">
        <f t="shared" si="3"/>
        <v>0.53847563802722331</v>
      </c>
      <c r="F55">
        <f t="shared" si="4"/>
        <v>0.69605019292208625</v>
      </c>
      <c r="H55">
        <f t="shared" si="5"/>
        <v>0.53847563802722331</v>
      </c>
    </row>
    <row r="56" spans="3:8">
      <c r="C56">
        <f t="shared" si="2"/>
        <v>2.2344242383164961</v>
      </c>
      <c r="D56">
        <v>24</v>
      </c>
      <c r="E56">
        <f t="shared" si="3"/>
        <v>0.51630626768514554</v>
      </c>
      <c r="F56">
        <f t="shared" si="4"/>
        <v>0.69344437247855173</v>
      </c>
      <c r="H56">
        <f t="shared" si="5"/>
        <v>0.51630626768514554</v>
      </c>
    </row>
    <row r="57" spans="3:8">
      <c r="C57">
        <f t="shared" si="2"/>
        <v>2.4224686500501926</v>
      </c>
      <c r="D57">
        <v>25</v>
      </c>
      <c r="E57">
        <f t="shared" si="3"/>
        <v>0.49307198935150809</v>
      </c>
      <c r="F57">
        <f t="shared" si="4"/>
        <v>0.6908162118327017</v>
      </c>
      <c r="H57">
        <f t="shared" si="5"/>
        <v>0.49307198935150809</v>
      </c>
    </row>
    <row r="58" spans="3:8">
      <c r="C58">
        <f t="shared" si="2"/>
        <v>2.6105130617838888</v>
      </c>
      <c r="D58">
        <v>26</v>
      </c>
      <c r="E58">
        <f t="shared" si="3"/>
        <v>0.4687216500610718</v>
      </c>
      <c r="F58">
        <f t="shared" si="4"/>
        <v>0.68816551945766358</v>
      </c>
      <c r="H58">
        <f t="shared" si="5"/>
        <v>0.46872165006107191</v>
      </c>
    </row>
    <row r="59" spans="3:8">
      <c r="C59">
        <f t="shared" si="2"/>
        <v>2.7985574735175853</v>
      </c>
      <c r="D59">
        <v>27</v>
      </c>
      <c r="E59">
        <f t="shared" si="3"/>
        <v>0.44320163971063464</v>
      </c>
      <c r="F59">
        <f t="shared" si="4"/>
        <v>0.68549210218456802</v>
      </c>
      <c r="H59">
        <f t="shared" si="5"/>
        <v>0.44320163971063464</v>
      </c>
    </row>
    <row r="60" spans="3:8">
      <c r="C60">
        <f t="shared" si="2"/>
        <v>2.9866018852512815</v>
      </c>
      <c r="D60">
        <v>28</v>
      </c>
      <c r="E60">
        <f t="shared" si="3"/>
        <v>0.41645577303015646</v>
      </c>
      <c r="F60">
        <f t="shared" si="4"/>
        <v>0.68279576518847185</v>
      </c>
      <c r="H60">
        <f t="shared" si="5"/>
        <v>0.41645577303015646</v>
      </c>
    </row>
  </sheetData>
  <mergeCells count="1">
    <mergeCell ref="H4:I4"/>
  </mergeCells>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9FE8F-E3B9-4D4A-8977-1BB2B105D7B2}">
  <sheetPr codeName="Sheet15">
    <tabColor theme="3"/>
  </sheetPr>
  <dimension ref="B2:Z136"/>
  <sheetViews>
    <sheetView zoomScale="85" zoomScaleNormal="85" workbookViewId="0">
      <selection activeCell="B3" sqref="B3"/>
    </sheetView>
  </sheetViews>
  <sheetFormatPr baseColWidth="10" defaultColWidth="11" defaultRowHeight="16"/>
  <sheetData>
    <row r="2" spans="2:26" ht="21">
      <c r="B2" s="5" t="s">
        <v>644</v>
      </c>
    </row>
    <row r="4" spans="2:26">
      <c r="B4" t="s">
        <v>624</v>
      </c>
      <c r="G4" t="s">
        <v>623</v>
      </c>
      <c r="P4" t="s">
        <v>622</v>
      </c>
      <c r="U4" t="s">
        <v>621</v>
      </c>
    </row>
    <row r="6" spans="2:26">
      <c r="B6" t="s">
        <v>78</v>
      </c>
      <c r="C6">
        <v>1</v>
      </c>
      <c r="J6" t="s">
        <v>620</v>
      </c>
      <c r="K6" t="s">
        <v>619</v>
      </c>
      <c r="P6" t="s">
        <v>618</v>
      </c>
      <c r="Q6" s="1">
        <f>'Ref | NHWS utility'!H6</f>
        <v>12.1175717070453</v>
      </c>
      <c r="U6" t="s">
        <v>1</v>
      </c>
      <c r="V6" t="s">
        <v>617</v>
      </c>
      <c r="W6" t="s">
        <v>616</v>
      </c>
    </row>
    <row r="7" spans="2:26">
      <c r="B7" t="s">
        <v>39</v>
      </c>
      <c r="C7">
        <v>0.66800000000000004</v>
      </c>
      <c r="J7">
        <v>1</v>
      </c>
      <c r="K7">
        <v>-0.59399999999999997</v>
      </c>
      <c r="P7" t="s">
        <v>615</v>
      </c>
      <c r="Q7" s="1">
        <f>'Ref | NHWS utility'!I6</f>
        <v>5.3178926764182401</v>
      </c>
      <c r="U7">
        <v>0</v>
      </c>
      <c r="V7" s="3">
        <f>($U7-Q$6)/Q$7</f>
        <v>-2.2786416432922163</v>
      </c>
      <c r="W7" s="1">
        <f>L14</f>
        <v>0.83239183671822681</v>
      </c>
      <c r="Z7" s="1"/>
    </row>
    <row r="8" spans="2:26">
      <c r="B8" t="s">
        <v>42</v>
      </c>
      <c r="C8">
        <v>0.54900000000000004</v>
      </c>
      <c r="T8" t="s">
        <v>625</v>
      </c>
      <c r="U8">
        <f>'Model | 1 Year'!D18</f>
        <v>19.211849999999998</v>
      </c>
      <c r="V8" s="3">
        <f t="shared" ref="V8:V35" si="0">($U8-Q$6)/Q$7</f>
        <v>1.3340393882737978</v>
      </c>
      <c r="W8" s="1">
        <f t="dataTable" ref="W8:W35" dt2D="0" dtr="0" r1="C21"/>
        <v>0.6042960598181657</v>
      </c>
      <c r="Z8" s="1"/>
    </row>
    <row r="9" spans="2:26">
      <c r="B9" t="s">
        <v>43</v>
      </c>
      <c r="C9">
        <v>0.45100000000000001</v>
      </c>
      <c r="G9" t="s">
        <v>614</v>
      </c>
      <c r="H9" t="s">
        <v>613</v>
      </c>
      <c r="I9" t="s">
        <v>612</v>
      </c>
      <c r="J9" t="s">
        <v>611</v>
      </c>
      <c r="K9" t="s">
        <v>610</v>
      </c>
      <c r="L9" t="s">
        <v>609</v>
      </c>
      <c r="U9">
        <f>'Model | 1 Year'!E18</f>
        <v>15.986287530774998</v>
      </c>
      <c r="V9" s="3">
        <f t="shared" si="0"/>
        <v>0.72749039123809345</v>
      </c>
      <c r="W9" s="1">
        <v>0.66191490183402302</v>
      </c>
      <c r="Z9" s="1"/>
    </row>
    <row r="10" spans="2:26">
      <c r="B10" t="s">
        <v>331</v>
      </c>
      <c r="C10">
        <v>0.58699999999999997</v>
      </c>
      <c r="G10">
        <v>1</v>
      </c>
      <c r="H10" s="1">
        <f>EXP(SUMPRODUCT(covarsP,delta1))/(1+EXP(SUMPRODUCT(covarsP,delta1))+EXP(SUMPRODUCT(covarsP,delta2)))</f>
        <v>0.95542220454161109</v>
      </c>
      <c r="I10" s="1">
        <f>SUMPRODUCT(covarsC,Beta1)</f>
        <v>0.85236383447903408</v>
      </c>
      <c r="J10" s="1">
        <f>(ps1.1-I10)/sigma1</f>
        <v>1.4586383206494418</v>
      </c>
      <c r="K10" s="1">
        <f>(psi.2-I10)/sigma1</f>
        <v>-14.290006158910856</v>
      </c>
      <c r="L10" s="1">
        <f>1-_xlfn.NORM.DIST(J10,0,1,1)+_xlfn.NORM.DIST(K10,0,1,1)*psi.2+(_xlfn.NORM.DIST(J10,0,1,1)-NORMDIST(K10,0,1,1))*(I10+sigma1*(NORMDIST(J10,0,1,0)-_xlfn.NORM.DIST(K10,0,1,0))/(_xlfn.NORM.DIST(K10,0,1,1)-_xlfn.NORM.DIST(J10,0,1,1)))</f>
        <v>0.84910641489094718</v>
      </c>
      <c r="U10">
        <f>'Model | 1 Year'!F18</f>
        <v>13.884883586174999</v>
      </c>
      <c r="V10" s="3">
        <f t="shared" si="0"/>
        <v>0.33233312266091758</v>
      </c>
      <c r="W10" s="1">
        <v>0.69376285148824468</v>
      </c>
      <c r="Z10" s="1"/>
    </row>
    <row r="11" spans="2:26">
      <c r="B11" t="s">
        <v>332</v>
      </c>
      <c r="C11">
        <v>0.17499999999999999</v>
      </c>
      <c r="G11">
        <v>2</v>
      </c>
      <c r="H11" s="1">
        <f>EXP(SUMPRODUCT(covarsP,delta2))/(1+EXP(SUMPRODUCT(covarsP,delta1))+EXP(SUMPRODUCT(covarsP,delta2)))</f>
        <v>4.3779361222532176E-2</v>
      </c>
      <c r="I11" s="1">
        <f>SUMPRODUCT(covarsC,Beta2)</f>
        <v>0.47004295167624571</v>
      </c>
      <c r="J11" s="1">
        <f>(ps1.1-I11)/sigma2</f>
        <v>2.6154113611219829</v>
      </c>
      <c r="K11" s="1">
        <f>(psi.2-I11)/sigma2</f>
        <v>-5.251199193100879</v>
      </c>
      <c r="L11" s="1">
        <f>1-_xlfn.NORM.DIST(J11,0,1,1)+_xlfn.NORM.DIST(K11,0,1,1)*psi.2+(_xlfn.NORM.DIST(J11,0,1,1)-NORMDIST(K11,0,1,1))*(I11+sigma2*(NORMDIST(J11,0,1,0)-_xlfn.NORM.DIST(K11,0,1,0))/(_xlfn.NORM.DIST(K11,0,1,1)-_xlfn.NORM.DIST(J11,0,1,1)))</f>
        <v>0.46976056378651693</v>
      </c>
      <c r="U11">
        <f>'Model | 1 Year'!G18</f>
        <v>13.884883586174999</v>
      </c>
      <c r="V11" s="3">
        <f t="shared" si="0"/>
        <v>0.33233312266091758</v>
      </c>
      <c r="W11" s="1">
        <v>0.69376285148824468</v>
      </c>
      <c r="Z11" s="1"/>
    </row>
    <row r="12" spans="2:26">
      <c r="B12" t="s">
        <v>333</v>
      </c>
      <c r="C12">
        <v>0.24399999999999999</v>
      </c>
      <c r="G12">
        <v>3</v>
      </c>
      <c r="H12" s="1">
        <f>1/(1+EXP(SUMPRODUCT(covarsP,delta1))+EXP(SUMPRODUCT(covarsP,delta2)))</f>
        <v>7.9843423585673713E-4</v>
      </c>
      <c r="I12" s="1">
        <f>SUMPRODUCT(covarsC,Beta3)</f>
        <v>0.73442026304287611</v>
      </c>
      <c r="J12" s="1">
        <f>(ps1.1-I12)/sigma3</f>
        <v>1.0453693710458549</v>
      </c>
      <c r="K12" s="1">
        <f>(psi.2-I12)/sigma3</f>
        <v>-5.2288998805880116</v>
      </c>
      <c r="L12" s="1">
        <f>1-_xlfn.NORM.DIST(J12,0,1,1)+_xlfn.NORM.DIST(K12,0,1,1)*psi.2+(_xlfn.NORM.DIST(J12,0,1,1)-NORMDIST(K12,0,1,1))*(I12+sigma3*(NORMDIST(J12,0,1,0)-_xlfn.NORM.DIST(K12,0,1,0))/(_xlfn.NORM.DIST(K12,0,1,1)-_xlfn.NORM.DIST(J12,0,1,1)))</f>
        <v>0.71502006921246142</v>
      </c>
      <c r="U12">
        <f>'Model | 1 Year'!H18</f>
        <v>13.884883586174999</v>
      </c>
      <c r="V12" s="3">
        <f t="shared" si="0"/>
        <v>0.33233312266091758</v>
      </c>
      <c r="W12" s="1">
        <v>0.69376285148824468</v>
      </c>
      <c r="Z12" s="1"/>
    </row>
    <row r="13" spans="2:26">
      <c r="B13" t="s">
        <v>334</v>
      </c>
      <c r="C13">
        <v>0.26600000000000001</v>
      </c>
      <c r="U13">
        <f>'Model | 1 Year'!I18</f>
        <v>13.884883586174999</v>
      </c>
      <c r="V13" s="3">
        <f t="shared" si="0"/>
        <v>0.33233312266091758</v>
      </c>
      <c r="W13" s="1">
        <v>0.69376285148824468</v>
      </c>
      <c r="Z13" s="1"/>
    </row>
    <row r="14" spans="2:26">
      <c r="B14" t="s">
        <v>336</v>
      </c>
      <c r="C14">
        <v>0.127</v>
      </c>
      <c r="K14" s="111" t="s">
        <v>608</v>
      </c>
      <c r="L14">
        <f>SUMPRODUCT(H10:H12,L10:L12)</f>
        <v>0.83239183671822681</v>
      </c>
      <c r="T14" t="s">
        <v>626</v>
      </c>
      <c r="U14">
        <f>'Model | 1 Year'!D35</f>
        <v>19.211849999999998</v>
      </c>
      <c r="V14" s="3">
        <f t="shared" si="0"/>
        <v>1.3340393882737978</v>
      </c>
      <c r="W14" s="1">
        <v>0.6042960598181657</v>
      </c>
      <c r="Z14" s="1"/>
    </row>
    <row r="15" spans="2:26">
      <c r="B15" t="s">
        <v>335</v>
      </c>
      <c r="C15">
        <v>0.61199999999999999</v>
      </c>
      <c r="U15">
        <f>'Model | 1 Year'!E35</f>
        <v>14.289651530774998</v>
      </c>
      <c r="V15" s="3">
        <f t="shared" si="0"/>
        <v>0.40844747269188192</v>
      </c>
      <c r="W15" s="1">
        <v>0.68793949403797761</v>
      </c>
      <c r="Z15" s="1"/>
    </row>
    <row r="16" spans="2:26">
      <c r="B16" t="s">
        <v>607</v>
      </c>
      <c r="C16">
        <v>0.41099999999999998</v>
      </c>
      <c r="U16">
        <f>'Model | 1 Year'!F35</f>
        <v>11.903234586175</v>
      </c>
      <c r="V16" s="3">
        <f t="shared" si="0"/>
        <v>-4.0304897806749902E-2</v>
      </c>
      <c r="W16" s="1">
        <v>0.72033331417352098</v>
      </c>
      <c r="Z16" s="1"/>
    </row>
    <row r="17" spans="2:26">
      <c r="B17" t="s">
        <v>41</v>
      </c>
      <c r="C17">
        <v>0.41799999999999998</v>
      </c>
      <c r="U17" s="217">
        <f>'Model | 1 Year'!G35</f>
        <v>11.3</v>
      </c>
      <c r="V17" s="3">
        <f t="shared" si="0"/>
        <v>-0.1537397907014473</v>
      </c>
      <c r="W17" s="1">
        <v>0.72782879836314973</v>
      </c>
      <c r="Z17" s="1"/>
    </row>
    <row r="18" spans="2:26">
      <c r="B18" t="s">
        <v>338</v>
      </c>
      <c r="C18">
        <v>0</v>
      </c>
      <c r="U18" s="217">
        <f>'Model | 1 Year'!H35</f>
        <v>10.7</v>
      </c>
      <c r="V18" s="3">
        <f t="shared" si="0"/>
        <v>-0.26656643774166539</v>
      </c>
      <c r="W18" s="1">
        <v>0.73503161688190211</v>
      </c>
      <c r="Z18" s="1"/>
    </row>
    <row r="19" spans="2:26">
      <c r="B19" t="s">
        <v>494</v>
      </c>
      <c r="C19">
        <v>0.27100000000000002</v>
      </c>
      <c r="U19" s="217">
        <f>'Model | 1 Year'!I35</f>
        <v>10.199999999999999</v>
      </c>
      <c r="V19" s="3">
        <f t="shared" si="0"/>
        <v>-0.36058864360851356</v>
      </c>
      <c r="W19" s="1">
        <v>0.74085016123150171</v>
      </c>
      <c r="Z19" s="1"/>
    </row>
    <row r="20" spans="2:26">
      <c r="B20" t="s">
        <v>339</v>
      </c>
      <c r="C20">
        <v>0</v>
      </c>
      <c r="T20" t="s">
        <v>625</v>
      </c>
      <c r="U20">
        <f>'Model | 1 Year'!E20</f>
        <v>17.5990687653875</v>
      </c>
      <c r="V20" s="3">
        <f t="shared" si="0"/>
        <v>1.030764889755946</v>
      </c>
      <c r="W20" s="1">
        <v>0.63453859759636622</v>
      </c>
      <c r="Z20" s="1"/>
    </row>
    <row r="21" spans="2:26">
      <c r="B21" t="s">
        <v>37</v>
      </c>
      <c r="C21">
        <f>V7</f>
        <v>-2.2786416432922163</v>
      </c>
      <c r="U21">
        <f>'Model | 1 Year'!F20</f>
        <v>14.935585558474997</v>
      </c>
      <c r="V21" s="3">
        <f t="shared" si="0"/>
        <v>0.52991175694950532</v>
      </c>
      <c r="W21" s="1">
        <v>0.67834675896866814</v>
      </c>
      <c r="Z21" s="1"/>
    </row>
    <row r="22" spans="2:26">
      <c r="B22" t="s">
        <v>495</v>
      </c>
      <c r="C22">
        <v>0</v>
      </c>
      <c r="U22">
        <f>'Model | 1 Year'!G20</f>
        <v>13.884883586174999</v>
      </c>
      <c r="V22" s="3">
        <f t="shared" si="0"/>
        <v>0.33233312266091758</v>
      </c>
      <c r="W22" s="1">
        <v>0.69376285148824468</v>
      </c>
      <c r="Z22" s="1"/>
    </row>
    <row r="23" spans="2:26">
      <c r="B23" t="s">
        <v>337</v>
      </c>
      <c r="C23">
        <v>0</v>
      </c>
      <c r="U23">
        <f>'Model | 1 Year'!H20</f>
        <v>13.884883586174999</v>
      </c>
      <c r="V23" s="3">
        <f t="shared" si="0"/>
        <v>0.33233312266091758</v>
      </c>
      <c r="W23" s="1">
        <v>0.69376285148824468</v>
      </c>
      <c r="Z23" s="1"/>
    </row>
    <row r="24" spans="2:26">
      <c r="B24" t="s">
        <v>89</v>
      </c>
      <c r="C24">
        <v>0</v>
      </c>
      <c r="U24">
        <f>'Model | 1 Year'!I20</f>
        <v>13.884883586174999</v>
      </c>
      <c r="V24" s="3">
        <f t="shared" si="0"/>
        <v>0.33233312266091758</v>
      </c>
      <c r="W24" s="1">
        <v>0.69376285148824468</v>
      </c>
      <c r="Z24" s="1"/>
    </row>
    <row r="25" spans="2:26">
      <c r="B25" t="s">
        <v>496</v>
      </c>
      <c r="C25">
        <v>0</v>
      </c>
      <c r="T25" t="s">
        <v>626</v>
      </c>
      <c r="U25">
        <f>'Model | 1 Year'!E37</f>
        <v>16.750750765387497</v>
      </c>
      <c r="V25" s="3">
        <f t="shared" si="0"/>
        <v>0.87124343048283959</v>
      </c>
      <c r="W25" s="1">
        <v>0.64927708223272196</v>
      </c>
      <c r="Z25" s="1"/>
    </row>
    <row r="26" spans="2:26">
      <c r="U26">
        <f>'Model | 1 Year'!F37</f>
        <v>13.096443058475</v>
      </c>
      <c r="V26" s="3">
        <f t="shared" si="0"/>
        <v>0.18407128744256618</v>
      </c>
      <c r="W26" s="1">
        <v>0.70470881100300586</v>
      </c>
      <c r="Z26" s="1"/>
    </row>
    <row r="27" spans="2:26">
      <c r="U27">
        <f>'Model | 1 Year'!G37</f>
        <v>11.6016172930875</v>
      </c>
      <c r="V27" s="3">
        <f t="shared" si="0"/>
        <v>-9.70223442540986E-2</v>
      </c>
      <c r="W27" s="1">
        <v>0.7241136331771939</v>
      </c>
      <c r="Z27" s="1"/>
    </row>
    <row r="28" spans="2:26">
      <c r="U28">
        <f>'Model | 1 Year'!H37</f>
        <v>11</v>
      </c>
      <c r="V28" s="3">
        <f t="shared" si="0"/>
        <v>-0.21015311422155636</v>
      </c>
      <c r="W28" s="1">
        <v>0.73146093281884772</v>
      </c>
      <c r="Z28" s="1"/>
    </row>
    <row r="29" spans="2:26">
      <c r="U29">
        <f>'Model | 1 Year'!I37</f>
        <v>10.45</v>
      </c>
      <c r="V29" s="3">
        <f t="shared" si="0"/>
        <v>-0.31357754067508947</v>
      </c>
      <c r="W29" s="1">
        <v>0.73796130144944017</v>
      </c>
      <c r="Z29" s="1"/>
    </row>
    <row r="30" spans="2:26">
      <c r="C30" t="s">
        <v>606</v>
      </c>
      <c r="U30">
        <v>0</v>
      </c>
      <c r="V30" s="3">
        <f t="shared" si="0"/>
        <v>-2.2786416432922163</v>
      </c>
      <c r="W30" s="1">
        <v>0.83239183671822681</v>
      </c>
      <c r="Z30" s="1"/>
    </row>
    <row r="31" spans="2:26">
      <c r="B31" t="s">
        <v>605</v>
      </c>
      <c r="C31">
        <v>0.81430006641600206</v>
      </c>
      <c r="D31">
        <v>5.1200024808058502E-3</v>
      </c>
      <c r="U31">
        <v>0</v>
      </c>
      <c r="V31" s="3">
        <f t="shared" si="0"/>
        <v>-2.2786416432922163</v>
      </c>
      <c r="W31" s="1">
        <v>0.83239183671822681</v>
      </c>
      <c r="Z31" s="1"/>
    </row>
    <row r="32" spans="2:26">
      <c r="B32" t="s">
        <v>604</v>
      </c>
      <c r="C32">
        <v>-9.6041554379720404E-4</v>
      </c>
      <c r="D32">
        <v>2.2726747392172002E-3</v>
      </c>
      <c r="U32">
        <v>0</v>
      </c>
      <c r="V32" s="3">
        <f t="shared" si="0"/>
        <v>-2.2786416432922163</v>
      </c>
      <c r="W32" s="1">
        <v>0.83239183671822681</v>
      </c>
      <c r="Z32" s="1"/>
    </row>
    <row r="33" spans="2:26">
      <c r="B33" t="s">
        <v>603</v>
      </c>
      <c r="C33">
        <v>7.2548882646406596E-4</v>
      </c>
      <c r="D33">
        <v>2.1492274176212801E-3</v>
      </c>
      <c r="U33">
        <v>0</v>
      </c>
      <c r="V33" s="3">
        <f t="shared" si="0"/>
        <v>-2.2786416432922163</v>
      </c>
      <c r="W33" s="1">
        <v>0.83239183671822681</v>
      </c>
      <c r="Z33" s="1"/>
    </row>
    <row r="34" spans="2:26">
      <c r="B34" t="s">
        <v>602</v>
      </c>
      <c r="C34">
        <v>1.0651283485411301E-2</v>
      </c>
      <c r="D34">
        <v>2.1338073718462202E-3</v>
      </c>
      <c r="U34">
        <v>0</v>
      </c>
      <c r="V34" s="3">
        <f t="shared" si="0"/>
        <v>-2.2786416432922163</v>
      </c>
      <c r="W34" s="1">
        <v>0.83239183671822681</v>
      </c>
      <c r="Z34" s="1"/>
    </row>
    <row r="35" spans="2:26">
      <c r="B35" t="s">
        <v>601</v>
      </c>
      <c r="C35">
        <v>1.07050099220746E-2</v>
      </c>
      <c r="D35">
        <v>2.7993470340550498E-3</v>
      </c>
      <c r="U35">
        <v>0</v>
      </c>
      <c r="V35" s="3">
        <f t="shared" si="0"/>
        <v>-2.2786416432922163</v>
      </c>
      <c r="W35" s="1">
        <v>0.83239183671822681</v>
      </c>
      <c r="Z35" s="1"/>
    </row>
    <row r="36" spans="2:26">
      <c r="B36" t="s">
        <v>600</v>
      </c>
      <c r="C36">
        <v>7.2492716648874904E-3</v>
      </c>
      <c r="D36">
        <v>4.1407972222230202E-3</v>
      </c>
      <c r="Z36" s="1"/>
    </row>
    <row r="37" spans="2:26">
      <c r="B37" t="s">
        <v>599</v>
      </c>
      <c r="C37">
        <v>-1.40190080092956E-2</v>
      </c>
      <c r="D37">
        <v>2.8186731067818701E-3</v>
      </c>
    </row>
    <row r="38" spans="2:26">
      <c r="B38" t="s">
        <v>598</v>
      </c>
      <c r="C38">
        <v>-8.5787059392020207E-3</v>
      </c>
      <c r="D38">
        <v>2.4662003604701099E-3</v>
      </c>
    </row>
    <row r="39" spans="2:26">
      <c r="B39" t="s">
        <v>597</v>
      </c>
      <c r="C39">
        <v>7.2764636501391998E-3</v>
      </c>
      <c r="D39">
        <v>3.8043576683334602E-3</v>
      </c>
    </row>
    <row r="40" spans="2:26">
      <c r="B40" t="s">
        <v>596</v>
      </c>
      <c r="C40">
        <v>6.6832762670144203E-3</v>
      </c>
      <c r="D40">
        <v>2.51720807716775E-3</v>
      </c>
    </row>
    <row r="41" spans="2:26">
      <c r="B41" t="s">
        <v>595</v>
      </c>
      <c r="C41">
        <v>-4.4438091559167198E-2</v>
      </c>
      <c r="D41">
        <v>2.4347091512492902E-3</v>
      </c>
    </row>
    <row r="42" spans="2:26">
      <c r="B42" t="s">
        <v>594</v>
      </c>
      <c r="C42">
        <v>-5.2348086294729097E-2</v>
      </c>
      <c r="D42">
        <v>2.25073333566505E-3</v>
      </c>
    </row>
    <row r="43" spans="2:26">
      <c r="B43" t="s">
        <v>593</v>
      </c>
      <c r="C43">
        <v>1.2478657121294E-2</v>
      </c>
      <c r="D43">
        <v>3.9862796205752003E-3</v>
      </c>
    </row>
    <row r="44" spans="2:26">
      <c r="B44" t="s">
        <v>592</v>
      </c>
      <c r="C44">
        <v>5.36665093028192E-4</v>
      </c>
      <c r="D44">
        <v>2.8904999683702498E-3</v>
      </c>
    </row>
    <row r="45" spans="2:26">
      <c r="B45" t="s">
        <v>591</v>
      </c>
      <c r="C45">
        <v>-2.6554728888395803E-4</v>
      </c>
      <c r="D45">
        <v>3.3580832928233402E-3</v>
      </c>
    </row>
    <row r="46" spans="2:26">
      <c r="B46" t="s">
        <v>590</v>
      </c>
      <c r="C46">
        <v>-2.9245167837652599E-2</v>
      </c>
      <c r="D46">
        <v>1.3199959409740799E-3</v>
      </c>
    </row>
    <row r="47" spans="2:26">
      <c r="B47" t="s">
        <v>589</v>
      </c>
      <c r="C47">
        <v>-1.44973407676483E-2</v>
      </c>
      <c r="D47">
        <v>1.39168269055873E-3</v>
      </c>
    </row>
    <row r="48" spans="2:26">
      <c r="B48" t="s">
        <v>588</v>
      </c>
      <c r="C48">
        <v>-1.40728254000852E-2</v>
      </c>
      <c r="D48">
        <v>1.1533949655717799E-3</v>
      </c>
    </row>
    <row r="49" spans="2:4">
      <c r="B49" t="s">
        <v>587</v>
      </c>
      <c r="C49">
        <v>-1.85032745254145E-2</v>
      </c>
      <c r="D49">
        <v>1.72536130617105E-3</v>
      </c>
    </row>
    <row r="50" spans="2:4">
      <c r="B50" t="s">
        <v>586</v>
      </c>
      <c r="C50">
        <v>4.3815635628492696E-3</v>
      </c>
      <c r="D50">
        <v>3.81830306717083E-3</v>
      </c>
    </row>
    <row r="51" spans="2:4">
      <c r="B51" t="s">
        <v>585</v>
      </c>
      <c r="C51">
        <v>0.42148458657184201</v>
      </c>
      <c r="D51">
        <v>3.4037783361731903E-2</v>
      </c>
    </row>
    <row r="52" spans="2:4">
      <c r="B52" t="s">
        <v>584</v>
      </c>
      <c r="C52">
        <v>-2.62669009483208E-2</v>
      </c>
      <c r="D52">
        <v>1.69646752031254E-2</v>
      </c>
    </row>
    <row r="53" spans="2:4">
      <c r="B53" t="s">
        <v>583</v>
      </c>
      <c r="C53">
        <v>-1.0655680899470599E-2</v>
      </c>
      <c r="D53">
        <v>1.47957600624738E-2</v>
      </c>
    </row>
    <row r="54" spans="2:4">
      <c r="B54" t="s">
        <v>582</v>
      </c>
      <c r="C54">
        <v>1.98406405222495E-2</v>
      </c>
      <c r="D54">
        <v>1.45742294975866E-2</v>
      </c>
    </row>
    <row r="55" spans="2:4">
      <c r="B55" t="s">
        <v>581</v>
      </c>
      <c r="C55">
        <v>8.87925887368963E-2</v>
      </c>
      <c r="D55">
        <v>1.74987199678176E-2</v>
      </c>
    </row>
    <row r="56" spans="2:4">
      <c r="B56" t="s">
        <v>580</v>
      </c>
      <c r="C56">
        <v>8.1420143671672496E-2</v>
      </c>
      <c r="D56">
        <v>2.6541774807756002E-2</v>
      </c>
    </row>
    <row r="57" spans="2:4">
      <c r="B57" t="s">
        <v>579</v>
      </c>
      <c r="C57">
        <v>7.4585475312327803E-3</v>
      </c>
      <c r="D57">
        <v>2.00414719864964E-2</v>
      </c>
    </row>
    <row r="58" spans="2:4">
      <c r="B58" t="s">
        <v>578</v>
      </c>
      <c r="C58">
        <v>-7.28755391508257E-3</v>
      </c>
      <c r="D58">
        <v>1.6844828813227401E-2</v>
      </c>
    </row>
    <row r="59" spans="2:4">
      <c r="B59" t="s">
        <v>577</v>
      </c>
      <c r="C59">
        <v>7.8285385529198406E-2</v>
      </c>
      <c r="D59">
        <v>2.3105080512916699E-2</v>
      </c>
    </row>
    <row r="60" spans="2:4">
      <c r="B60" t="s">
        <v>576</v>
      </c>
      <c r="C60">
        <v>3.7316783928300602E-2</v>
      </c>
      <c r="D60">
        <v>1.64048905467995E-2</v>
      </c>
    </row>
    <row r="61" spans="2:4">
      <c r="B61" t="s">
        <v>575</v>
      </c>
      <c r="C61">
        <v>-4.8819256626374999E-2</v>
      </c>
      <c r="D61">
        <v>1.7230262072651499E-2</v>
      </c>
    </row>
    <row r="62" spans="2:4">
      <c r="B62" t="s">
        <v>574</v>
      </c>
      <c r="C62">
        <v>-8.2967680088357004E-2</v>
      </c>
      <c r="D62">
        <v>1.7690002746460098E-2</v>
      </c>
    </row>
    <row r="63" spans="2:4">
      <c r="B63" t="s">
        <v>573</v>
      </c>
      <c r="C63">
        <v>3.9190838585047599E-2</v>
      </c>
      <c r="D63">
        <v>1.9115438515189199E-2</v>
      </c>
    </row>
    <row r="64" spans="2:4">
      <c r="B64" t="s">
        <v>572</v>
      </c>
      <c r="C64">
        <v>-2.06537237891657E-2</v>
      </c>
      <c r="D64">
        <v>1.7640459047436899E-2</v>
      </c>
    </row>
    <row r="65" spans="2:4">
      <c r="B65" t="s">
        <v>571</v>
      </c>
      <c r="C65">
        <v>8.9259458471205505E-2</v>
      </c>
      <c r="D65">
        <v>1.9634788835081601E-2</v>
      </c>
    </row>
    <row r="66" spans="2:4">
      <c r="B66" t="s">
        <v>570</v>
      </c>
      <c r="C66">
        <v>-1.06719598192815E-2</v>
      </c>
      <c r="D66">
        <v>6.7154459696069004E-3</v>
      </c>
    </row>
    <row r="67" spans="2:4">
      <c r="B67" t="s">
        <v>569</v>
      </c>
      <c r="C67">
        <v>-2.05118355274021E-2</v>
      </c>
      <c r="D67">
        <v>1.01708764157027E-2</v>
      </c>
    </row>
    <row r="68" spans="2:4">
      <c r="B68" t="s">
        <v>568</v>
      </c>
      <c r="C68">
        <v>-1.42981712962465E-2</v>
      </c>
      <c r="D68">
        <v>9.1158898402117008E-3</v>
      </c>
    </row>
    <row r="69" spans="2:4">
      <c r="B69" t="s">
        <v>567</v>
      </c>
      <c r="C69">
        <v>1.19821852862867E-2</v>
      </c>
      <c r="D69">
        <v>3.7410167951940302E-3</v>
      </c>
    </row>
    <row r="70" spans="2:4">
      <c r="B70" t="s">
        <v>566</v>
      </c>
      <c r="C70">
        <v>-2.0857598631264899E-2</v>
      </c>
      <c r="D70">
        <v>2.2462450048341302E-2</v>
      </c>
    </row>
    <row r="71" spans="2:4">
      <c r="B71" t="s">
        <v>565</v>
      </c>
      <c r="C71">
        <v>0.30710804289391203</v>
      </c>
      <c r="D71">
        <v>8.6381473103304698E-2</v>
      </c>
    </row>
    <row r="72" spans="2:4">
      <c r="B72" t="s">
        <v>564</v>
      </c>
      <c r="C72">
        <v>9.5647868610334003E-2</v>
      </c>
      <c r="D72">
        <v>4.1137771721306199E-2</v>
      </c>
    </row>
    <row r="73" spans="2:4">
      <c r="B73" t="s">
        <v>563</v>
      </c>
      <c r="C73">
        <v>-4.1270549951166503E-3</v>
      </c>
      <c r="D73">
        <v>4.20108959096634E-2</v>
      </c>
    </row>
    <row r="74" spans="2:4">
      <c r="B74" t="s">
        <v>562</v>
      </c>
      <c r="C74">
        <v>1.2373558726353999E-2</v>
      </c>
      <c r="D74">
        <v>4.3590368184630301E-2</v>
      </c>
    </row>
    <row r="75" spans="2:4">
      <c r="B75" t="s">
        <v>561</v>
      </c>
      <c r="C75">
        <v>-9.0714354373106307E-2</v>
      </c>
      <c r="D75">
        <v>6.1091548526448602E-2</v>
      </c>
    </row>
    <row r="76" spans="2:4">
      <c r="B76" t="s">
        <v>560</v>
      </c>
      <c r="C76">
        <v>-3.4287035143027101E-4</v>
      </c>
      <c r="D76">
        <v>5.7415524827912297E-2</v>
      </c>
    </row>
    <row r="77" spans="2:4">
      <c r="B77" t="s">
        <v>559</v>
      </c>
      <c r="C77">
        <v>-3.8689176783059498E-2</v>
      </c>
      <c r="D77">
        <v>4.1915854460761098E-2</v>
      </c>
    </row>
    <row r="78" spans="2:4">
      <c r="B78" t="s">
        <v>558</v>
      </c>
      <c r="C78">
        <v>-1.9791175534418198E-2</v>
      </c>
      <c r="D78">
        <v>5.8158864617136097E-2</v>
      </c>
    </row>
    <row r="79" spans="2:4">
      <c r="B79" t="s">
        <v>557</v>
      </c>
      <c r="C79">
        <v>-5.7616244859916503E-2</v>
      </c>
      <c r="D79">
        <v>6.3318097218734701E-2</v>
      </c>
    </row>
    <row r="80" spans="2:4">
      <c r="B80" t="s">
        <v>556</v>
      </c>
      <c r="C80">
        <v>3.8845592885707998E-2</v>
      </c>
      <c r="D80">
        <v>4.9956396976682201E-2</v>
      </c>
    </row>
    <row r="81" spans="2:4">
      <c r="B81" t="s">
        <v>555</v>
      </c>
      <c r="C81">
        <v>0.17910141333769899</v>
      </c>
      <c r="D81">
        <v>5.9351693277841198E-2</v>
      </c>
    </row>
    <row r="82" spans="2:4">
      <c r="B82" t="s">
        <v>554</v>
      </c>
      <c r="C82">
        <v>-9.0370538083877197E-2</v>
      </c>
      <c r="D82">
        <v>4.99327217817001E-2</v>
      </c>
    </row>
    <row r="83" spans="2:4">
      <c r="B83" t="s">
        <v>553</v>
      </c>
      <c r="C83">
        <v>-0.30151954487819199</v>
      </c>
      <c r="D83">
        <v>7.6910860040911799E-2</v>
      </c>
    </row>
    <row r="84" spans="2:4">
      <c r="B84" t="s">
        <v>552</v>
      </c>
      <c r="C84">
        <v>-7.8737623860748507E-2</v>
      </c>
      <c r="D84">
        <v>4.5547247287197702E-2</v>
      </c>
    </row>
    <row r="85" spans="2:4">
      <c r="B85" t="s">
        <v>551</v>
      </c>
      <c r="C85">
        <v>0.121872325180896</v>
      </c>
      <c r="D85">
        <v>6.4293510494710895E-2</v>
      </c>
    </row>
    <row r="86" spans="2:4">
      <c r="B86" t="s">
        <v>550</v>
      </c>
      <c r="C86">
        <v>-0.174298808153346</v>
      </c>
      <c r="D86">
        <v>2.28413745263026E-2</v>
      </c>
    </row>
    <row r="87" spans="2:4">
      <c r="B87" t="s">
        <v>549</v>
      </c>
      <c r="C87">
        <v>-4.7042146043520397E-3</v>
      </c>
      <c r="D87">
        <v>2.9254043716116999E-2</v>
      </c>
    </row>
    <row r="88" spans="2:4">
      <c r="B88" t="s">
        <v>548</v>
      </c>
      <c r="C88">
        <v>-3.0427039407086898E-2</v>
      </c>
      <c r="D88">
        <v>1.4895252769990701E-2</v>
      </c>
    </row>
    <row r="89" spans="2:4">
      <c r="B89" t="s">
        <v>547</v>
      </c>
      <c r="C89">
        <v>5.7674966358245297E-3</v>
      </c>
      <c r="D89">
        <v>1.25608447300993E-2</v>
      </c>
    </row>
    <row r="90" spans="2:4">
      <c r="B90" t="s">
        <v>546</v>
      </c>
      <c r="C90">
        <v>0.13639044494191499</v>
      </c>
      <c r="D90">
        <v>4.0807671161178199E-2</v>
      </c>
    </row>
    <row r="91" spans="2:4">
      <c r="B91" t="s">
        <v>545</v>
      </c>
      <c r="C91">
        <v>3.7826142495322599</v>
      </c>
      <c r="D91">
        <v>0.74234850920683804</v>
      </c>
    </row>
    <row r="92" spans="2:4">
      <c r="B92" t="s">
        <v>544</v>
      </c>
      <c r="C92">
        <v>0.62751008775509098</v>
      </c>
      <c r="D92">
        <v>0.23626983982506</v>
      </c>
    </row>
    <row r="93" spans="2:4">
      <c r="B93" t="s">
        <v>543</v>
      </c>
      <c r="C93">
        <v>-1.3733123215127201E-2</v>
      </c>
      <c r="D93">
        <v>0.22614109684575401</v>
      </c>
    </row>
    <row r="94" spans="2:4">
      <c r="B94" t="s">
        <v>542</v>
      </c>
      <c r="C94">
        <v>-0.13418876387606099</v>
      </c>
      <c r="D94">
        <v>0.23363111343818599</v>
      </c>
    </row>
    <row r="95" spans="2:4">
      <c r="B95" t="s">
        <v>541</v>
      </c>
      <c r="C95">
        <v>0.80468850604407305</v>
      </c>
      <c r="D95">
        <v>0.313208453938915</v>
      </c>
    </row>
    <row r="96" spans="2:4">
      <c r="B96" t="s">
        <v>540</v>
      </c>
      <c r="C96">
        <v>0.31707579455121299</v>
      </c>
      <c r="D96">
        <v>0.440913718535072</v>
      </c>
    </row>
    <row r="97" spans="2:4">
      <c r="B97" t="s">
        <v>539</v>
      </c>
      <c r="C97">
        <v>-0.66405686303258904</v>
      </c>
      <c r="D97">
        <v>0.28871194447295401</v>
      </c>
    </row>
    <row r="98" spans="2:4">
      <c r="B98" t="s">
        <v>538</v>
      </c>
      <c r="C98">
        <v>0.55634186661004204</v>
      </c>
      <c r="D98">
        <v>0.34458394034124601</v>
      </c>
    </row>
    <row r="99" spans="2:4">
      <c r="B99" t="s">
        <v>537</v>
      </c>
      <c r="C99">
        <v>-0.30668462680715097</v>
      </c>
      <c r="D99">
        <v>0.29980463650059802</v>
      </c>
    </row>
    <row r="100" spans="2:4">
      <c r="B100" t="s">
        <v>536</v>
      </c>
      <c r="C100">
        <v>7.5766010736909098E-2</v>
      </c>
      <c r="D100">
        <v>0.24631365319166701</v>
      </c>
    </row>
    <row r="101" spans="2:4">
      <c r="B101" t="s">
        <v>535</v>
      </c>
      <c r="C101">
        <v>-1.1305090592118801</v>
      </c>
      <c r="D101">
        <v>0.25958724655816301</v>
      </c>
    </row>
    <row r="102" spans="2:4">
      <c r="B102" t="s">
        <v>534</v>
      </c>
      <c r="C102">
        <v>-0.23580920738373501</v>
      </c>
      <c r="D102">
        <v>0.24132654676556101</v>
      </c>
    </row>
    <row r="103" spans="2:4">
      <c r="B103" t="s">
        <v>533</v>
      </c>
      <c r="C103">
        <v>0.29866456407882702</v>
      </c>
      <c r="D103">
        <v>0.497722171114579</v>
      </c>
    </row>
    <row r="104" spans="2:4">
      <c r="B104" t="s">
        <v>532</v>
      </c>
      <c r="C104">
        <v>0.30056767436517301</v>
      </c>
      <c r="D104">
        <v>0.26395587335107201</v>
      </c>
    </row>
    <row r="105" spans="2:4">
      <c r="B105" t="s">
        <v>531</v>
      </c>
      <c r="C105">
        <v>-0.37023225321895697</v>
      </c>
      <c r="D105">
        <v>0.36031333482044597</v>
      </c>
    </row>
    <row r="106" spans="2:4">
      <c r="B106" t="s">
        <v>530</v>
      </c>
      <c r="C106">
        <v>-1.2788583742211499</v>
      </c>
      <c r="D106">
        <v>0.18772150499451401</v>
      </c>
    </row>
    <row r="107" spans="2:4">
      <c r="B107" t="s">
        <v>529</v>
      </c>
      <c r="C107">
        <v>9.9265870551934504E-2</v>
      </c>
      <c r="D107">
        <v>0.173011723534681</v>
      </c>
    </row>
    <row r="108" spans="2:4">
      <c r="B108" t="s">
        <v>528</v>
      </c>
      <c r="C108">
        <v>-0.16739449418924701</v>
      </c>
      <c r="D108">
        <v>0.16169481296324101</v>
      </c>
    </row>
    <row r="109" spans="2:4">
      <c r="B109" t="s">
        <v>527</v>
      </c>
      <c r="C109">
        <v>-0.59999222052266798</v>
      </c>
      <c r="D109">
        <v>7.1934182055574697E-2</v>
      </c>
    </row>
    <row r="110" spans="2:4">
      <c r="B110" t="s">
        <v>526</v>
      </c>
      <c r="C110">
        <v>-0.16703652308053099</v>
      </c>
      <c r="D110">
        <v>0.346471809760376</v>
      </c>
    </row>
    <row r="111" spans="2:4">
      <c r="B111" t="s">
        <v>525</v>
      </c>
      <c r="C111">
        <v>2.52223774395065</v>
      </c>
      <c r="D111">
        <v>0.76557844008440301</v>
      </c>
    </row>
    <row r="112" spans="2:4">
      <c r="B112" t="s">
        <v>524</v>
      </c>
      <c r="C112">
        <v>0.295617469608843</v>
      </c>
      <c r="D112">
        <v>0.23604696705595599</v>
      </c>
    </row>
    <row r="113" spans="2:4">
      <c r="B113" t="s">
        <v>523</v>
      </c>
      <c r="C113">
        <v>-0.38589721997065402</v>
      </c>
      <c r="D113">
        <v>0.23174760409651199</v>
      </c>
    </row>
    <row r="114" spans="2:4">
      <c r="B114" t="s">
        <v>522</v>
      </c>
      <c r="C114">
        <v>-0.30122477716606499</v>
      </c>
      <c r="D114">
        <v>0.23744369433384299</v>
      </c>
    </row>
    <row r="115" spans="2:4">
      <c r="B115" t="s">
        <v>521</v>
      </c>
      <c r="C115">
        <v>0.58253822649338105</v>
      </c>
      <c r="D115">
        <v>0.30870106823635302</v>
      </c>
    </row>
    <row r="116" spans="2:4">
      <c r="B116" t="s">
        <v>520</v>
      </c>
      <c r="C116">
        <v>0.36110880263996697</v>
      </c>
      <c r="D116">
        <v>0.45736719208245802</v>
      </c>
    </row>
    <row r="117" spans="2:4">
      <c r="B117" t="s">
        <v>519</v>
      </c>
      <c r="C117">
        <v>-0.27884135885132499</v>
      </c>
      <c r="D117">
        <v>0.27835847914017903</v>
      </c>
    </row>
    <row r="118" spans="2:4">
      <c r="B118" t="s">
        <v>518</v>
      </c>
      <c r="C118">
        <v>0.76352407127562705</v>
      </c>
      <c r="D118">
        <v>0.35077108226642301</v>
      </c>
    </row>
    <row r="119" spans="2:4">
      <c r="B119" t="s">
        <v>517</v>
      </c>
      <c r="C119">
        <v>-0.23307173490716901</v>
      </c>
      <c r="D119">
        <v>0.30633258800087698</v>
      </c>
    </row>
    <row r="120" spans="2:4">
      <c r="B120" t="s">
        <v>516</v>
      </c>
      <c r="C120">
        <v>-0.23165072166800099</v>
      </c>
      <c r="D120">
        <v>0.25028364287437099</v>
      </c>
    </row>
    <row r="121" spans="2:4">
      <c r="B121" t="s">
        <v>515</v>
      </c>
      <c r="C121">
        <v>-0.24475205368445199</v>
      </c>
      <c r="D121">
        <v>0.26649098358640799</v>
      </c>
    </row>
    <row r="122" spans="2:4">
      <c r="B122" t="s">
        <v>514</v>
      </c>
      <c r="C122">
        <v>-4.1699442381940899E-2</v>
      </c>
      <c r="D122">
        <v>0.24897960835824101</v>
      </c>
    </row>
    <row r="123" spans="2:4">
      <c r="B123" t="s">
        <v>513</v>
      </c>
      <c r="C123">
        <v>0.93778669248421198</v>
      </c>
      <c r="D123">
        <v>0.51657761722041395</v>
      </c>
    </row>
    <row r="124" spans="2:4">
      <c r="B124" t="s">
        <v>512</v>
      </c>
      <c r="C124">
        <v>0.24154987296013</v>
      </c>
      <c r="D124">
        <v>0.26603488821903998</v>
      </c>
    </row>
    <row r="125" spans="2:4">
      <c r="B125" t="s">
        <v>511</v>
      </c>
      <c r="C125">
        <v>-0.43085863890384402</v>
      </c>
      <c r="D125">
        <v>0.36559706332763298</v>
      </c>
    </row>
    <row r="126" spans="2:4">
      <c r="B126" t="s">
        <v>510</v>
      </c>
      <c r="C126">
        <v>-0.57753469957269199</v>
      </c>
      <c r="D126">
        <v>0.177846984581851</v>
      </c>
    </row>
    <row r="127" spans="2:4">
      <c r="B127" t="s">
        <v>509</v>
      </c>
      <c r="C127">
        <v>-0.259370710314557</v>
      </c>
      <c r="D127">
        <v>0.18032810658439599</v>
      </c>
    </row>
    <row r="128" spans="2:4">
      <c r="B128" t="s">
        <v>508</v>
      </c>
      <c r="C128">
        <v>-5.8007206601345097E-2</v>
      </c>
      <c r="D128">
        <v>0.15458481443307101</v>
      </c>
    </row>
    <row r="129" spans="2:4">
      <c r="B129" t="s">
        <v>507</v>
      </c>
      <c r="C129">
        <v>-0.19253283098365501</v>
      </c>
      <c r="D129">
        <v>7.2926269243844696E-2</v>
      </c>
    </row>
    <row r="130" spans="2:4">
      <c r="B130" t="s">
        <v>506</v>
      </c>
      <c r="C130">
        <v>-0.42965322573846298</v>
      </c>
      <c r="D130">
        <v>0.31242511428792602</v>
      </c>
    </row>
    <row r="131" spans="2:4">
      <c r="B131" t="s">
        <v>505</v>
      </c>
      <c r="C131">
        <v>-2.2905077164100098</v>
      </c>
      <c r="D131">
        <v>8.9522266183877392E-3</v>
      </c>
    </row>
    <row r="132" spans="2:4">
      <c r="B132" t="s">
        <v>504</v>
      </c>
      <c r="C132">
        <v>-1.59638071003222</v>
      </c>
      <c r="D132">
        <v>3.0280499370895799E-2</v>
      </c>
    </row>
    <row r="133" spans="2:4">
      <c r="B133" t="s">
        <v>503</v>
      </c>
      <c r="C133">
        <v>-1.3702104439456499</v>
      </c>
      <c r="D133">
        <v>5.54251200679945E-2</v>
      </c>
    </row>
    <row r="134" spans="2:4">
      <c r="B134" s="111" t="s">
        <v>502</v>
      </c>
      <c r="C134">
        <f>EXP(C131)</f>
        <v>0.10121506025923728</v>
      </c>
    </row>
    <row r="135" spans="2:4">
      <c r="B135" s="111" t="s">
        <v>501</v>
      </c>
      <c r="C135">
        <f>EXP(C132)</f>
        <v>0.20262856398100548</v>
      </c>
    </row>
    <row r="136" spans="2:4">
      <c r="B136" s="111" t="s">
        <v>500</v>
      </c>
      <c r="C136">
        <f>EXP(C133)</f>
        <v>0.25405348990799376</v>
      </c>
    </row>
  </sheetData>
  <pageMargins left="0.75" right="0.75" top="1" bottom="1" header="0.5" footer="0.5"/>
  <pageSetup paperSize="9"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E0E1D-39FC-394C-A68D-70270031FF47}">
  <sheetPr codeName="Sheet8">
    <tabColor rgb="FF4C627F"/>
  </sheetPr>
  <dimension ref="B2:BC214"/>
  <sheetViews>
    <sheetView showGridLines="0" zoomScale="85" zoomScaleNormal="85" workbookViewId="0"/>
  </sheetViews>
  <sheetFormatPr baseColWidth="10" defaultColWidth="11" defaultRowHeight="16"/>
  <cols>
    <col min="29" max="30" width="12.6640625" customWidth="1"/>
    <col min="37" max="38" width="12.5" bestFit="1" customWidth="1"/>
  </cols>
  <sheetData>
    <row r="2" spans="2:41" ht="19">
      <c r="B2" s="168" t="s">
        <v>377</v>
      </c>
    </row>
    <row r="4" spans="2:41">
      <c r="B4" t="s">
        <v>159</v>
      </c>
    </row>
    <row r="6" spans="2:41">
      <c r="B6" s="4" t="s">
        <v>127</v>
      </c>
    </row>
    <row r="7" spans="2:41">
      <c r="C7" s="286" t="s">
        <v>119</v>
      </c>
      <c r="D7" s="286"/>
      <c r="E7" s="286"/>
      <c r="G7" s="286" t="s">
        <v>120</v>
      </c>
      <c r="H7" s="286"/>
      <c r="I7" s="286"/>
    </row>
    <row r="8" spans="2:41">
      <c r="B8" s="87"/>
      <c r="C8" s="89" t="s">
        <v>117</v>
      </c>
      <c r="D8" s="89" t="s">
        <v>118</v>
      </c>
      <c r="E8" s="89" t="s">
        <v>136</v>
      </c>
      <c r="G8" s="89" t="s">
        <v>135</v>
      </c>
      <c r="H8" s="89" t="s">
        <v>137</v>
      </c>
      <c r="I8" s="89" t="s">
        <v>138</v>
      </c>
      <c r="L8" s="68"/>
      <c r="M8" s="68"/>
      <c r="N8" s="68"/>
      <c r="T8" t="s">
        <v>458</v>
      </c>
      <c r="AD8" t="s">
        <v>459</v>
      </c>
    </row>
    <row r="9" spans="2:41">
      <c r="B9" s="90" t="s">
        <v>123</v>
      </c>
      <c r="C9" s="88">
        <f>C12+C11</f>
        <v>1.8102792043399631</v>
      </c>
      <c r="D9" s="88">
        <f>D12+D11</f>
        <v>2.9866734177215188</v>
      </c>
      <c r="E9" s="88">
        <f>E12+E11</f>
        <v>2.970432549728752</v>
      </c>
      <c r="G9" s="88">
        <f>G12+G11</f>
        <v>-1.8005504005374346</v>
      </c>
      <c r="H9" s="88">
        <f>H12+H11</f>
        <v>-1.1779039895923655</v>
      </c>
      <c r="I9" s="88">
        <f>I12+I11</f>
        <v>1.8773962272333042</v>
      </c>
      <c r="L9" s="68"/>
      <c r="M9" s="84"/>
      <c r="N9" s="84"/>
      <c r="O9" s="14"/>
      <c r="P9" s="3"/>
      <c r="Q9" s="3"/>
      <c r="R9" s="14"/>
      <c r="T9" s="194" t="s">
        <v>1</v>
      </c>
      <c r="U9" s="195" t="s">
        <v>138</v>
      </c>
      <c r="V9" s="195" t="s">
        <v>430</v>
      </c>
      <c r="W9" s="196" t="s">
        <v>135</v>
      </c>
      <c r="X9" s="195" t="s">
        <v>723</v>
      </c>
      <c r="Y9" s="196" t="str">
        <f>U9</f>
        <v>GP visits</v>
      </c>
      <c r="Z9" s="196" t="str">
        <f>V9</f>
        <v>ER attendances</v>
      </c>
      <c r="AA9" s="202" t="str">
        <f>W9</f>
        <v>IP stays</v>
      </c>
      <c r="AB9" s="197" t="s">
        <v>723</v>
      </c>
      <c r="AD9" s="201" t="str">
        <f t="shared" ref="AD9:AD38" si="0">T9</f>
        <v>ISI</v>
      </c>
      <c r="AE9" s="202" t="s">
        <v>117</v>
      </c>
      <c r="AF9" s="202" t="s">
        <v>118</v>
      </c>
      <c r="AG9" s="203" t="s">
        <v>117</v>
      </c>
      <c r="AH9" s="204" t="s">
        <v>118</v>
      </c>
      <c r="AI9" s="204" t="s">
        <v>117</v>
      </c>
      <c r="AJ9" s="205" t="s">
        <v>118</v>
      </c>
      <c r="AK9" s="9"/>
      <c r="AL9" s="9"/>
      <c r="AN9" s="13"/>
      <c r="AO9" s="13"/>
    </row>
    <row r="10" spans="2:41">
      <c r="B10" s="90" t="s">
        <v>1</v>
      </c>
      <c r="C10" s="88">
        <f>C52</f>
        <v>7.3999999999999996E-2</v>
      </c>
      <c r="D10" s="88">
        <f>C79</f>
        <v>4.3999999999999997E-2</v>
      </c>
      <c r="E10" s="88">
        <f>C106</f>
        <v>4.2999999999999997E-2</v>
      </c>
      <c r="G10" s="88">
        <f>C133</f>
        <v>1.7226593642652988E-2</v>
      </c>
      <c r="H10" s="88">
        <f>C162</f>
        <v>3.2000000000000001E-2</v>
      </c>
      <c r="I10" s="88">
        <f>C191</f>
        <v>1.6E-2</v>
      </c>
      <c r="L10" s="68"/>
      <c r="M10" s="84"/>
      <c r="N10" s="84"/>
      <c r="P10" s="3"/>
      <c r="Q10" s="3"/>
      <c r="R10" s="14"/>
      <c r="T10" s="198">
        <v>0</v>
      </c>
      <c r="U10" s="124">
        <f t="shared" ref="U10:U38" si="1">EXP(consGP+$T10*ISItotGP)*ucGP</f>
        <v>256.42545214467509</v>
      </c>
      <c r="V10" s="124">
        <f t="shared" ref="V10:V38" si="2">EXP(consER+$T10*ISItotER)*ucER</f>
        <v>56.84883167475575</v>
      </c>
      <c r="W10" s="124">
        <f t="shared" ref="W10:W38" si="3">EXP(consIP+$T10*ISItotIP)*ucIP</f>
        <v>164.59501122780273</v>
      </c>
      <c r="X10" s="13">
        <f>SUM(U10:W10)/perTot-SUM('Ref | NHWS RU'!U10:W10)</f>
        <v>185.83805918503526</v>
      </c>
      <c r="Y10" s="124">
        <f t="shared" ref="Y10:Y37" si="4">U11-U10</f>
        <v>4.1358054477570931</v>
      </c>
      <c r="Z10" s="124">
        <f t="shared" ref="Z10:Z37" si="5">V11-V10</f>
        <v>1.8485821855736546</v>
      </c>
      <c r="AA10" s="124">
        <f t="shared" ref="AA10:AA37" si="6">W11-W10</f>
        <v>2.8599744571774863</v>
      </c>
      <c r="AB10" s="247">
        <f t="shared" ref="AB10:AB36" si="7">X11-X10</f>
        <v>3.4394741463087826</v>
      </c>
      <c r="AD10" s="198">
        <f t="shared" si="0"/>
        <v>0</v>
      </c>
      <c r="AE10" s="206">
        <f t="shared" ref="AE10:AE38" si="8">EXP(consAbsent+$AD10*ISItotAbsent)/100</f>
        <v>6.1121537338651312E-2</v>
      </c>
      <c r="AF10" s="206">
        <f t="shared" ref="AF10:AF38" si="9">EXP(consPresent+$AD10*ISItotPresent)/100</f>
        <v>0.19819641039656602</v>
      </c>
      <c r="AG10" s="124">
        <f t="shared" ref="AG10:AG38" si="10">AE10*annualWR</f>
        <v>1587.3874462221131</v>
      </c>
      <c r="AH10" s="124">
        <f t="shared" ref="AH10:AH38" si="11">(1-AE10)*AF10*annualWR</f>
        <v>4832.7444806594212</v>
      </c>
      <c r="AI10" s="207">
        <f t="shared" ref="AI10:AI36" si="12">AG11-AG10</f>
        <v>121.92215882912319</v>
      </c>
      <c r="AJ10" s="208">
        <f t="shared" ref="AJ10:AJ36" si="13">AH11-AH10</f>
        <v>192.1367154321124</v>
      </c>
      <c r="AK10" s="9"/>
      <c r="AL10" s="9"/>
      <c r="AN10" s="13"/>
      <c r="AO10" s="13"/>
    </row>
    <row r="11" spans="2:41">
      <c r="B11" s="90" t="s">
        <v>121</v>
      </c>
      <c r="C11" s="88">
        <f>SUMPRODUCT(G28:G41,C53:C66)</f>
        <v>-0.27272079566003693</v>
      </c>
      <c r="D11" s="88">
        <f>SUMPRODUCT(G28:G41,C80:C93)</f>
        <v>-0.30932658227848098</v>
      </c>
      <c r="E11" s="88">
        <f>SUMPRODUCT(G28:G41,C107:C120)</f>
        <v>-0.52156745027124785</v>
      </c>
      <c r="G11" s="88">
        <f>SUMPRODUCT(O28:O43,C134:C149)</f>
        <v>-1.7906518542457632</v>
      </c>
      <c r="H11" s="88">
        <f>SUMPRODUCT(O28:O43,C163:C178)</f>
        <v>-1.9269039895923654</v>
      </c>
      <c r="I11" s="88">
        <f>SUMPRODUCT(O28:O47,C192:C211)</f>
        <v>0.60039622723330432</v>
      </c>
      <c r="L11" s="68"/>
      <c r="M11" s="84"/>
      <c r="N11" s="84"/>
      <c r="R11" s="14"/>
      <c r="T11" s="198">
        <v>1</v>
      </c>
      <c r="U11" s="124">
        <f t="shared" si="1"/>
        <v>260.56125759243218</v>
      </c>
      <c r="V11" s="124">
        <f t="shared" si="2"/>
        <v>58.697413860329405</v>
      </c>
      <c r="W11" s="124">
        <f t="shared" si="3"/>
        <v>167.45498568498022</v>
      </c>
      <c r="X11" s="13">
        <f>SUM(U11:W11)/perTot-SUM('Ref | NHWS RU'!U11:W11)</f>
        <v>189.27753333134405</v>
      </c>
      <c r="Y11" s="124">
        <f t="shared" si="4"/>
        <v>4.2025105527247888</v>
      </c>
      <c r="Z11" s="124">
        <f t="shared" si="5"/>
        <v>1.908693466599992</v>
      </c>
      <c r="AA11" s="124">
        <f t="shared" si="6"/>
        <v>2.909668878865574</v>
      </c>
      <c r="AB11" s="247">
        <f t="shared" si="7"/>
        <v>3.508117238185207</v>
      </c>
      <c r="AD11" s="198">
        <f t="shared" si="0"/>
        <v>1</v>
      </c>
      <c r="AE11" s="206">
        <f t="shared" si="8"/>
        <v>6.5816087368651049E-2</v>
      </c>
      <c r="AF11" s="206">
        <f t="shared" si="9"/>
        <v>0.20711175166664003</v>
      </c>
      <c r="AG11" s="124">
        <f t="shared" si="10"/>
        <v>1709.3096050512363</v>
      </c>
      <c r="AH11" s="124">
        <f t="shared" si="11"/>
        <v>5024.8811960915336</v>
      </c>
      <c r="AI11" s="207">
        <f t="shared" si="12"/>
        <v>131.28661036799076</v>
      </c>
      <c r="AJ11" s="208">
        <f t="shared" si="13"/>
        <v>197.61687418642759</v>
      </c>
      <c r="AK11" s="9"/>
      <c r="AL11" s="9"/>
      <c r="AN11" s="13"/>
      <c r="AO11" s="13"/>
    </row>
    <row r="12" spans="2:41">
      <c r="B12" s="90" t="s">
        <v>122</v>
      </c>
      <c r="C12" s="88">
        <f>C51</f>
        <v>2.0830000000000002</v>
      </c>
      <c r="D12" s="88">
        <f>C78</f>
        <v>3.2959999999999998</v>
      </c>
      <c r="E12" s="88">
        <f>C105</f>
        <v>3.492</v>
      </c>
      <c r="G12" s="88">
        <f>C132</f>
        <v>-9.8985462916715075E-3</v>
      </c>
      <c r="H12" s="88">
        <f>C161</f>
        <v>0.749</v>
      </c>
      <c r="I12" s="88">
        <f>C190</f>
        <v>1.2769999999999999</v>
      </c>
      <c r="L12" s="68"/>
      <c r="M12" s="84"/>
      <c r="N12" s="84"/>
      <c r="R12" s="14"/>
      <c r="T12" s="198">
        <v>2</v>
      </c>
      <c r="U12" s="124">
        <f t="shared" si="1"/>
        <v>264.76376814515697</v>
      </c>
      <c r="V12" s="124">
        <f t="shared" si="2"/>
        <v>60.606107326929397</v>
      </c>
      <c r="W12" s="124">
        <f t="shared" si="3"/>
        <v>170.36465456384579</v>
      </c>
      <c r="X12" s="13">
        <f>SUM(U12:W12)/perTot-SUM('Ref | NHWS RU'!U12:W12)</f>
        <v>192.78565056952925</v>
      </c>
      <c r="Y12" s="124">
        <f t="shared" si="4"/>
        <v>4.2702915233454632</v>
      </c>
      <c r="Z12" s="124">
        <f t="shared" si="5"/>
        <v>1.9707594165260005</v>
      </c>
      <c r="AA12" s="124">
        <f t="shared" si="6"/>
        <v>2.9602267822329509</v>
      </c>
      <c r="AB12" s="247">
        <f t="shared" si="7"/>
        <v>3.5782746697071843</v>
      </c>
      <c r="AD12" s="198">
        <f t="shared" si="0"/>
        <v>2</v>
      </c>
      <c r="AE12" s="206">
        <f t="shared" si="8"/>
        <v>7.0871210789697242E-2</v>
      </c>
      <c r="AF12" s="206">
        <f t="shared" si="9"/>
        <v>0.2164281259816761</v>
      </c>
      <c r="AG12" s="124">
        <f t="shared" si="10"/>
        <v>1840.5962154192271</v>
      </c>
      <c r="AH12" s="124">
        <f t="shared" si="11"/>
        <v>5222.4980702779612</v>
      </c>
      <c r="AI12" s="207">
        <f t="shared" si="12"/>
        <v>141.37031551478276</v>
      </c>
      <c r="AJ12" s="208">
        <f t="shared" si="13"/>
        <v>202.94744596349483</v>
      </c>
      <c r="AK12" s="9"/>
      <c r="AL12" s="9"/>
      <c r="AN12" s="13"/>
      <c r="AO12" s="13"/>
    </row>
    <row r="13" spans="2:41">
      <c r="G13" s="70"/>
      <c r="H13" s="70"/>
      <c r="I13" s="70"/>
      <c r="L13" s="68"/>
      <c r="M13" s="85"/>
      <c r="N13" s="84"/>
      <c r="R13" s="14"/>
      <c r="T13" s="198">
        <v>3</v>
      </c>
      <c r="U13" s="124">
        <f t="shared" si="1"/>
        <v>269.03405966850244</v>
      </c>
      <c r="V13" s="124">
        <f t="shared" si="2"/>
        <v>62.576866743455398</v>
      </c>
      <c r="W13" s="124">
        <f t="shared" si="3"/>
        <v>173.32488134607874</v>
      </c>
      <c r="X13" s="13">
        <f>SUM(U13:W13)/perTot-SUM('Ref | NHWS RU'!U13:W13)</f>
        <v>196.36392523923644</v>
      </c>
      <c r="Y13" s="124">
        <f t="shared" si="4"/>
        <v>4.3391657119178149</v>
      </c>
      <c r="Z13" s="124">
        <f t="shared" si="5"/>
        <v>2.0348435963080078</v>
      </c>
      <c r="AA13" s="124">
        <f t="shared" si="6"/>
        <v>3.0116631709878448</v>
      </c>
      <c r="AB13" s="247">
        <f t="shared" si="7"/>
        <v>3.6499837419164578</v>
      </c>
      <c r="AD13" s="198">
        <f t="shared" si="0"/>
        <v>3</v>
      </c>
      <c r="AE13" s="206">
        <f t="shared" si="8"/>
        <v>7.6314602092103112E-2</v>
      </c>
      <c r="AF13" s="206">
        <f t="shared" si="9"/>
        <v>0.22616357275242463</v>
      </c>
      <c r="AG13" s="124">
        <f t="shared" si="10"/>
        <v>1981.9665309340098</v>
      </c>
      <c r="AH13" s="124">
        <f t="shared" si="11"/>
        <v>5425.4455162414561</v>
      </c>
      <c r="AI13" s="207">
        <f t="shared" si="12"/>
        <v>152.22851784146587</v>
      </c>
      <c r="AJ13" s="208">
        <f t="shared" si="13"/>
        <v>208.07209311904171</v>
      </c>
      <c r="AK13" s="9"/>
      <c r="AL13" s="9"/>
      <c r="AN13" s="13"/>
      <c r="AO13" s="13"/>
    </row>
    <row r="14" spans="2:41">
      <c r="B14" s="4" t="s">
        <v>128</v>
      </c>
      <c r="L14" s="68"/>
      <c r="M14" s="85"/>
      <c r="N14" s="84"/>
      <c r="R14" s="14"/>
      <c r="T14" s="198">
        <v>4</v>
      </c>
      <c r="U14" s="124">
        <f t="shared" si="1"/>
        <v>273.37322538042025</v>
      </c>
      <c r="V14" s="124">
        <f t="shared" si="2"/>
        <v>64.611710339763405</v>
      </c>
      <c r="W14" s="124">
        <f t="shared" si="3"/>
        <v>176.33654451706659</v>
      </c>
      <c r="X14" s="13">
        <f>SUM(U14:W14)/perTot-SUM('Ref | NHWS RU'!U14:W14)</f>
        <v>200.01390898115289</v>
      </c>
      <c r="Y14" s="124">
        <f t="shared" si="4"/>
        <v>4.4091507506102516</v>
      </c>
      <c r="Z14" s="124">
        <f t="shared" si="5"/>
        <v>2.1010116337460119</v>
      </c>
      <c r="AA14" s="124">
        <f t="shared" si="6"/>
        <v>3.0639933095406775</v>
      </c>
      <c r="AB14" s="247">
        <f t="shared" si="7"/>
        <v>3.7232827698487654</v>
      </c>
      <c r="AD14" s="198">
        <f t="shared" si="0"/>
        <v>4</v>
      </c>
      <c r="AE14" s="206">
        <f t="shared" si="8"/>
        <v>8.2176082891512681E-2</v>
      </c>
      <c r="AF14" s="206">
        <f t="shared" si="9"/>
        <v>0.23633694284481263</v>
      </c>
      <c r="AG14" s="124">
        <f t="shared" si="10"/>
        <v>2134.1950487754757</v>
      </c>
      <c r="AH14" s="124">
        <f t="shared" si="11"/>
        <v>5633.5176093604978</v>
      </c>
      <c r="AI14" s="207">
        <f t="shared" si="12"/>
        <v>163.92070400229431</v>
      </c>
      <c r="AJ14" s="208">
        <f t="shared" si="13"/>
        <v>212.9257305900619</v>
      </c>
      <c r="AK14" s="9"/>
      <c r="AL14" s="9"/>
      <c r="AN14" s="13"/>
      <c r="AO14" s="13"/>
    </row>
    <row r="15" spans="2:41">
      <c r="C15" s="287" t="s">
        <v>119</v>
      </c>
      <c r="D15" s="287"/>
      <c r="E15" s="287"/>
      <c r="G15" s="287" t="s">
        <v>120</v>
      </c>
      <c r="H15" s="287"/>
      <c r="I15" s="287"/>
      <c r="R15" s="14"/>
      <c r="T15" s="198">
        <v>5</v>
      </c>
      <c r="U15" s="124">
        <f t="shared" si="1"/>
        <v>277.7823761310305</v>
      </c>
      <c r="V15" s="124">
        <f t="shared" si="2"/>
        <v>66.712721973509417</v>
      </c>
      <c r="W15" s="124">
        <f t="shared" si="3"/>
        <v>179.40053782660726</v>
      </c>
      <c r="X15" s="13">
        <f>SUM(U15:W15)/perTot-SUM('Ref | NHWS RU'!U15:W15)</f>
        <v>203.73719175100166</v>
      </c>
      <c r="Y15" s="124">
        <f t="shared" si="4"/>
        <v>4.4802645559748839</v>
      </c>
      <c r="Z15" s="124">
        <f t="shared" si="5"/>
        <v>2.1693312906924831</v>
      </c>
      <c r="AA15" s="124">
        <f t="shared" si="6"/>
        <v>3.117232727533235</v>
      </c>
      <c r="AB15" s="247">
        <f t="shared" si="7"/>
        <v>3.7982111121891649</v>
      </c>
      <c r="AD15" s="198">
        <f t="shared" si="0"/>
        <v>5</v>
      </c>
      <c r="AE15" s="206">
        <f t="shared" si="8"/>
        <v>8.8487765306602365E-2</v>
      </c>
      <c r="AF15" s="206">
        <f t="shared" si="9"/>
        <v>0.24696793508110784</v>
      </c>
      <c r="AG15" s="124">
        <f t="shared" si="10"/>
        <v>2298.11575277777</v>
      </c>
      <c r="AH15" s="124">
        <f t="shared" si="11"/>
        <v>5846.4433399505597</v>
      </c>
      <c r="AI15" s="207">
        <f t="shared" si="12"/>
        <v>176.51092963140081</v>
      </c>
      <c r="AJ15" s="208">
        <f t="shared" si="13"/>
        <v>217.43335424628367</v>
      </c>
      <c r="AK15" s="9"/>
      <c r="AL15" s="9"/>
      <c r="AN15" s="13"/>
      <c r="AO15" s="13"/>
    </row>
    <row r="16" spans="2:41">
      <c r="B16" s="87"/>
      <c r="C16" s="89" t="s">
        <v>117</v>
      </c>
      <c r="D16" s="89" t="s">
        <v>118</v>
      </c>
      <c r="E16" s="89" t="s">
        <v>136</v>
      </c>
      <c r="G16" s="89" t="s">
        <v>135</v>
      </c>
      <c r="H16" s="89" t="s">
        <v>137</v>
      </c>
      <c r="I16" s="89" t="s">
        <v>138</v>
      </c>
      <c r="R16" s="14"/>
      <c r="T16" s="198">
        <v>6</v>
      </c>
      <c r="U16" s="124">
        <f t="shared" si="1"/>
        <v>282.26264068700539</v>
      </c>
      <c r="V16" s="124">
        <f t="shared" si="2"/>
        <v>68.8820532642019</v>
      </c>
      <c r="W16" s="124">
        <f t="shared" si="3"/>
        <v>182.5177705541405</v>
      </c>
      <c r="X16" s="13">
        <f>SUM(U16:W16)/perTot-SUM('Ref | NHWS RU'!U16:W16)</f>
        <v>207.53540286319082</v>
      </c>
      <c r="Y16" s="124">
        <f t="shared" si="4"/>
        <v>4.5525253335343336</v>
      </c>
      <c r="Z16" s="124">
        <f t="shared" si="5"/>
        <v>2.2398725324461424</v>
      </c>
      <c r="AA16" s="124">
        <f t="shared" si="6"/>
        <v>3.171397224447901</v>
      </c>
      <c r="AB16" s="247">
        <f t="shared" si="7"/>
        <v>3.8748092018332727</v>
      </c>
      <c r="AD16" s="198">
        <f t="shared" si="0"/>
        <v>6</v>
      </c>
      <c r="AE16" s="206">
        <f t="shared" si="8"/>
        <v>9.528422788530172E-2</v>
      </c>
      <c r="AF16" s="206">
        <f t="shared" si="9"/>
        <v>0.25807713438299229</v>
      </c>
      <c r="AG16" s="124">
        <f t="shared" si="10"/>
        <v>2474.6266824091708</v>
      </c>
      <c r="AH16" s="124">
        <f t="shared" si="11"/>
        <v>6063.8766941968433</v>
      </c>
      <c r="AI16" s="207">
        <f t="shared" si="12"/>
        <v>190.06817027155694</v>
      </c>
      <c r="AJ16" s="208">
        <f t="shared" si="13"/>
        <v>221.50871907697456</v>
      </c>
      <c r="AK16" s="9"/>
      <c r="AL16" s="9"/>
      <c r="AN16" s="13"/>
      <c r="AO16" s="13"/>
    </row>
    <row r="17" spans="2:41">
      <c r="B17" s="90" t="s">
        <v>123</v>
      </c>
      <c r="C17" s="88">
        <f ca="1">C20+C19</f>
        <v>1.4820586454062732</v>
      </c>
      <c r="D17" s="88">
        <f ca="1">D20+D19</f>
        <v>3.2769219797041433</v>
      </c>
      <c r="E17" s="88">
        <f ca="1">E20+E19</f>
        <v>2.8797513721739905</v>
      </c>
      <c r="G17" s="88">
        <f ca="1">G20+G19</f>
        <v>-1.6437509179350769</v>
      </c>
      <c r="H17" s="88">
        <f ca="1">H20+H19</f>
        <v>-1.2725433932635353</v>
      </c>
      <c r="I17" s="88">
        <f ca="1">I20+I19</f>
        <v>2.0529844818179717</v>
      </c>
      <c r="R17" s="14"/>
      <c r="T17" s="198">
        <v>7</v>
      </c>
      <c r="U17" s="124">
        <f t="shared" si="1"/>
        <v>286.81516602053972</v>
      </c>
      <c r="V17" s="124">
        <f t="shared" si="2"/>
        <v>71.121925796648043</v>
      </c>
      <c r="W17" s="124">
        <f t="shared" si="3"/>
        <v>185.6891677785884</v>
      </c>
      <c r="X17" s="13">
        <f>SUM(U17:W17)/perTot-SUM('Ref | NHWS RU'!U17:W17)</f>
        <v>211.4102120650241</v>
      </c>
      <c r="Y17" s="124">
        <f t="shared" si="4"/>
        <v>4.6259515824420987</v>
      </c>
      <c r="Z17" s="124">
        <f t="shared" si="5"/>
        <v>2.3127075994027422</v>
      </c>
      <c r="AA17" s="124">
        <f t="shared" si="6"/>
        <v>3.226502874296159</v>
      </c>
      <c r="AB17" s="247">
        <f t="shared" si="7"/>
        <v>3.9531185773881816</v>
      </c>
      <c r="AD17" s="198">
        <f t="shared" si="0"/>
        <v>7</v>
      </c>
      <c r="AE17" s="206">
        <f t="shared" si="8"/>
        <v>0.10260270504334557</v>
      </c>
      <c r="AF17" s="206">
        <f t="shared" si="9"/>
        <v>0.26968605163040066</v>
      </c>
      <c r="AG17" s="124">
        <f t="shared" si="10"/>
        <v>2664.6948526807278</v>
      </c>
      <c r="AH17" s="124">
        <f t="shared" si="11"/>
        <v>6285.3854132738179</v>
      </c>
      <c r="AI17" s="207">
        <f t="shared" si="12"/>
        <v>204.66669925662745</v>
      </c>
      <c r="AJ17" s="208">
        <f t="shared" si="13"/>
        <v>225.0528482519976</v>
      </c>
      <c r="AK17" s="9"/>
      <c r="AL17" s="9"/>
      <c r="AN17" s="13"/>
      <c r="AO17" s="13"/>
    </row>
    <row r="18" spans="2:41">
      <c r="B18" s="90" t="s">
        <v>1</v>
      </c>
      <c r="C18" s="88">
        <f ca="1">C10+AY52</f>
        <v>8.7260536923993617E-2</v>
      </c>
      <c r="D18" s="88">
        <f ca="1">D10+AY79</f>
        <v>2.7185532173842019E-2</v>
      </c>
      <c r="E18" s="88">
        <f ca="1">E10+AY106</f>
        <v>5.1934868485393949E-2</v>
      </c>
      <c r="G18" s="88">
        <f ca="1">G10+BC133</f>
        <v>1.8529407756391347E-2</v>
      </c>
      <c r="H18" s="88">
        <f ca="1">H10+BC162</f>
        <v>4.7830414755011083E-2</v>
      </c>
      <c r="I18" s="88">
        <f ca="1">I10+BC191</f>
        <v>6.2046118235758833E-3</v>
      </c>
      <c r="R18" s="14"/>
      <c r="T18" s="198">
        <v>8</v>
      </c>
      <c r="U18" s="124">
        <f t="shared" si="1"/>
        <v>291.44111760298182</v>
      </c>
      <c r="V18" s="124">
        <f t="shared" si="2"/>
        <v>73.434633396050785</v>
      </c>
      <c r="W18" s="124">
        <f t="shared" si="3"/>
        <v>188.91567065288456</v>
      </c>
      <c r="X18" s="13">
        <f>SUM(U18:W18)/perTot-SUM('Ref | NHWS RU'!U18:W18)</f>
        <v>215.36333064241228</v>
      </c>
      <c r="Y18" s="124">
        <f t="shared" si="4"/>
        <v>4.7005621002192015</v>
      </c>
      <c r="Z18" s="124">
        <f t="shared" si="5"/>
        <v>2.3879110810355115</v>
      </c>
      <c r="AA18" s="124">
        <f t="shared" si="6"/>
        <v>3.2825660303885513</v>
      </c>
      <c r="AB18" s="247">
        <f t="shared" si="7"/>
        <v>4.0331819156390338</v>
      </c>
      <c r="AD18" s="198">
        <f t="shared" si="0"/>
        <v>8</v>
      </c>
      <c r="AE18" s="206">
        <f t="shared" si="8"/>
        <v>0.11048329105299586</v>
      </c>
      <c r="AF18" s="206">
        <f t="shared" si="9"/>
        <v>0.28181716531330248</v>
      </c>
      <c r="AG18" s="124">
        <f t="shared" si="10"/>
        <v>2869.3615519373552</v>
      </c>
      <c r="AH18" s="124">
        <f t="shared" si="11"/>
        <v>6510.4382615258155</v>
      </c>
      <c r="AI18" s="207">
        <f t="shared" si="12"/>
        <v>220.38649461798332</v>
      </c>
      <c r="AJ18" s="208">
        <f t="shared" si="13"/>
        <v>227.95235171417607</v>
      </c>
      <c r="AK18" s="9"/>
      <c r="AL18" s="9"/>
      <c r="AN18" s="13"/>
      <c r="AO18" s="13"/>
    </row>
    <row r="19" spans="2:41">
      <c r="B19" s="90" t="s">
        <v>121</v>
      </c>
      <c r="C19" s="88">
        <f ca="1">C11+SUMPRODUCT(G28:G41,AY53:AY66)</f>
        <v>-0.17386194395478535</v>
      </c>
      <c r="D19" s="88">
        <f ca="1">D11+SUMPRODUCT(G28:G41,AY80:AY93)</f>
        <v>-0.38073843383465367</v>
      </c>
      <c r="E19" s="88">
        <f ca="1">E11+SUMPRODUCT(G28:G41,AY107:AY120)</f>
        <v>-0.46475550222214496</v>
      </c>
      <c r="G19" s="88">
        <f ca="1">G11+SUMPRODUCT(O28:O43,BC134:BC149)</f>
        <v>-1.4459552566453426</v>
      </c>
      <c r="H19" s="88">
        <f ca="1">H11+SUMPRODUCT(O28:O43,BC163:BC178)</f>
        <v>-1.3966035500498573</v>
      </c>
      <c r="I19" s="88">
        <f ca="1">I11+SUMPRODUCT(O28:O43,BC192:BC207)</f>
        <v>0.73141291677320219</v>
      </c>
      <c r="R19" s="14"/>
      <c r="T19" s="198">
        <v>9</v>
      </c>
      <c r="U19" s="124">
        <f t="shared" si="1"/>
        <v>296.14167970320102</v>
      </c>
      <c r="V19" s="124">
        <f t="shared" si="2"/>
        <v>75.822544477086296</v>
      </c>
      <c r="W19" s="124">
        <f t="shared" si="3"/>
        <v>192.19823668327311</v>
      </c>
      <c r="X19" s="13">
        <f>SUM(U19:W19)/perTot-SUM('Ref | NHWS RU'!U19:W19)</f>
        <v>219.39651255805131</v>
      </c>
      <c r="Y19" s="124">
        <f t="shared" si="4"/>
        <v>4.7763759875654728</v>
      </c>
      <c r="Z19" s="124">
        <f t="shared" si="5"/>
        <v>2.4655599922812286</v>
      </c>
      <c r="AA19" s="124">
        <f t="shared" si="6"/>
        <v>3.3396033301881118</v>
      </c>
      <c r="AB19" s="247">
        <f t="shared" si="7"/>
        <v>4.1150430650135377</v>
      </c>
      <c r="AD19" s="198">
        <f t="shared" si="0"/>
        <v>9</v>
      </c>
      <c r="AE19" s="206">
        <f t="shared" si="8"/>
        <v>0.11896915969948553</v>
      </c>
      <c r="AF19" s="206">
        <f t="shared" si="9"/>
        <v>0.2944939650570807</v>
      </c>
      <c r="AG19" s="124">
        <f t="shared" si="10"/>
        <v>3089.7480465553385</v>
      </c>
      <c r="AH19" s="124">
        <f t="shared" si="11"/>
        <v>6738.3906132399916</v>
      </c>
      <c r="AI19" s="207">
        <f t="shared" si="12"/>
        <v>237.31367724410302</v>
      </c>
      <c r="AJ19" s="208">
        <f t="shared" si="13"/>
        <v>230.07753027978015</v>
      </c>
      <c r="AK19" s="9"/>
      <c r="AL19" s="9"/>
      <c r="AN19" s="13"/>
      <c r="AO19" s="13"/>
    </row>
    <row r="20" spans="2:41">
      <c r="B20" s="90" t="s">
        <v>122</v>
      </c>
      <c r="C20" s="88">
        <f ca="1">C12+AY51</f>
        <v>1.6559205893610585</v>
      </c>
      <c r="D20" s="88">
        <f ca="1">D12+AY78</f>
        <v>3.6576604135387969</v>
      </c>
      <c r="E20" s="88">
        <f ca="1">E12+AY105</f>
        <v>3.3445068743961355</v>
      </c>
      <c r="G20" s="88">
        <f ca="1">G12+BC132</f>
        <v>-0.1977956612897343</v>
      </c>
      <c r="H20" s="88">
        <f ca="1">H12+BC161</f>
        <v>0.1240601567863221</v>
      </c>
      <c r="I20" s="88">
        <f ca="1">I12+BC190</f>
        <v>1.3215715650447697</v>
      </c>
      <c r="R20" s="14"/>
      <c r="T20" s="198">
        <v>10</v>
      </c>
      <c r="U20" s="124">
        <f t="shared" si="1"/>
        <v>300.91805569076649</v>
      </c>
      <c r="V20" s="124">
        <f t="shared" si="2"/>
        <v>78.288104469367525</v>
      </c>
      <c r="W20" s="124">
        <f t="shared" si="3"/>
        <v>195.53784001346122</v>
      </c>
      <c r="X20" s="13">
        <f>SUM(U20:W20)/perTot-SUM('Ref | NHWS RU'!U20:W20)</f>
        <v>223.51155562306485</v>
      </c>
      <c r="Y20" s="124">
        <f t="shared" si="4"/>
        <v>4.853412653250075</v>
      </c>
      <c r="Z20" s="124">
        <f t="shared" si="5"/>
        <v>2.5457338524103221</v>
      </c>
      <c r="AA20" s="124">
        <f t="shared" si="6"/>
        <v>3.3976317002474161</v>
      </c>
      <c r="AB20" s="247">
        <f t="shared" si="7"/>
        <v>4.1987470800752362</v>
      </c>
      <c r="AD20" s="198">
        <f t="shared" si="0"/>
        <v>10</v>
      </c>
      <c r="AE20" s="206">
        <f t="shared" si="8"/>
        <v>0.1281068008085727</v>
      </c>
      <c r="AF20" s="206">
        <f t="shared" si="9"/>
        <v>0.30774099710578329</v>
      </c>
      <c r="AG20" s="124">
        <f t="shared" si="10"/>
        <v>3327.0617237994416</v>
      </c>
      <c r="AH20" s="124">
        <f t="shared" si="11"/>
        <v>6968.4681435197717</v>
      </c>
      <c r="AI20" s="207">
        <f t="shared" si="12"/>
        <v>255.54098269378073</v>
      </c>
      <c r="AJ20" s="208">
        <f t="shared" si="13"/>
        <v>231.28023820762519</v>
      </c>
      <c r="AK20" s="9"/>
      <c r="AL20" s="9"/>
      <c r="AN20" s="13"/>
      <c r="AO20" s="13"/>
    </row>
    <row r="21" spans="2:41">
      <c r="B21" s="69"/>
      <c r="C21" s="70"/>
      <c r="D21" s="70"/>
      <c r="E21" s="70"/>
      <c r="G21" s="70"/>
      <c r="H21" s="70"/>
      <c r="I21" s="70"/>
      <c r="R21" s="14"/>
      <c r="T21" s="198">
        <v>11</v>
      </c>
      <c r="U21" s="124">
        <f t="shared" si="1"/>
        <v>305.77146834401657</v>
      </c>
      <c r="V21" s="124">
        <f t="shared" si="2"/>
        <v>80.833838321777847</v>
      </c>
      <c r="W21" s="124">
        <f t="shared" si="3"/>
        <v>198.93547171370864</v>
      </c>
      <c r="X21" s="13">
        <f>SUM(U21:W21)/perTot-SUM('Ref | NHWS RU'!U21:W21)</f>
        <v>227.71030270314009</v>
      </c>
      <c r="Y21" s="124">
        <f t="shared" si="4"/>
        <v>4.9316918190802994</v>
      </c>
      <c r="Z21" s="124">
        <f t="shared" si="5"/>
        <v>2.6285147664615067</v>
      </c>
      <c r="AA21" s="124">
        <f t="shared" si="6"/>
        <v>3.4566683612320048</v>
      </c>
      <c r="AB21" s="247">
        <f t="shared" si="7"/>
        <v>4.2843402570787248</v>
      </c>
      <c r="AD21" s="198">
        <f t="shared" si="0"/>
        <v>11</v>
      </c>
      <c r="AE21" s="206">
        <f t="shared" si="8"/>
        <v>0.13794627494101969</v>
      </c>
      <c r="AF21" s="206">
        <f t="shared" si="9"/>
        <v>0.32158391185131918</v>
      </c>
      <c r="AG21" s="124">
        <f t="shared" si="10"/>
        <v>3582.6027064932223</v>
      </c>
      <c r="AH21" s="124">
        <f t="shared" si="11"/>
        <v>7199.7483817273969</v>
      </c>
      <c r="AI21" s="207">
        <f t="shared" si="12"/>
        <v>275.16826924785528</v>
      </c>
      <c r="AJ21" s="208">
        <f t="shared" si="13"/>
        <v>231.39147380280974</v>
      </c>
      <c r="AK21" s="9"/>
      <c r="AL21" s="9"/>
      <c r="AN21" s="13"/>
      <c r="AO21" s="13"/>
    </row>
    <row r="22" spans="2:41">
      <c r="B22" s="69"/>
      <c r="C22" s="70"/>
      <c r="D22" s="70"/>
      <c r="E22" s="70"/>
      <c r="G22" s="70"/>
      <c r="H22" s="70"/>
      <c r="I22" s="70"/>
      <c r="R22" s="14"/>
      <c r="T22" s="198">
        <v>12</v>
      </c>
      <c r="U22" s="124">
        <f t="shared" si="1"/>
        <v>310.70316016309687</v>
      </c>
      <c r="V22" s="124">
        <f t="shared" si="2"/>
        <v>83.462353088239354</v>
      </c>
      <c r="W22" s="124">
        <f t="shared" si="3"/>
        <v>202.39214007494064</v>
      </c>
      <c r="X22" s="13">
        <f>SUM(U22:W22)/perTot-SUM('Ref | NHWS RU'!U22:W22)</f>
        <v>231.99464296021881</v>
      </c>
      <c r="Y22" s="124">
        <f t="shared" si="4"/>
        <v>5.0112335249501143</v>
      </c>
      <c r="Z22" s="124">
        <f t="shared" si="5"/>
        <v>2.7139875093244825</v>
      </c>
      <c r="AA22" s="124">
        <f t="shared" si="6"/>
        <v>3.5167308330304934</v>
      </c>
      <c r="AB22" s="247">
        <f t="shared" si="7"/>
        <v>4.3718701706186494</v>
      </c>
      <c r="AD22" s="198">
        <f t="shared" si="0"/>
        <v>12</v>
      </c>
      <c r="AE22" s="206">
        <f t="shared" si="8"/>
        <v>0.14854148764934264</v>
      </c>
      <c r="AF22" s="206">
        <f t="shared" si="9"/>
        <v>0.33604951350062928</v>
      </c>
      <c r="AG22" s="124">
        <f t="shared" si="10"/>
        <v>3857.7709757410776</v>
      </c>
      <c r="AH22" s="124">
        <f t="shared" si="11"/>
        <v>7431.1398555302067</v>
      </c>
      <c r="AI22" s="207">
        <f t="shared" si="12"/>
        <v>296.30306498270693</v>
      </c>
      <c r="AJ22" s="208">
        <f t="shared" si="13"/>
        <v>230.21866380119081</v>
      </c>
      <c r="AK22" s="9"/>
      <c r="AL22" s="9"/>
      <c r="AN22" s="13"/>
      <c r="AO22" s="13"/>
    </row>
    <row r="23" spans="2:41">
      <c r="B23" s="4" t="s">
        <v>74</v>
      </c>
      <c r="R23" s="14"/>
      <c r="T23" s="198">
        <v>13</v>
      </c>
      <c r="U23" s="124">
        <f t="shared" si="1"/>
        <v>315.71439368804698</v>
      </c>
      <c r="V23" s="124">
        <f t="shared" si="2"/>
        <v>86.176340597563836</v>
      </c>
      <c r="W23" s="124">
        <f t="shared" si="3"/>
        <v>205.90887090797114</v>
      </c>
      <c r="X23" s="13">
        <f>SUM(U23:W23)/perTot-SUM('Ref | NHWS RU'!U23:W23)</f>
        <v>236.36651313083746</v>
      </c>
      <c r="Y23" s="124">
        <f t="shared" si="4"/>
        <v>5.0920581339705109</v>
      </c>
      <c r="Z23" s="124">
        <f t="shared" si="5"/>
        <v>2.80223961255696</v>
      </c>
      <c r="AA23" s="124">
        <f t="shared" si="6"/>
        <v>3.5778369399545227</v>
      </c>
      <c r="AB23" s="247">
        <f t="shared" si="7"/>
        <v>4.4613857114096618</v>
      </c>
      <c r="AD23" s="198">
        <f t="shared" si="0"/>
        <v>13</v>
      </c>
      <c r="AE23" s="206">
        <f t="shared" si="8"/>
        <v>0.15995048479934482</v>
      </c>
      <c r="AF23" s="206">
        <f t="shared" si="9"/>
        <v>0.35116581197700347</v>
      </c>
      <c r="AG23" s="124">
        <f t="shared" si="10"/>
        <v>4154.0740407237845</v>
      </c>
      <c r="AH23" s="124">
        <f t="shared" si="11"/>
        <v>7661.3585193313975</v>
      </c>
      <c r="AI23" s="207">
        <f t="shared" si="12"/>
        <v>319.06115686276917</v>
      </c>
      <c r="AJ23" s="208">
        <f t="shared" si="13"/>
        <v>227.54260298199733</v>
      </c>
      <c r="AK23" s="9"/>
      <c r="AL23" s="9"/>
      <c r="AN23" s="13"/>
      <c r="AO23" s="13"/>
    </row>
    <row r="24" spans="2:41" ht="17" thickBot="1">
      <c r="R24" s="14"/>
      <c r="T24" s="198">
        <v>14</v>
      </c>
      <c r="U24" s="124">
        <f t="shared" si="1"/>
        <v>320.80645182201749</v>
      </c>
      <c r="V24" s="124">
        <f t="shared" si="2"/>
        <v>88.978580210120796</v>
      </c>
      <c r="W24" s="124">
        <f t="shared" si="3"/>
        <v>209.48670784792566</v>
      </c>
      <c r="X24" s="13">
        <f>SUM(U24:W24)/perTot-SUM('Ref | NHWS RU'!U24:W24)</f>
        <v>240.82789884224712</v>
      </c>
      <c r="Y24" s="124">
        <f t="shared" si="4"/>
        <v>5.1741863376827837</v>
      </c>
      <c r="Z24" s="124">
        <f t="shared" si="5"/>
        <v>2.8933614540245145</v>
      </c>
      <c r="AA24" s="124">
        <f t="shared" si="6"/>
        <v>3.640004816027357</v>
      </c>
      <c r="AB24" s="247">
        <f t="shared" si="7"/>
        <v>4.5529371252301871</v>
      </c>
      <c r="AD24" s="198">
        <f t="shared" si="0"/>
        <v>14</v>
      </c>
      <c r="AE24" s="206">
        <f t="shared" si="8"/>
        <v>0.17223577057435424</v>
      </c>
      <c r="AF24" s="206">
        <f t="shared" si="9"/>
        <v>0.36696207715604162</v>
      </c>
      <c r="AG24" s="124">
        <f t="shared" si="10"/>
        <v>4473.1351975865537</v>
      </c>
      <c r="AH24" s="124">
        <f t="shared" si="11"/>
        <v>7888.9011223133948</v>
      </c>
      <c r="AI24" s="207">
        <f t="shared" si="12"/>
        <v>343.56722507932409</v>
      </c>
      <c r="AJ24" s="208">
        <f t="shared" si="13"/>
        <v>223.11400561838946</v>
      </c>
      <c r="AK24" s="9"/>
      <c r="AL24" s="9"/>
      <c r="AN24" s="13"/>
      <c r="AO24" s="13"/>
    </row>
    <row r="25" spans="2:41" ht="18" thickTop="1" thickBot="1">
      <c r="B25" s="280"/>
      <c r="C25" s="281"/>
      <c r="D25" s="17" t="s">
        <v>46</v>
      </c>
      <c r="E25" s="18" t="s">
        <v>71</v>
      </c>
      <c r="F25" s="18" t="s">
        <v>72</v>
      </c>
      <c r="G25" s="18" t="s">
        <v>11</v>
      </c>
      <c r="H25" s="19" t="s">
        <v>73</v>
      </c>
      <c r="J25" s="72"/>
      <c r="K25" s="73"/>
      <c r="L25" s="17" t="s">
        <v>46</v>
      </c>
      <c r="M25" s="18" t="s">
        <v>71</v>
      </c>
      <c r="N25" s="18" t="s">
        <v>72</v>
      </c>
      <c r="O25" s="18" t="s">
        <v>11</v>
      </c>
      <c r="P25" s="19" t="s">
        <v>73</v>
      </c>
      <c r="R25" s="14"/>
      <c r="T25" s="198">
        <v>15</v>
      </c>
      <c r="U25" s="124">
        <f t="shared" si="1"/>
        <v>325.98063815970028</v>
      </c>
      <c r="V25" s="124">
        <f t="shared" si="2"/>
        <v>91.871941664145311</v>
      </c>
      <c r="W25" s="124">
        <f t="shared" si="3"/>
        <v>213.12671266395301</v>
      </c>
      <c r="X25" s="13">
        <f>SUM(U25:W25)/perTot-SUM('Ref | NHWS RU'!U25:W25)</f>
        <v>245.38083596747731</v>
      </c>
      <c r="Y25" s="124">
        <f t="shared" si="4"/>
        <v>5.2576391613558826</v>
      </c>
      <c r="Z25" s="124">
        <f t="shared" si="5"/>
        <v>2.9874463504553717</v>
      </c>
      <c r="AA25" s="124">
        <f t="shared" si="6"/>
        <v>3.7032529103661602</v>
      </c>
      <c r="AB25" s="247">
        <f t="shared" si="7"/>
        <v>4.6465760530689977</v>
      </c>
      <c r="AD25" s="198">
        <f t="shared" si="0"/>
        <v>15</v>
      </c>
      <c r="AE25" s="206">
        <f t="shared" si="8"/>
        <v>0.18546464990435016</v>
      </c>
      <c r="AF25" s="206">
        <f t="shared" si="9"/>
        <v>0.38346889554127495</v>
      </c>
      <c r="AG25" s="124">
        <f t="shared" si="10"/>
        <v>4816.7024226658777</v>
      </c>
      <c r="AH25" s="124">
        <f t="shared" si="11"/>
        <v>8112.0151279317843</v>
      </c>
      <c r="AI25" s="207">
        <f t="shared" si="12"/>
        <v>369.95552611087169</v>
      </c>
      <c r="AJ25" s="208">
        <f t="shared" si="13"/>
        <v>216.64961993216548</v>
      </c>
      <c r="AK25" s="9"/>
      <c r="AL25" s="9"/>
      <c r="AN25" s="13"/>
      <c r="AO25" s="13"/>
    </row>
    <row r="26" spans="2:41" ht="17" thickTop="1">
      <c r="B26" s="20" t="s">
        <v>50</v>
      </c>
      <c r="C26" s="21" t="s">
        <v>51</v>
      </c>
      <c r="D26" s="22">
        <v>1106</v>
      </c>
      <c r="E26" s="23">
        <v>0</v>
      </c>
      <c r="F26" s="23">
        <v>100</v>
      </c>
      <c r="G26" s="24">
        <v>32.965641952983695</v>
      </c>
      <c r="H26" s="25">
        <v>26.719130611384937</v>
      </c>
      <c r="J26" s="20" t="s">
        <v>50</v>
      </c>
      <c r="K26" s="21" t="s">
        <v>124</v>
      </c>
      <c r="L26" s="22">
        <v>2306</v>
      </c>
      <c r="M26" s="23">
        <v>0</v>
      </c>
      <c r="N26" s="23">
        <v>30</v>
      </c>
      <c r="O26" s="71">
        <v>0.22983521248915892</v>
      </c>
      <c r="P26" s="50">
        <v>0.99154502401828548</v>
      </c>
      <c r="R26" s="14"/>
      <c r="T26" s="198">
        <v>16</v>
      </c>
      <c r="U26" s="124">
        <f t="shared" si="1"/>
        <v>331.23827732105616</v>
      </c>
      <c r="V26" s="124">
        <f t="shared" si="2"/>
        <v>94.859388014600682</v>
      </c>
      <c r="W26" s="124">
        <f t="shared" si="3"/>
        <v>216.82996557431917</v>
      </c>
      <c r="X26" s="13">
        <f>SUM(U26:W26)/perTot-SUM('Ref | NHWS RU'!U26:W26)</f>
        <v>250.02741202054631</v>
      </c>
      <c r="Y26" s="124">
        <f t="shared" si="4"/>
        <v>5.3424379693680635</v>
      </c>
      <c r="Z26" s="124">
        <f t="shared" si="5"/>
        <v>3.0845906530050797</v>
      </c>
      <c r="AA26" s="124">
        <f t="shared" si="6"/>
        <v>3.7675999926569261</v>
      </c>
      <c r="AB26" s="247">
        <f t="shared" si="7"/>
        <v>4.7423555725116557</v>
      </c>
      <c r="AD26" s="198">
        <f t="shared" si="0"/>
        <v>16</v>
      </c>
      <c r="AE26" s="206">
        <f t="shared" si="8"/>
        <v>0.19970959719597819</v>
      </c>
      <c r="AF26" s="206">
        <f t="shared" si="9"/>
        <v>0.40071822948919233</v>
      </c>
      <c r="AG26" s="124">
        <f t="shared" si="10"/>
        <v>5186.6579487767494</v>
      </c>
      <c r="AH26" s="124">
        <f t="shared" si="11"/>
        <v>8328.6647478639497</v>
      </c>
      <c r="AI26" s="207">
        <f t="shared" si="12"/>
        <v>398.37062824711757</v>
      </c>
      <c r="AJ26" s="208">
        <f t="shared" si="13"/>
        <v>207.82785059249363</v>
      </c>
      <c r="AK26" s="9"/>
      <c r="AL26" s="9"/>
      <c r="AN26" s="13"/>
      <c r="AO26" s="13"/>
    </row>
    <row r="27" spans="2:41">
      <c r="B27" s="282" t="s">
        <v>52</v>
      </c>
      <c r="C27" s="26" t="s">
        <v>53</v>
      </c>
      <c r="D27" s="27">
        <v>1106</v>
      </c>
      <c r="E27" s="28">
        <v>0</v>
      </c>
      <c r="F27" s="28">
        <v>28</v>
      </c>
      <c r="G27" s="29">
        <v>13.820072332730559</v>
      </c>
      <c r="H27" s="30">
        <v>5.1482276873264912</v>
      </c>
      <c r="J27" s="74" t="s">
        <v>52</v>
      </c>
      <c r="K27" s="26" t="s">
        <v>53</v>
      </c>
      <c r="L27" s="27">
        <v>2306</v>
      </c>
      <c r="M27" s="28">
        <v>0</v>
      </c>
      <c r="N27" s="28">
        <v>28</v>
      </c>
      <c r="O27" s="29">
        <v>14.192107545533368</v>
      </c>
      <c r="P27" s="30">
        <v>5.3875366880422826</v>
      </c>
      <c r="R27" s="14"/>
      <c r="T27" s="198">
        <v>17</v>
      </c>
      <c r="U27" s="124">
        <f t="shared" si="1"/>
        <v>336.58071529042422</v>
      </c>
      <c r="V27" s="124">
        <f t="shared" si="2"/>
        <v>97.943978667605762</v>
      </c>
      <c r="W27" s="124">
        <f t="shared" si="3"/>
        <v>220.5975655669761</v>
      </c>
      <c r="X27" s="13">
        <f>SUM(U27:W27)/perTot-SUM('Ref | NHWS RU'!U27:W27)</f>
        <v>254.76976759305796</v>
      </c>
      <c r="Y27" s="124">
        <f t="shared" si="4"/>
        <v>5.4286044706776124</v>
      </c>
      <c r="Z27" s="124">
        <f t="shared" si="5"/>
        <v>3.1848938459282721</v>
      </c>
      <c r="AA27" s="124">
        <f t="shared" si="6"/>
        <v>3.8330651587241107</v>
      </c>
      <c r="AB27" s="247">
        <f t="shared" si="7"/>
        <v>4.8403302404061606</v>
      </c>
      <c r="AD27" s="198">
        <f t="shared" si="0"/>
        <v>17</v>
      </c>
      <c r="AE27" s="206">
        <f t="shared" si="8"/>
        <v>0.21504865338353807</v>
      </c>
      <c r="AF27" s="206">
        <f t="shared" si="9"/>
        <v>0.41874347909834392</v>
      </c>
      <c r="AG27" s="124">
        <f t="shared" si="10"/>
        <v>5585.028577023867</v>
      </c>
      <c r="AH27" s="124">
        <f t="shared" si="11"/>
        <v>8536.4925984564434</v>
      </c>
      <c r="AI27" s="207">
        <f t="shared" si="12"/>
        <v>428.96820360630136</v>
      </c>
      <c r="AJ27" s="208">
        <f t="shared" si="13"/>
        <v>196.28382740535199</v>
      </c>
      <c r="AK27" s="9"/>
      <c r="AL27" s="9"/>
      <c r="AN27" s="13"/>
      <c r="AO27" s="13"/>
    </row>
    <row r="28" spans="2:41">
      <c r="B28" s="282"/>
      <c r="C28" s="26" t="s">
        <v>54</v>
      </c>
      <c r="D28" s="27">
        <v>1106</v>
      </c>
      <c r="E28" s="28">
        <v>1</v>
      </c>
      <c r="F28" s="28">
        <v>2</v>
      </c>
      <c r="G28" s="193">
        <f>1.68083182640145-1</f>
        <v>0.6808318264014499</v>
      </c>
      <c r="H28" s="31">
        <v>0.46636520239913692</v>
      </c>
      <c r="J28" s="74"/>
      <c r="K28" s="26" t="s">
        <v>54</v>
      </c>
      <c r="L28" s="27">
        <v>2306</v>
      </c>
      <c r="M28" s="28">
        <v>1</v>
      </c>
      <c r="N28" s="28">
        <v>2</v>
      </c>
      <c r="O28" s="193">
        <f>1.66261925411969-1</f>
        <v>0.66261925411969003</v>
      </c>
      <c r="P28" s="31">
        <v>0.47291856081666939</v>
      </c>
      <c r="Q28" s="91"/>
      <c r="R28" s="14"/>
      <c r="T28" s="198">
        <v>18</v>
      </c>
      <c r="U28" s="124">
        <f t="shared" si="1"/>
        <v>342.00931976110184</v>
      </c>
      <c r="V28" s="124">
        <f t="shared" si="2"/>
        <v>101.12887251353403</v>
      </c>
      <c r="W28" s="124">
        <f t="shared" si="3"/>
        <v>224.43063072570021</v>
      </c>
      <c r="X28" s="13">
        <f>SUM(U28:W28)/perTot-SUM('Ref | NHWS RU'!U28:W28)</f>
        <v>259.61009783346412</v>
      </c>
      <c r="Y28" s="124">
        <f t="shared" si="4"/>
        <v>5.5161607243791764</v>
      </c>
      <c r="Z28" s="124">
        <f t="shared" si="5"/>
        <v>3.288458648459482</v>
      </c>
      <c r="AA28" s="124">
        <f t="shared" si="6"/>
        <v>3.8996678361982049</v>
      </c>
      <c r="AB28" s="247">
        <f t="shared" si="7"/>
        <v>4.9405561368475901</v>
      </c>
      <c r="AD28" s="198">
        <f t="shared" si="0"/>
        <v>18</v>
      </c>
      <c r="AE28" s="206">
        <f t="shared" si="8"/>
        <v>0.23156585347619146</v>
      </c>
      <c r="AF28" s="206">
        <f t="shared" si="9"/>
        <v>0.43757954688236728</v>
      </c>
      <c r="AG28" s="124">
        <f t="shared" si="10"/>
        <v>6013.9967806301684</v>
      </c>
      <c r="AH28" s="124">
        <f t="shared" si="11"/>
        <v>8732.7764258617954</v>
      </c>
      <c r="AI28" s="207">
        <f t="shared" si="12"/>
        <v>461.91588098475313</v>
      </c>
      <c r="AJ28" s="208">
        <f t="shared" si="13"/>
        <v>181.60385058216343</v>
      </c>
      <c r="AK28" s="9"/>
      <c r="AL28" s="9"/>
      <c r="AN28" s="13"/>
      <c r="AO28" s="13"/>
    </row>
    <row r="29" spans="2:41">
      <c r="B29" s="282"/>
      <c r="C29" s="26" t="s">
        <v>55</v>
      </c>
      <c r="D29" s="27">
        <v>1106</v>
      </c>
      <c r="E29" s="28">
        <v>18</v>
      </c>
      <c r="F29" s="28">
        <v>76</v>
      </c>
      <c r="G29" s="29">
        <v>43.869801084990961</v>
      </c>
      <c r="H29" s="30">
        <v>12.56733002800496</v>
      </c>
      <c r="J29" s="74"/>
      <c r="K29" s="26" t="s">
        <v>55</v>
      </c>
      <c r="L29" s="27">
        <v>2306</v>
      </c>
      <c r="M29" s="28">
        <v>18</v>
      </c>
      <c r="N29" s="28">
        <v>90</v>
      </c>
      <c r="O29" s="29">
        <v>49.223330442324311</v>
      </c>
      <c r="P29" s="30">
        <v>15.670855062964076</v>
      </c>
      <c r="R29" s="14"/>
      <c r="T29" s="198">
        <v>19</v>
      </c>
      <c r="U29" s="124">
        <f t="shared" si="1"/>
        <v>347.52548048548101</v>
      </c>
      <c r="V29" s="124">
        <f t="shared" si="2"/>
        <v>104.41733116199352</v>
      </c>
      <c r="W29" s="124">
        <f t="shared" si="3"/>
        <v>228.33029856189842</v>
      </c>
      <c r="X29" s="13">
        <f>SUM(U29:W29)/perTot-SUM('Ref | NHWS RU'!U29:W29)</f>
        <v>264.55065397031171</v>
      </c>
      <c r="Y29" s="124">
        <f t="shared" si="4"/>
        <v>5.6051291453522936</v>
      </c>
      <c r="Z29" s="124">
        <f t="shared" si="5"/>
        <v>3.3953911200064226</v>
      </c>
      <c r="AA29" s="124">
        <f t="shared" si="6"/>
        <v>3.9674277902806523</v>
      </c>
      <c r="AB29" s="247">
        <f t="shared" si="7"/>
        <v>5.0430909105264163</v>
      </c>
      <c r="AD29" s="198">
        <f t="shared" si="0"/>
        <v>19</v>
      </c>
      <c r="AE29" s="206">
        <f t="shared" si="8"/>
        <v>0.24935168694370341</v>
      </c>
      <c r="AF29" s="206">
        <f t="shared" si="9"/>
        <v>0.45726290535215436</v>
      </c>
      <c r="AG29" s="124">
        <f t="shared" si="10"/>
        <v>6475.9126616149215</v>
      </c>
      <c r="AH29" s="124">
        <f t="shared" si="11"/>
        <v>8914.3802764439588</v>
      </c>
      <c r="AI29" s="207">
        <f t="shared" si="12"/>
        <v>497.39416421116584</v>
      </c>
      <c r="AJ29" s="208">
        <f t="shared" si="13"/>
        <v>163.31913424710183</v>
      </c>
      <c r="AK29" s="9"/>
      <c r="AL29" s="9"/>
      <c r="AN29" s="13"/>
      <c r="AO29" s="13"/>
    </row>
    <row r="30" spans="2:41">
      <c r="B30" s="282"/>
      <c r="C30" s="26" t="s">
        <v>40</v>
      </c>
      <c r="D30" s="27">
        <v>1106</v>
      </c>
      <c r="E30" s="28">
        <v>0</v>
      </c>
      <c r="F30" s="28">
        <v>1</v>
      </c>
      <c r="G30" s="32">
        <v>0.60126582278481133</v>
      </c>
      <c r="H30" s="31">
        <v>0.48985936466255614</v>
      </c>
      <c r="J30" s="74"/>
      <c r="K30" s="26" t="s">
        <v>40</v>
      </c>
      <c r="L30" s="27">
        <v>2306</v>
      </c>
      <c r="M30" s="28">
        <v>0</v>
      </c>
      <c r="N30" s="28">
        <v>1</v>
      </c>
      <c r="O30" s="32">
        <v>0.64744145706851786</v>
      </c>
      <c r="P30" s="31">
        <v>0.47787032276359215</v>
      </c>
      <c r="R30" s="14"/>
      <c r="T30" s="198">
        <v>20</v>
      </c>
      <c r="U30" s="124">
        <f t="shared" si="1"/>
        <v>353.13060963083331</v>
      </c>
      <c r="V30" s="124">
        <f t="shared" si="2"/>
        <v>107.81272228199994</v>
      </c>
      <c r="W30" s="124">
        <f t="shared" si="3"/>
        <v>232.29772635217907</v>
      </c>
      <c r="X30" s="13">
        <f>SUM(U30:W30)/perTot-SUM('Ref | NHWS RU'!U30:W30)</f>
        <v>269.59374488083813</v>
      </c>
      <c r="Y30" s="124">
        <f t="shared" si="4"/>
        <v>5.6955325099982019</v>
      </c>
      <c r="Z30" s="124">
        <f t="shared" si="5"/>
        <v>3.5058007687642032</v>
      </c>
      <c r="AA30" s="124">
        <f t="shared" si="6"/>
        <v>4.0363651296098624</v>
      </c>
      <c r="AB30" s="247">
        <f t="shared" si="7"/>
        <v>5.1479938254781246</v>
      </c>
      <c r="AD30" s="198">
        <f t="shared" si="0"/>
        <v>20</v>
      </c>
      <c r="AE30" s="206">
        <f t="shared" si="8"/>
        <v>0.26850359346294278</v>
      </c>
      <c r="AF30" s="206">
        <f t="shared" si="9"/>
        <v>0.47783166763802581</v>
      </c>
      <c r="AG30" s="124">
        <f t="shared" si="10"/>
        <v>6973.3068258260873</v>
      </c>
      <c r="AH30" s="124">
        <f t="shared" si="11"/>
        <v>9077.6994106910606</v>
      </c>
      <c r="AI30" s="207">
        <f t="shared" si="12"/>
        <v>535.59742103668577</v>
      </c>
      <c r="AJ30" s="208">
        <f t="shared" si="13"/>
        <v>140.89876001868106</v>
      </c>
      <c r="AK30" s="9"/>
      <c r="AL30" s="9"/>
      <c r="AN30" s="13"/>
      <c r="AO30" s="13"/>
    </row>
    <row r="31" spans="2:41">
      <c r="B31" s="282"/>
      <c r="C31" s="26" t="s">
        <v>56</v>
      </c>
      <c r="D31" s="27">
        <v>1106</v>
      </c>
      <c r="E31" s="28">
        <v>0</v>
      </c>
      <c r="F31" s="28">
        <v>1</v>
      </c>
      <c r="G31" s="32">
        <v>0.63381555153706992</v>
      </c>
      <c r="H31" s="31">
        <v>0.48197866907280118</v>
      </c>
      <c r="J31" s="74"/>
      <c r="K31" s="26" t="s">
        <v>56</v>
      </c>
      <c r="L31" s="27">
        <v>2306</v>
      </c>
      <c r="M31" s="28">
        <v>0</v>
      </c>
      <c r="N31" s="28">
        <v>1</v>
      </c>
      <c r="O31" s="32">
        <v>0.59887250650476997</v>
      </c>
      <c r="P31" s="31">
        <v>0.49023305295669484</v>
      </c>
      <c r="R31" s="14"/>
      <c r="T31" s="198">
        <v>21</v>
      </c>
      <c r="U31" s="124">
        <f t="shared" si="1"/>
        <v>358.82614214083151</v>
      </c>
      <c r="V31" s="124">
        <f t="shared" si="2"/>
        <v>111.31852305076414</v>
      </c>
      <c r="W31" s="124">
        <f t="shared" si="3"/>
        <v>236.33409148178893</v>
      </c>
      <c r="X31" s="13">
        <f>SUM(U31:W31)/perTot-SUM('Ref | NHWS RU'!U31:W31)</f>
        <v>274.74173870631626</v>
      </c>
      <c r="Y31" s="124">
        <f t="shared" si="4"/>
        <v>5.7873939620720876</v>
      </c>
      <c r="Z31" s="124">
        <f t="shared" si="5"/>
        <v>3.619800663861156</v>
      </c>
      <c r="AA31" s="124">
        <f t="shared" si="6"/>
        <v>4.106500312228178</v>
      </c>
      <c r="AB31" s="247">
        <f t="shared" si="7"/>
        <v>5.2553258092849546</v>
      </c>
      <c r="AD31" s="198">
        <f t="shared" si="0"/>
        <v>21</v>
      </c>
      <c r="AE31" s="206">
        <f t="shared" si="8"/>
        <v>0.28912649674108709</v>
      </c>
      <c r="AF31" s="206">
        <f t="shared" si="9"/>
        <v>0.49932566128865646</v>
      </c>
      <c r="AG31" s="124">
        <f t="shared" si="10"/>
        <v>7508.9042468627731</v>
      </c>
      <c r="AH31" s="124">
        <f t="shared" si="11"/>
        <v>9218.5981707097417</v>
      </c>
      <c r="AI31" s="207">
        <f t="shared" si="12"/>
        <v>576.73494797853255</v>
      </c>
      <c r="AJ31" s="208">
        <f t="shared" si="13"/>
        <v>113.74174144702556</v>
      </c>
      <c r="AK31" s="9"/>
      <c r="AL31" s="9"/>
      <c r="AN31" s="13"/>
      <c r="AO31" s="13"/>
    </row>
    <row r="32" spans="2:41">
      <c r="B32" s="282"/>
      <c r="C32" s="26" t="s">
        <v>57</v>
      </c>
      <c r="D32" s="27">
        <v>1106</v>
      </c>
      <c r="E32" s="28">
        <v>0</v>
      </c>
      <c r="F32" s="28">
        <v>1</v>
      </c>
      <c r="G32" s="32">
        <v>0.48372513562386965</v>
      </c>
      <c r="H32" s="31">
        <v>0.49996113192024949</v>
      </c>
      <c r="J32" s="74"/>
      <c r="K32" s="26" t="s">
        <v>57</v>
      </c>
      <c r="L32" s="27">
        <v>2306</v>
      </c>
      <c r="M32" s="28">
        <v>0</v>
      </c>
      <c r="N32" s="28">
        <v>1</v>
      </c>
      <c r="O32" s="32">
        <v>0.39635732870771917</v>
      </c>
      <c r="P32" s="31">
        <v>0.48924635546817469</v>
      </c>
      <c r="R32" s="14"/>
      <c r="T32" s="198">
        <v>22</v>
      </c>
      <c r="U32" s="124">
        <f t="shared" si="1"/>
        <v>364.61353610290359</v>
      </c>
      <c r="V32" s="124">
        <f t="shared" si="2"/>
        <v>114.9383237146253</v>
      </c>
      <c r="W32" s="124">
        <f t="shared" si="3"/>
        <v>240.44059179401711</v>
      </c>
      <c r="X32" s="13">
        <f>SUM(U32:W32)/perTot-SUM('Ref | NHWS RU'!U32:W32)</f>
        <v>279.99706451560121</v>
      </c>
      <c r="Y32" s="124">
        <f t="shared" si="4"/>
        <v>5.88073701860759</v>
      </c>
      <c r="Z32" s="124">
        <f t="shared" si="5"/>
        <v>3.7375075511517508</v>
      </c>
      <c r="AA32" s="124">
        <f t="shared" si="6"/>
        <v>4.1778541516535199</v>
      </c>
      <c r="AB32" s="247">
        <f t="shared" si="7"/>
        <v>5.3651495027717147</v>
      </c>
      <c r="AD32" s="198">
        <f t="shared" si="0"/>
        <v>22</v>
      </c>
      <c r="AE32" s="206">
        <f t="shared" si="8"/>
        <v>0.31133337934008337</v>
      </c>
      <c r="AF32" s="206">
        <f t="shared" si="9"/>
        <v>0.52178650538964977</v>
      </c>
      <c r="AG32" s="124">
        <f t="shared" si="10"/>
        <v>8085.6391948413057</v>
      </c>
      <c r="AH32" s="124">
        <f t="shared" si="11"/>
        <v>9332.3399121567672</v>
      </c>
      <c r="AI32" s="207">
        <f t="shared" si="12"/>
        <v>621.03211695078426</v>
      </c>
      <c r="AJ32" s="208">
        <f t="shared" si="13"/>
        <v>81.168087648964502</v>
      </c>
      <c r="AK32" s="9"/>
      <c r="AL32" s="9"/>
      <c r="AN32" s="13"/>
      <c r="AO32" s="13"/>
    </row>
    <row r="33" spans="2:41">
      <c r="B33" s="282"/>
      <c r="C33" s="26" t="s">
        <v>58</v>
      </c>
      <c r="D33" s="27">
        <v>1106</v>
      </c>
      <c r="E33" s="28">
        <v>0</v>
      </c>
      <c r="F33" s="28">
        <v>1</v>
      </c>
      <c r="G33" s="32">
        <v>0.38788426763110317</v>
      </c>
      <c r="H33" s="31">
        <v>0.4874883910312916</v>
      </c>
      <c r="J33" s="74"/>
      <c r="K33" s="26" t="s">
        <v>125</v>
      </c>
      <c r="L33" s="27">
        <v>2306</v>
      </c>
      <c r="M33" s="28">
        <v>0</v>
      </c>
      <c r="N33" s="28">
        <v>1</v>
      </c>
      <c r="O33" s="32">
        <v>0.53555941023417186</v>
      </c>
      <c r="P33" s="31">
        <v>0.49884209890096692</v>
      </c>
      <c r="R33" s="14"/>
      <c r="T33" s="198">
        <v>23</v>
      </c>
      <c r="U33" s="124">
        <f t="shared" si="1"/>
        <v>370.49427312151118</v>
      </c>
      <c r="V33" s="124">
        <f t="shared" si="2"/>
        <v>118.67583126577705</v>
      </c>
      <c r="W33" s="124">
        <f t="shared" si="3"/>
        <v>244.61844594567063</v>
      </c>
      <c r="X33" s="13">
        <f>SUM(U33:W33)/perTot-SUM('Ref | NHWS RU'!U33:W33)</f>
        <v>285.36221401837292</v>
      </c>
      <c r="Y33" s="124">
        <f t="shared" si="4"/>
        <v>5.9755855759366341</v>
      </c>
      <c r="Z33" s="124">
        <f t="shared" si="5"/>
        <v>3.85904197277425</v>
      </c>
      <c r="AA33" s="124">
        <f t="shared" si="6"/>
        <v>4.2504478230559073</v>
      </c>
      <c r="AB33" s="247">
        <f t="shared" si="7"/>
        <v>5.4775293112426198</v>
      </c>
      <c r="AD33" s="198">
        <f t="shared" si="0"/>
        <v>23</v>
      </c>
      <c r="AE33" s="206">
        <f t="shared" si="8"/>
        <v>0.33524590165153789</v>
      </c>
      <c r="AF33" s="206">
        <f t="shared" si="9"/>
        <v>0.5452576911510878</v>
      </c>
      <c r="AG33" s="124">
        <f t="shared" si="10"/>
        <v>8706.6713117920899</v>
      </c>
      <c r="AH33" s="124">
        <f t="shared" si="11"/>
        <v>9413.5079998057317</v>
      </c>
      <c r="AI33" s="207">
        <f t="shared" si="12"/>
        <v>668.73160996433216</v>
      </c>
      <c r="AJ33" s="208">
        <f t="shared" si="13"/>
        <v>42.408740484983355</v>
      </c>
      <c r="AK33" s="9"/>
      <c r="AL33" s="9"/>
      <c r="AN33" s="13"/>
      <c r="AO33" s="13"/>
    </row>
    <row r="34" spans="2:41">
      <c r="B34" s="282"/>
      <c r="C34" s="26" t="s">
        <v>59</v>
      </c>
      <c r="D34" s="27">
        <v>1106</v>
      </c>
      <c r="E34" s="28">
        <v>0</v>
      </c>
      <c r="F34" s="28">
        <v>1</v>
      </c>
      <c r="G34" s="32">
        <v>0.24231464737793834</v>
      </c>
      <c r="H34" s="31">
        <v>0.42867751435627222</v>
      </c>
      <c r="J34" s="74"/>
      <c r="K34" s="26" t="s">
        <v>126</v>
      </c>
      <c r="L34" s="27">
        <v>2306</v>
      </c>
      <c r="M34" s="28">
        <v>0</v>
      </c>
      <c r="N34" s="28">
        <v>1</v>
      </c>
      <c r="O34" s="32">
        <v>0.23633998265394632</v>
      </c>
      <c r="P34" s="31">
        <v>0.42492551826798342</v>
      </c>
      <c r="R34" s="14"/>
      <c r="T34" s="198">
        <v>24</v>
      </c>
      <c r="U34" s="124">
        <f t="shared" si="1"/>
        <v>376.46985869744782</v>
      </c>
      <c r="V34" s="124">
        <f t="shared" si="2"/>
        <v>122.5348732385513</v>
      </c>
      <c r="W34" s="124">
        <f t="shared" si="3"/>
        <v>248.86889376872654</v>
      </c>
      <c r="X34" s="13">
        <f>SUM(U34:W34)/perTot-SUM('Ref | NHWS RU'!U34:W34)</f>
        <v>290.83974332961554</v>
      </c>
      <c r="Y34" s="124">
        <f t="shared" si="4"/>
        <v>6.0719639158081122</v>
      </c>
      <c r="Z34" s="124">
        <f t="shared" si="5"/>
        <v>3.9845283905966085</v>
      </c>
      <c r="AA34" s="124">
        <f t="shared" si="6"/>
        <v>4.3243028695413841</v>
      </c>
      <c r="AB34" s="247">
        <f t="shared" si="7"/>
        <v>5.5925314573123615</v>
      </c>
      <c r="AD34" s="198">
        <f t="shared" si="0"/>
        <v>24</v>
      </c>
      <c r="AE34" s="206">
        <f t="shared" si="8"/>
        <v>0.36099506841309237</v>
      </c>
      <c r="AF34" s="206">
        <f t="shared" si="9"/>
        <v>0.56978466612009937</v>
      </c>
      <c r="AG34" s="124">
        <f t="shared" si="10"/>
        <v>9375.4029217564221</v>
      </c>
      <c r="AH34" s="124">
        <f t="shared" si="11"/>
        <v>9455.9167402907151</v>
      </c>
      <c r="AI34" s="207">
        <f t="shared" si="12"/>
        <v>720.0947486600362</v>
      </c>
      <c r="AJ34" s="208">
        <f t="shared" si="13"/>
        <v>-3.4057561293921026</v>
      </c>
      <c r="AK34" s="9"/>
      <c r="AL34" s="9"/>
      <c r="AN34" s="13"/>
      <c r="AO34" s="13"/>
    </row>
    <row r="35" spans="2:41">
      <c r="B35" s="282"/>
      <c r="C35" s="26" t="s">
        <v>60</v>
      </c>
      <c r="D35" s="27">
        <v>1106</v>
      </c>
      <c r="E35" s="28">
        <v>0</v>
      </c>
      <c r="F35" s="28">
        <v>1</v>
      </c>
      <c r="G35" s="32">
        <v>0.6537070524412304</v>
      </c>
      <c r="H35" s="31">
        <v>0.47600315703446688</v>
      </c>
      <c r="J35" s="74"/>
      <c r="K35" s="26" t="s">
        <v>58</v>
      </c>
      <c r="L35" s="27">
        <v>2306</v>
      </c>
      <c r="M35" s="28">
        <v>0</v>
      </c>
      <c r="N35" s="28">
        <v>1</v>
      </c>
      <c r="O35" s="32">
        <v>0.35429314830875946</v>
      </c>
      <c r="P35" s="31">
        <v>0.47840230206052348</v>
      </c>
      <c r="R35" s="14"/>
      <c r="T35" s="198">
        <v>25</v>
      </c>
      <c r="U35" s="124">
        <f t="shared" si="1"/>
        <v>382.54182261325593</v>
      </c>
      <c r="V35" s="124">
        <f t="shared" si="2"/>
        <v>126.51940162914791</v>
      </c>
      <c r="W35" s="124">
        <f t="shared" si="3"/>
        <v>253.19319663826792</v>
      </c>
      <c r="X35" s="13">
        <f>SUM(U35:W35)/perTot-SUM('Ref | NHWS RU'!U35:W35)</f>
        <v>296.43227478692791</v>
      </c>
      <c r="Y35" s="124">
        <f t="shared" si="4"/>
        <v>6.1698967116033145</v>
      </c>
      <c r="Z35" s="124">
        <f t="shared" si="5"/>
        <v>4.1140953136762306</v>
      </c>
      <c r="AA35" s="124">
        <f t="shared" si="6"/>
        <v>4.3994412085452836</v>
      </c>
      <c r="AB35" s="247">
        <f t="shared" si="7"/>
        <v>5.7102240353764273</v>
      </c>
      <c r="AD35" s="198">
        <f t="shared" si="0"/>
        <v>25</v>
      </c>
      <c r="AE35" s="206">
        <f t="shared" si="8"/>
        <v>0.38872194641779134</v>
      </c>
      <c r="AF35" s="206">
        <f t="shared" si="9"/>
        <v>0.59541492218150738</v>
      </c>
      <c r="AG35" s="124">
        <f t="shared" si="10"/>
        <v>10095.497670416458</v>
      </c>
      <c r="AH35" s="124">
        <f t="shared" si="11"/>
        <v>9452.510984161323</v>
      </c>
      <c r="AI35" s="207">
        <f t="shared" si="12"/>
        <v>775.40292595922074</v>
      </c>
      <c r="AJ35" s="208">
        <f t="shared" si="13"/>
        <v>-57.258013910421141</v>
      </c>
      <c r="AK35" s="9"/>
      <c r="AL35" s="9"/>
      <c r="AN35" s="13"/>
      <c r="AO35" s="13"/>
    </row>
    <row r="36" spans="2:41">
      <c r="B36" s="282"/>
      <c r="C36" s="26" t="s">
        <v>61</v>
      </c>
      <c r="D36" s="27">
        <v>1106</v>
      </c>
      <c r="E36" s="28">
        <v>0</v>
      </c>
      <c r="F36" s="28">
        <v>1</v>
      </c>
      <c r="G36" s="32">
        <v>0.10578661844484639</v>
      </c>
      <c r="H36" s="31">
        <v>0.30770345605882599</v>
      </c>
      <c r="J36" s="74"/>
      <c r="K36" s="26" t="s">
        <v>59</v>
      </c>
      <c r="L36" s="27">
        <v>2306</v>
      </c>
      <c r="M36" s="28">
        <v>0</v>
      </c>
      <c r="N36" s="28">
        <v>1</v>
      </c>
      <c r="O36" s="32">
        <v>0.27580225498699046</v>
      </c>
      <c r="P36" s="31">
        <v>0.44701456824191932</v>
      </c>
      <c r="R36" s="14"/>
      <c r="T36" s="198">
        <v>26</v>
      </c>
      <c r="U36" s="124">
        <f t="shared" si="1"/>
        <v>388.71171932485925</v>
      </c>
      <c r="V36" s="124">
        <f t="shared" si="2"/>
        <v>130.63349694282414</v>
      </c>
      <c r="W36" s="124">
        <f t="shared" si="3"/>
        <v>257.5926378468132</v>
      </c>
      <c r="X36" s="13">
        <f>SUM(U36:W36)/perTot-SUM('Ref | NHWS RU'!U36:W36)</f>
        <v>302.14249882230433</v>
      </c>
      <c r="Y36" s="124">
        <f t="shared" si="4"/>
        <v>6.269409034652881</v>
      </c>
      <c r="Z36" s="124">
        <f t="shared" si="5"/>
        <v>4.2478754298644503</v>
      </c>
      <c r="AA36" s="124">
        <f t="shared" si="6"/>
        <v>4.4758851383365936</v>
      </c>
      <c r="AB36" s="247">
        <f t="shared" si="7"/>
        <v>5.8306770677764916</v>
      </c>
      <c r="AD36" s="198">
        <f t="shared" si="0"/>
        <v>26</v>
      </c>
      <c r="AE36" s="206">
        <f t="shared" si="8"/>
        <v>0.41857843734841471</v>
      </c>
      <c r="AF36" s="206">
        <f t="shared" si="9"/>
        <v>0.62219808751695072</v>
      </c>
      <c r="AG36" s="124">
        <f t="shared" si="10"/>
        <v>10870.900596375679</v>
      </c>
      <c r="AH36" s="124">
        <f t="shared" si="11"/>
        <v>9395.2529702509019</v>
      </c>
      <c r="AI36" s="207">
        <f t="shared" si="12"/>
        <v>834.95914767456998</v>
      </c>
      <c r="AJ36" s="208">
        <f t="shared" si="13"/>
        <v>-120.25816396943446</v>
      </c>
      <c r="AK36" s="9"/>
      <c r="AL36" s="9"/>
      <c r="AN36" s="13"/>
      <c r="AO36" s="13"/>
    </row>
    <row r="37" spans="2:41">
      <c r="B37" s="282"/>
      <c r="C37" s="26" t="s">
        <v>62</v>
      </c>
      <c r="D37" s="27">
        <v>1106</v>
      </c>
      <c r="E37" s="28">
        <v>10</v>
      </c>
      <c r="F37" s="28">
        <v>56.8</v>
      </c>
      <c r="G37" s="29">
        <v>25.191320072332712</v>
      </c>
      <c r="H37" s="30">
        <v>5.4087424348382749</v>
      </c>
      <c r="J37" s="74"/>
      <c r="K37" s="26" t="s">
        <v>60</v>
      </c>
      <c r="L37" s="27">
        <v>2306</v>
      </c>
      <c r="M37" s="28">
        <v>0</v>
      </c>
      <c r="N37" s="28">
        <v>1</v>
      </c>
      <c r="O37" s="32">
        <v>0.61144839549002528</v>
      </c>
      <c r="P37" s="31">
        <v>0.4875267442951865</v>
      </c>
      <c r="R37" s="14"/>
      <c r="T37" s="198">
        <v>27</v>
      </c>
      <c r="U37" s="124">
        <f t="shared" si="1"/>
        <v>394.98112835951213</v>
      </c>
      <c r="V37" s="124">
        <f t="shared" si="2"/>
        <v>134.88137237268859</v>
      </c>
      <c r="W37" s="124">
        <f t="shared" si="3"/>
        <v>262.0685229851498</v>
      </c>
      <c r="X37" s="13">
        <f>SUM(U37:W37)/perTot-SUM('Ref | NHWS RU'!U37:W37)</f>
        <v>307.97317589008082</v>
      </c>
      <c r="Y37" s="124">
        <f t="shared" si="4"/>
        <v>6.370526360654992</v>
      </c>
      <c r="Z37" s="124">
        <f t="shared" si="5"/>
        <v>4.3860057416905534</v>
      </c>
      <c r="AA37" s="124">
        <f t="shared" si="6"/>
        <v>4.5536573446349848</v>
      </c>
      <c r="AB37" s="247">
        <f>X38-X37</f>
        <v>5.9539625627146506</v>
      </c>
      <c r="AD37" s="198">
        <f t="shared" si="0"/>
        <v>27</v>
      </c>
      <c r="AE37" s="206">
        <f t="shared" si="8"/>
        <v>0.45072810997074619</v>
      </c>
      <c r="AF37" s="206">
        <f t="shared" si="9"/>
        <v>0.65018602270054959</v>
      </c>
      <c r="AG37" s="124">
        <f t="shared" si="10"/>
        <v>11705.859744050249</v>
      </c>
      <c r="AH37" s="124">
        <f t="shared" si="11"/>
        <v>9274.9948062814674</v>
      </c>
      <c r="AI37" s="207">
        <f>AG38-AG37</f>
        <v>899.0896925272973</v>
      </c>
      <c r="AJ37" s="208">
        <f>AH38-AH37</f>
        <v>-193.66002817553635</v>
      </c>
      <c r="AK37" s="9"/>
      <c r="AL37" s="9"/>
    </row>
    <row r="38" spans="2:41">
      <c r="B38" s="282"/>
      <c r="C38" s="26" t="s">
        <v>63</v>
      </c>
      <c r="D38" s="27">
        <v>1106</v>
      </c>
      <c r="E38" s="28">
        <v>1</v>
      </c>
      <c r="F38" s="28">
        <v>390</v>
      </c>
      <c r="G38" s="29">
        <v>191.51537070524412</v>
      </c>
      <c r="H38" s="30">
        <v>137.33556432909486</v>
      </c>
      <c r="J38" s="74"/>
      <c r="K38" s="26" t="s">
        <v>61</v>
      </c>
      <c r="L38" s="27">
        <v>2306</v>
      </c>
      <c r="M38" s="28">
        <v>0</v>
      </c>
      <c r="N38" s="28">
        <v>1</v>
      </c>
      <c r="O38" s="32">
        <v>0.1088464874241109</v>
      </c>
      <c r="P38" s="31">
        <v>0.31151406318922925</v>
      </c>
      <c r="T38" s="199">
        <v>28</v>
      </c>
      <c r="U38" s="200">
        <f t="shared" si="1"/>
        <v>401.35165472016712</v>
      </c>
      <c r="V38" s="200">
        <f t="shared" si="2"/>
        <v>139.26737811437914</v>
      </c>
      <c r="W38" s="200">
        <f t="shared" si="3"/>
        <v>266.62218032978478</v>
      </c>
      <c r="X38" s="225">
        <f>SUM(U38:W38)/perTot-SUM('Ref | NHWS RU'!U38:W38)</f>
        <v>313.92713845279548</v>
      </c>
      <c r="Y38" s="177"/>
      <c r="Z38" s="177"/>
      <c r="AA38" s="177"/>
      <c r="AB38" s="178"/>
      <c r="AD38" s="199">
        <f t="shared" si="0"/>
        <v>28</v>
      </c>
      <c r="AE38" s="209">
        <f t="shared" si="8"/>
        <v>0.48534709624494804</v>
      </c>
      <c r="AF38" s="209">
        <f t="shared" si="9"/>
        <v>0.67943292111717113</v>
      </c>
      <c r="AG38" s="200">
        <f t="shared" si="10"/>
        <v>12604.949436577546</v>
      </c>
      <c r="AH38" s="200">
        <f t="shared" si="11"/>
        <v>9081.334778105931</v>
      </c>
      <c r="AI38" s="177"/>
      <c r="AJ38" s="178"/>
    </row>
    <row r="39" spans="2:41">
      <c r="B39" s="282"/>
      <c r="C39" s="26" t="s">
        <v>64</v>
      </c>
      <c r="D39" s="27">
        <v>1106</v>
      </c>
      <c r="E39" s="28">
        <v>0</v>
      </c>
      <c r="F39" s="28">
        <v>1</v>
      </c>
      <c r="G39" s="32">
        <v>0.62115732368897014</v>
      </c>
      <c r="H39" s="31">
        <v>0.48531831101830847</v>
      </c>
      <c r="J39" s="74"/>
      <c r="K39" s="26" t="s">
        <v>62</v>
      </c>
      <c r="L39" s="27">
        <v>2306</v>
      </c>
      <c r="M39" s="28">
        <v>10</v>
      </c>
      <c r="N39" s="28">
        <v>66.3</v>
      </c>
      <c r="O39" s="29">
        <v>26.049913269731153</v>
      </c>
      <c r="P39" s="30">
        <v>5.8643052371430588</v>
      </c>
    </row>
    <row r="40" spans="2:41">
      <c r="B40" s="282"/>
      <c r="C40" s="26" t="s">
        <v>65</v>
      </c>
      <c r="D40" s="27">
        <v>1106</v>
      </c>
      <c r="E40" s="28">
        <v>0</v>
      </c>
      <c r="F40" s="28">
        <v>1</v>
      </c>
      <c r="G40" s="32">
        <v>0.64556962025316467</v>
      </c>
      <c r="H40" s="31">
        <v>0.47855673965287154</v>
      </c>
      <c r="J40" s="74"/>
      <c r="K40" s="26" t="s">
        <v>63</v>
      </c>
      <c r="L40" s="27">
        <v>2306</v>
      </c>
      <c r="M40" s="28">
        <v>1</v>
      </c>
      <c r="N40" s="28">
        <v>390</v>
      </c>
      <c r="O40" s="29">
        <v>216.99826539462273</v>
      </c>
      <c r="P40" s="30">
        <v>138.75748596101721</v>
      </c>
    </row>
    <row r="41" spans="2:41">
      <c r="B41" s="282"/>
      <c r="C41" s="26" t="s">
        <v>66</v>
      </c>
      <c r="D41" s="27">
        <v>1106</v>
      </c>
      <c r="E41" s="28">
        <v>0</v>
      </c>
      <c r="F41" s="28">
        <v>7</v>
      </c>
      <c r="G41" s="32">
        <v>0.31374321880651002</v>
      </c>
      <c r="H41" s="31">
        <v>0.69655331355118277</v>
      </c>
      <c r="J41" s="74"/>
      <c r="K41" s="26" t="s">
        <v>64</v>
      </c>
      <c r="L41" s="27">
        <v>2306</v>
      </c>
      <c r="M41" s="28">
        <v>0</v>
      </c>
      <c r="N41" s="28">
        <v>1</v>
      </c>
      <c r="O41" s="32">
        <v>0.61968777103208961</v>
      </c>
      <c r="P41" s="31">
        <v>0.48556882366371285</v>
      </c>
    </row>
    <row r="42" spans="2:41">
      <c r="B42" s="282"/>
      <c r="C42" s="26" t="s">
        <v>67</v>
      </c>
      <c r="D42" s="27">
        <v>1106</v>
      </c>
      <c r="E42" s="28">
        <v>0</v>
      </c>
      <c r="F42" s="28">
        <v>1</v>
      </c>
      <c r="G42" s="32">
        <v>0.27938517179023481</v>
      </c>
      <c r="H42" s="31">
        <v>0.44890009562521094</v>
      </c>
      <c r="J42" s="74"/>
      <c r="K42" s="26" t="s">
        <v>65</v>
      </c>
      <c r="L42" s="27">
        <v>2306</v>
      </c>
      <c r="M42" s="28">
        <v>0</v>
      </c>
      <c r="N42" s="28">
        <v>1</v>
      </c>
      <c r="O42" s="32">
        <v>0.65394622723330542</v>
      </c>
      <c r="P42" s="31">
        <v>0.47581376318617224</v>
      </c>
    </row>
    <row r="43" spans="2:41">
      <c r="B43" s="282"/>
      <c r="C43" s="26" t="s">
        <v>68</v>
      </c>
      <c r="D43" s="27">
        <v>1106</v>
      </c>
      <c r="E43" s="28">
        <v>0</v>
      </c>
      <c r="F43" s="28">
        <v>1</v>
      </c>
      <c r="G43" s="32">
        <v>0.22332730560578651</v>
      </c>
      <c r="H43" s="31">
        <v>0.41666436194093653</v>
      </c>
      <c r="J43" s="74"/>
      <c r="K43" s="26" t="s">
        <v>66</v>
      </c>
      <c r="L43" s="27">
        <v>2306</v>
      </c>
      <c r="M43" s="28">
        <v>0</v>
      </c>
      <c r="N43" s="28">
        <v>8</v>
      </c>
      <c r="O43" s="32">
        <v>0.42888117953165733</v>
      </c>
      <c r="P43" s="31">
        <v>0.8042286595562923</v>
      </c>
    </row>
    <row r="44" spans="2:41">
      <c r="B44" s="282"/>
      <c r="C44" s="26" t="s">
        <v>69</v>
      </c>
      <c r="D44" s="27">
        <v>1106</v>
      </c>
      <c r="E44" s="28">
        <v>0</v>
      </c>
      <c r="F44" s="28">
        <v>1</v>
      </c>
      <c r="G44" s="32">
        <v>0.17631103074141036</v>
      </c>
      <c r="H44" s="31">
        <v>0.38125696967791445</v>
      </c>
      <c r="J44" s="74"/>
      <c r="K44" s="26" t="s">
        <v>67</v>
      </c>
      <c r="L44" s="27">
        <v>2306</v>
      </c>
      <c r="M44" s="28">
        <v>0</v>
      </c>
      <c r="N44" s="28">
        <v>1</v>
      </c>
      <c r="O44" s="32">
        <v>0.29228100607111862</v>
      </c>
      <c r="P44" s="31">
        <v>0.45490939810111936</v>
      </c>
    </row>
    <row r="45" spans="2:41" ht="17" thickBot="1">
      <c r="B45" s="283"/>
      <c r="C45" s="33" t="s">
        <v>70</v>
      </c>
      <c r="D45" s="34">
        <v>1106</v>
      </c>
      <c r="E45" s="35">
        <v>0</v>
      </c>
      <c r="F45" s="35">
        <v>1</v>
      </c>
      <c r="G45" s="36">
        <v>0.1537070524412297</v>
      </c>
      <c r="H45" s="37">
        <v>0.36083086759455812</v>
      </c>
      <c r="J45" s="74"/>
      <c r="K45" s="26" t="s">
        <v>68</v>
      </c>
      <c r="L45" s="27">
        <v>2306</v>
      </c>
      <c r="M45" s="28">
        <v>0</v>
      </c>
      <c r="N45" s="28">
        <v>1</v>
      </c>
      <c r="O45" s="32">
        <v>0.22723330442324394</v>
      </c>
      <c r="P45" s="31">
        <v>0.41913543309068074</v>
      </c>
    </row>
    <row r="46" spans="2:41" ht="17" thickTop="1">
      <c r="J46" s="74"/>
      <c r="K46" s="26" t="s">
        <v>69</v>
      </c>
      <c r="L46" s="27">
        <v>2306</v>
      </c>
      <c r="M46" s="28">
        <v>0</v>
      </c>
      <c r="N46" s="28">
        <v>1</v>
      </c>
      <c r="O46" s="32">
        <v>0.16999132697311342</v>
      </c>
      <c r="P46" s="31">
        <v>0.37570665151705823</v>
      </c>
    </row>
    <row r="47" spans="2:41" ht="17" thickBot="1">
      <c r="B47" t="s">
        <v>75</v>
      </c>
      <c r="J47" s="75"/>
      <c r="K47" s="33" t="s">
        <v>70</v>
      </c>
      <c r="L47" s="34">
        <v>2306</v>
      </c>
      <c r="M47" s="35">
        <v>0</v>
      </c>
      <c r="N47" s="35">
        <v>1</v>
      </c>
      <c r="O47" s="36">
        <v>0.1339982653946227</v>
      </c>
      <c r="P47" s="37">
        <v>0.34072433752748116</v>
      </c>
    </row>
    <row r="48" spans="2:41" ht="18" thickTop="1" thickBot="1"/>
    <row r="49" spans="2:51" ht="18" thickTop="1" thickBot="1">
      <c r="B49" s="274" t="s">
        <v>36</v>
      </c>
      <c r="C49" s="276" t="s">
        <v>76</v>
      </c>
      <c r="D49" s="284" t="s">
        <v>77</v>
      </c>
    </row>
    <row r="50" spans="2:51" ht="18" thickTop="1" thickBot="1">
      <c r="B50" s="275"/>
      <c r="C50" s="277"/>
      <c r="D50" s="285"/>
      <c r="F50" s="45"/>
      <c r="G50" s="17" t="s">
        <v>78</v>
      </c>
      <c r="H50" s="18" t="s">
        <v>37</v>
      </c>
      <c r="I50" s="18" t="s">
        <v>79</v>
      </c>
      <c r="J50" s="18" t="s">
        <v>80</v>
      </c>
      <c r="K50" s="18" t="s">
        <v>40</v>
      </c>
      <c r="L50" s="18" t="s">
        <v>81</v>
      </c>
      <c r="M50" s="18" t="s">
        <v>82</v>
      </c>
      <c r="N50" s="18" t="s">
        <v>83</v>
      </c>
      <c r="O50" s="18" t="s">
        <v>84</v>
      </c>
      <c r="P50" s="18" t="s">
        <v>85</v>
      </c>
      <c r="Q50" s="18" t="s">
        <v>86</v>
      </c>
      <c r="R50" s="18" t="s">
        <v>87</v>
      </c>
      <c r="S50" s="18" t="s">
        <v>38</v>
      </c>
      <c r="T50" s="18" t="s">
        <v>45</v>
      </c>
      <c r="U50" s="18" t="s">
        <v>88</v>
      </c>
      <c r="V50" s="18" t="s">
        <v>89</v>
      </c>
      <c r="W50" s="18" t="s">
        <v>67</v>
      </c>
      <c r="X50" s="18" t="s">
        <v>68</v>
      </c>
      <c r="Y50" s="18" t="s">
        <v>69</v>
      </c>
      <c r="Z50" s="19" t="s">
        <v>70</v>
      </c>
      <c r="AB50" t="s">
        <v>97</v>
      </c>
      <c r="AC50" t="s">
        <v>98</v>
      </c>
      <c r="AD50" t="s">
        <v>99</v>
      </c>
      <c r="AE50" t="s">
        <v>100</v>
      </c>
      <c r="AF50" t="s">
        <v>101</v>
      </c>
      <c r="AG50" t="s">
        <v>102</v>
      </c>
      <c r="AH50" t="s">
        <v>103</v>
      </c>
      <c r="AI50" t="s">
        <v>104</v>
      </c>
      <c r="AJ50" t="s">
        <v>105</v>
      </c>
      <c r="AK50" t="s">
        <v>106</v>
      </c>
      <c r="AL50" t="s">
        <v>107</v>
      </c>
      <c r="AM50" t="s">
        <v>108</v>
      </c>
      <c r="AN50" t="s">
        <v>109</v>
      </c>
      <c r="AO50" t="s">
        <v>110</v>
      </c>
      <c r="AP50" t="s">
        <v>111</v>
      </c>
      <c r="AQ50" t="s">
        <v>112</v>
      </c>
      <c r="AR50" t="s">
        <v>113</v>
      </c>
      <c r="AS50" t="s">
        <v>114</v>
      </c>
      <c r="AT50" t="s">
        <v>115</v>
      </c>
      <c r="AU50" t="s">
        <v>116</v>
      </c>
      <c r="AW50" t="s">
        <v>24</v>
      </c>
      <c r="AY50" t="s">
        <v>25</v>
      </c>
    </row>
    <row r="51" spans="2:51" ht="17" thickTop="1">
      <c r="B51" s="38" t="s">
        <v>78</v>
      </c>
      <c r="C51" s="39">
        <v>2.0830000000000002</v>
      </c>
      <c r="D51" s="61">
        <v>0.52110000000000001</v>
      </c>
      <c r="E51" s="62"/>
      <c r="F51" s="46" t="s">
        <v>78</v>
      </c>
      <c r="G51" s="47">
        <v>0.27156004213972712</v>
      </c>
      <c r="H51" s="48">
        <v>-1.7888804783990392E-3</v>
      </c>
      <c r="I51" s="48">
        <v>-3.1973054311990927E-2</v>
      </c>
      <c r="J51" s="48">
        <v>-7.7228562445329349E-4</v>
      </c>
      <c r="K51" s="48">
        <v>-1.8634065605963087E-2</v>
      </c>
      <c r="L51" s="48">
        <v>-5.8681224415904187E-3</v>
      </c>
      <c r="M51" s="48">
        <v>-1.5406317418015273E-2</v>
      </c>
      <c r="N51" s="48">
        <v>-1.506694687301135E-2</v>
      </c>
      <c r="O51" s="48">
        <v>-8.227899494673778E-3</v>
      </c>
      <c r="P51" s="48">
        <v>-1.5940451661309113E-2</v>
      </c>
      <c r="Q51" s="48">
        <v>-1.1953737026826576E-2</v>
      </c>
      <c r="R51" s="48">
        <v>-3.1626627399125445E-3</v>
      </c>
      <c r="S51" s="49">
        <v>6.4111836925700949E-6</v>
      </c>
      <c r="T51" s="48">
        <v>-7.08134161192345E-3</v>
      </c>
      <c r="U51" s="48">
        <v>-2.8797380650977459E-3</v>
      </c>
      <c r="V51" s="48">
        <v>1.3589695600943385E-3</v>
      </c>
      <c r="W51" s="48">
        <v>-3.2825736840264845E-2</v>
      </c>
      <c r="X51" s="48">
        <v>-2.8561678709892582E-2</v>
      </c>
      <c r="Y51" s="48">
        <v>-3.4767294991573314E-2</v>
      </c>
      <c r="Z51" s="50">
        <v>-4.4876826795030474E-2</v>
      </c>
      <c r="AB51">
        <v>0.52111419999999997</v>
      </c>
      <c r="AC51">
        <v>0</v>
      </c>
      <c r="AD51">
        <v>0</v>
      </c>
      <c r="AE51">
        <v>0</v>
      </c>
      <c r="AF51">
        <v>0</v>
      </c>
      <c r="AG51">
        <v>0</v>
      </c>
      <c r="AH51">
        <v>0</v>
      </c>
      <c r="AI51">
        <v>0</v>
      </c>
      <c r="AJ51">
        <v>0</v>
      </c>
      <c r="AK51">
        <v>0</v>
      </c>
      <c r="AL51">
        <v>0</v>
      </c>
      <c r="AM51">
        <v>0</v>
      </c>
      <c r="AN51">
        <v>0</v>
      </c>
      <c r="AO51">
        <v>0</v>
      </c>
      <c r="AP51">
        <v>0</v>
      </c>
      <c r="AQ51">
        <v>0</v>
      </c>
      <c r="AR51">
        <v>0</v>
      </c>
      <c r="AS51">
        <v>0</v>
      </c>
      <c r="AT51">
        <v>0</v>
      </c>
      <c r="AU51">
        <v>0</v>
      </c>
      <c r="AW51">
        <f ca="1">_xlfn.NORM.INV(RAND(),0,1)</f>
        <v>-0.81955051433820403</v>
      </c>
      <c r="AY51">
        <f t="array" aca="1" ref="AY51:AY70" ca="1">MMULT(AB51:AU70,AW51:AW70)</f>
        <v>-0.42707941063894173</v>
      </c>
    </row>
    <row r="52" spans="2:51">
      <c r="B52" s="38" t="s">
        <v>37</v>
      </c>
      <c r="C52" s="40">
        <v>7.3999999999999996E-2</v>
      </c>
      <c r="D52" s="61">
        <v>1.4800000000000001E-2</v>
      </c>
      <c r="E52" s="62"/>
      <c r="F52" s="51" t="s">
        <v>37</v>
      </c>
      <c r="G52" s="52">
        <v>-1.7888804783990392E-3</v>
      </c>
      <c r="H52" s="53">
        <v>2.1789067371481345E-4</v>
      </c>
      <c r="I52" s="53">
        <v>-1.2418512723482472E-4</v>
      </c>
      <c r="J52" s="54">
        <v>5.4502720047663715E-6</v>
      </c>
      <c r="K52" s="54">
        <v>4.8536932329772939E-5</v>
      </c>
      <c r="L52" s="54">
        <v>-1.2820384484920992E-5</v>
      </c>
      <c r="M52" s="53">
        <v>1.3152699251922599E-4</v>
      </c>
      <c r="N52" s="53">
        <v>-1.828406033256513E-4</v>
      </c>
      <c r="O52" s="54">
        <v>-6.1504541774318644E-5</v>
      </c>
      <c r="P52" s="54">
        <v>-1.4899624759907785E-5</v>
      </c>
      <c r="Q52" s="53">
        <v>2.2686068917106378E-4</v>
      </c>
      <c r="R52" s="54">
        <v>-1.8106826564319637E-5</v>
      </c>
      <c r="S52" s="54">
        <v>-3.1496064424605222E-6</v>
      </c>
      <c r="T52" s="53">
        <v>-3.7071087733286066E-4</v>
      </c>
      <c r="U52" s="53">
        <v>-2.3551160247687979E-4</v>
      </c>
      <c r="V52" s="54">
        <v>8.1070268609299271E-6</v>
      </c>
      <c r="W52" s="54">
        <v>9.8454637218933289E-5</v>
      </c>
      <c r="X52" s="54">
        <v>-1.8258209740684612E-5</v>
      </c>
      <c r="Y52" s="53">
        <v>2.8749427145956431E-4</v>
      </c>
      <c r="Z52" s="31">
        <v>3.7615615789576297E-4</v>
      </c>
      <c r="AB52">
        <v>-3.4348999999999998E-3</v>
      </c>
      <c r="AC52">
        <v>1.44292E-2</v>
      </c>
      <c r="AD52">
        <v>0</v>
      </c>
      <c r="AE52">
        <v>0</v>
      </c>
      <c r="AF52">
        <v>0</v>
      </c>
      <c r="AG52">
        <v>0</v>
      </c>
      <c r="AH52">
        <v>0</v>
      </c>
      <c r="AI52">
        <v>0</v>
      </c>
      <c r="AJ52">
        <v>0</v>
      </c>
      <c r="AK52">
        <v>0</v>
      </c>
      <c r="AL52">
        <v>0</v>
      </c>
      <c r="AM52">
        <v>0</v>
      </c>
      <c r="AN52">
        <v>0</v>
      </c>
      <c r="AO52">
        <v>0</v>
      </c>
      <c r="AP52">
        <v>0</v>
      </c>
      <c r="AQ52">
        <v>0</v>
      </c>
      <c r="AR52">
        <v>0</v>
      </c>
      <c r="AS52">
        <v>0</v>
      </c>
      <c r="AT52">
        <v>0</v>
      </c>
      <c r="AU52">
        <v>0</v>
      </c>
      <c r="AW52">
        <f t="shared" ref="AW52:AW70" ca="1" si="14">_xlfn.NORM.INV(RAND(),0,1)</f>
        <v>0.72391143391825785</v>
      </c>
      <c r="AY52">
        <f ca="1"/>
        <v>1.3260536923993623E-2</v>
      </c>
    </row>
    <row r="53" spans="2:51">
      <c r="B53" s="38" t="s">
        <v>79</v>
      </c>
      <c r="C53" s="40">
        <v>-0.185</v>
      </c>
      <c r="D53" s="61">
        <v>0.1326</v>
      </c>
      <c r="E53" s="62"/>
      <c r="F53" s="51" t="s">
        <v>79</v>
      </c>
      <c r="G53" s="52">
        <v>-3.1973054311990927E-2</v>
      </c>
      <c r="H53" s="53">
        <v>-1.2418512723482472E-4</v>
      </c>
      <c r="I53" s="53">
        <v>1.7576230537193226E-2</v>
      </c>
      <c r="J53" s="54">
        <v>3.54363654291559E-5</v>
      </c>
      <c r="K53" s="53">
        <v>-1.57693427167939E-4</v>
      </c>
      <c r="L53" s="53">
        <v>1.4930457608199098E-3</v>
      </c>
      <c r="M53" s="53">
        <v>3.9744208374334919E-4</v>
      </c>
      <c r="N53" s="53">
        <v>1.8815315002572318E-3</v>
      </c>
      <c r="O53" s="53">
        <v>2.5372008289807737E-3</v>
      </c>
      <c r="P53" s="53">
        <v>-1.4935987861193446E-3</v>
      </c>
      <c r="Q53" s="53">
        <v>-3.2579864164680263E-3</v>
      </c>
      <c r="R53" s="53">
        <v>-1.0434203594088986E-4</v>
      </c>
      <c r="S53" s="54">
        <v>9.8232044968729153E-6</v>
      </c>
      <c r="T53" s="53">
        <v>9.6736291101678093E-4</v>
      </c>
      <c r="U53" s="53">
        <v>1.351541318428331E-3</v>
      </c>
      <c r="V53" s="53">
        <v>8.2429746780772147E-4</v>
      </c>
      <c r="W53" s="53">
        <v>1.6544323146281295E-3</v>
      </c>
      <c r="X53" s="53">
        <v>4.258395987529338E-4</v>
      </c>
      <c r="Y53" s="53">
        <v>-9.022587766547226E-4</v>
      </c>
      <c r="Z53" s="31">
        <v>1.4770251949542076E-3</v>
      </c>
      <c r="AB53">
        <v>-6.1349300000000002E-2</v>
      </c>
      <c r="AC53">
        <v>-2.2921E-2</v>
      </c>
      <c r="AD53">
        <v>0.1152861</v>
      </c>
      <c r="AE53">
        <v>0</v>
      </c>
      <c r="AF53">
        <v>0</v>
      </c>
      <c r="AG53">
        <v>0</v>
      </c>
      <c r="AH53">
        <v>0</v>
      </c>
      <c r="AI53">
        <v>0</v>
      </c>
      <c r="AJ53">
        <v>0</v>
      </c>
      <c r="AK53">
        <v>0</v>
      </c>
      <c r="AL53">
        <v>0</v>
      </c>
      <c r="AM53">
        <v>0</v>
      </c>
      <c r="AN53">
        <v>0</v>
      </c>
      <c r="AO53">
        <v>0</v>
      </c>
      <c r="AP53">
        <v>0</v>
      </c>
      <c r="AQ53">
        <v>0</v>
      </c>
      <c r="AR53">
        <v>0</v>
      </c>
      <c r="AS53">
        <v>0</v>
      </c>
      <c r="AT53">
        <v>0</v>
      </c>
      <c r="AU53">
        <v>0</v>
      </c>
      <c r="AW53">
        <f t="shared" ca="1" si="14"/>
        <v>0.1935268259953776</v>
      </c>
      <c r="AY53">
        <f ca="1"/>
        <v>5.5997029406834091E-2</v>
      </c>
    </row>
    <row r="54" spans="2:51">
      <c r="B54" s="38" t="s">
        <v>80</v>
      </c>
      <c r="C54" s="40">
        <v>-6.0000000000000001E-3</v>
      </c>
      <c r="D54" s="61">
        <v>5.4000000000000003E-3</v>
      </c>
      <c r="E54" s="62"/>
      <c r="F54" s="51" t="s">
        <v>80</v>
      </c>
      <c r="G54" s="52">
        <v>-7.7228562445329349E-4</v>
      </c>
      <c r="H54" s="54">
        <v>5.4502720047663715E-6</v>
      </c>
      <c r="I54" s="54">
        <v>3.54363654291559E-5</v>
      </c>
      <c r="J54" s="54">
        <v>2.8821836768191697E-5</v>
      </c>
      <c r="K54" s="54">
        <v>8.6502668706186094E-7</v>
      </c>
      <c r="L54" s="54">
        <v>-7.4692144292256104E-5</v>
      </c>
      <c r="M54" s="53">
        <v>1.3254319188569399E-4</v>
      </c>
      <c r="N54" s="54">
        <v>8.3878390465970469E-5</v>
      </c>
      <c r="O54" s="54">
        <v>9.7198269296931578E-7</v>
      </c>
      <c r="P54" s="54">
        <v>-2.525728409402932E-5</v>
      </c>
      <c r="Q54" s="53">
        <v>-1.5645310666998564E-4</v>
      </c>
      <c r="R54" s="54">
        <v>-1.8489871157776957E-5</v>
      </c>
      <c r="S54" s="54">
        <v>-4.738858621064238E-7</v>
      </c>
      <c r="T54" s="54">
        <v>2.2428839279740252E-5</v>
      </c>
      <c r="U54" s="54">
        <v>1.0498648189210112E-5</v>
      </c>
      <c r="V54" s="54">
        <v>-8.5561572175308452E-5</v>
      </c>
      <c r="W54" s="54">
        <v>-6.3163023072826735E-5</v>
      </c>
      <c r="X54" s="54">
        <v>-9.4745734394482227E-5</v>
      </c>
      <c r="Y54" s="53">
        <v>-2.1731527525594647E-4</v>
      </c>
      <c r="Z54" s="55">
        <v>-4.1946187589953351E-5</v>
      </c>
      <c r="AB54">
        <v>-1.4775999999999999E-3</v>
      </c>
      <c r="AC54">
        <v>2.5999999999999998E-5</v>
      </c>
      <c r="AD54">
        <v>-4.7380000000000002E-4</v>
      </c>
      <c r="AE54">
        <v>5.1393999999999997E-3</v>
      </c>
      <c r="AF54">
        <v>0</v>
      </c>
      <c r="AG54">
        <v>0</v>
      </c>
      <c r="AH54">
        <v>0</v>
      </c>
      <c r="AI54">
        <v>0</v>
      </c>
      <c r="AJ54">
        <v>0</v>
      </c>
      <c r="AK54">
        <v>0</v>
      </c>
      <c r="AL54">
        <v>0</v>
      </c>
      <c r="AM54">
        <v>0</v>
      </c>
      <c r="AN54">
        <v>0</v>
      </c>
      <c r="AO54">
        <v>0</v>
      </c>
      <c r="AP54">
        <v>0</v>
      </c>
      <c r="AQ54">
        <v>0</v>
      </c>
      <c r="AR54">
        <v>0</v>
      </c>
      <c r="AS54">
        <v>0</v>
      </c>
      <c r="AT54">
        <v>0</v>
      </c>
      <c r="AU54">
        <v>0</v>
      </c>
      <c r="AW54">
        <f t="shared" ca="1" si="14"/>
        <v>-1.4149719220189001</v>
      </c>
      <c r="AY54">
        <f ca="1"/>
        <v>-6.1340101689125398E-3</v>
      </c>
    </row>
    <row r="55" spans="2:51">
      <c r="B55" s="38" t="s">
        <v>40</v>
      </c>
      <c r="C55" s="40">
        <v>9.4E-2</v>
      </c>
      <c r="D55" s="61">
        <v>0.13400000000000001</v>
      </c>
      <c r="E55" s="62"/>
      <c r="F55" s="51" t="s">
        <v>40</v>
      </c>
      <c r="G55" s="52">
        <v>-1.8634065605963087E-2</v>
      </c>
      <c r="H55" s="54">
        <v>4.8536932329772939E-5</v>
      </c>
      <c r="I55" s="53">
        <v>-1.57693427167939E-4</v>
      </c>
      <c r="J55" s="54">
        <v>8.6502668706186094E-7</v>
      </c>
      <c r="K55" s="53">
        <v>1.7953462421388452E-2</v>
      </c>
      <c r="L55" s="53">
        <v>1.072103339155882E-3</v>
      </c>
      <c r="M55" s="53">
        <v>1.5779294988636698E-3</v>
      </c>
      <c r="N55" s="53">
        <v>1.196378009351434E-3</v>
      </c>
      <c r="O55" s="54">
        <v>-9.5520730883573681E-5</v>
      </c>
      <c r="P55" s="53">
        <v>2.206681368950037E-3</v>
      </c>
      <c r="Q55" s="53">
        <v>5.6777798481315624E-3</v>
      </c>
      <c r="R55" s="53">
        <v>2.1401564963828524E-4</v>
      </c>
      <c r="S55" s="54">
        <v>-1.1630049318595795E-5</v>
      </c>
      <c r="T55" s="53">
        <v>-8.8262354842254546E-4</v>
      </c>
      <c r="U55" s="53">
        <v>1.5524413195446883E-4</v>
      </c>
      <c r="V55" s="53">
        <v>1.3064248441144904E-3</v>
      </c>
      <c r="W55" s="53">
        <v>-2.2974477765384891E-3</v>
      </c>
      <c r="X55" s="53">
        <v>1.037169858961658E-3</v>
      </c>
      <c r="Y55" s="53">
        <v>7.8057343482068815E-4</v>
      </c>
      <c r="Z55" s="31">
        <v>3.047403689520303E-3</v>
      </c>
      <c r="AB55">
        <v>-3.5750299999999999E-2</v>
      </c>
      <c r="AC55">
        <v>-5.1468E-3</v>
      </c>
      <c r="AD55">
        <v>-2.1435599999999999E-2</v>
      </c>
      <c r="AE55">
        <v>-1.2060100000000001E-2</v>
      </c>
      <c r="AF55">
        <v>0.12665109999999999</v>
      </c>
      <c r="AG55">
        <v>0</v>
      </c>
      <c r="AH55">
        <v>0</v>
      </c>
      <c r="AI55">
        <v>0</v>
      </c>
      <c r="AJ55">
        <v>0</v>
      </c>
      <c r="AK55">
        <v>0</v>
      </c>
      <c r="AL55">
        <v>0</v>
      </c>
      <c r="AM55">
        <v>0</v>
      </c>
      <c r="AN55">
        <v>0</v>
      </c>
      <c r="AO55">
        <v>0</v>
      </c>
      <c r="AP55">
        <v>0</v>
      </c>
      <c r="AQ55">
        <v>0</v>
      </c>
      <c r="AR55">
        <v>0</v>
      </c>
      <c r="AS55">
        <v>0</v>
      </c>
      <c r="AT55">
        <v>0</v>
      </c>
      <c r="AU55">
        <v>0</v>
      </c>
      <c r="AW55">
        <f t="shared" ca="1" si="14"/>
        <v>0.27632239107548867</v>
      </c>
      <c r="AY55">
        <f ca="1"/>
        <v>7.3486223414429036E-2</v>
      </c>
    </row>
    <row r="56" spans="2:51">
      <c r="B56" s="38" t="s">
        <v>81</v>
      </c>
      <c r="C56" s="40">
        <v>3.5999999999999997E-2</v>
      </c>
      <c r="D56" s="61">
        <v>0.12889999999999999</v>
      </c>
      <c r="E56" s="62"/>
      <c r="F56" s="51" t="s">
        <v>81</v>
      </c>
      <c r="G56" s="52">
        <v>-5.8681224415904187E-3</v>
      </c>
      <c r="H56" s="54">
        <v>-1.2820384484920992E-5</v>
      </c>
      <c r="I56" s="53">
        <v>1.4930457608199098E-3</v>
      </c>
      <c r="J56" s="54">
        <v>-7.4692144292256104E-5</v>
      </c>
      <c r="K56" s="53">
        <v>1.072103339155882E-3</v>
      </c>
      <c r="L56" s="53">
        <v>1.6625125260369564E-2</v>
      </c>
      <c r="M56" s="53">
        <v>-2.6579758575635813E-3</v>
      </c>
      <c r="N56" s="53">
        <v>-1.224161947790567E-3</v>
      </c>
      <c r="O56" s="53">
        <v>-8.8808360258280322E-4</v>
      </c>
      <c r="P56" s="53">
        <v>1.0985332304198007E-3</v>
      </c>
      <c r="Q56" s="53">
        <v>-1.605610834045353E-4</v>
      </c>
      <c r="R56" s="54">
        <v>-9.0605090518807054E-5</v>
      </c>
      <c r="S56" s="54">
        <v>-2.4601336492177412E-7</v>
      </c>
      <c r="T56" s="53">
        <v>6.846536055761525E-4</v>
      </c>
      <c r="U56" s="53">
        <v>-4.8469597395810134E-4</v>
      </c>
      <c r="V56" s="53">
        <v>2.1264799171210065E-4</v>
      </c>
      <c r="W56" s="53">
        <v>-5.3246810202031063E-4</v>
      </c>
      <c r="X56" s="53">
        <v>-6.8480853527734596E-4</v>
      </c>
      <c r="Y56" s="53">
        <v>-3.2707434617769786E-3</v>
      </c>
      <c r="Z56" s="31">
        <v>-6.0186552532441324E-4</v>
      </c>
      <c r="AB56">
        <v>-1.12643E-2</v>
      </c>
      <c r="AC56">
        <v>-3.5699999999999998E-3</v>
      </c>
      <c r="AD56">
        <v>6.2202999999999998E-3</v>
      </c>
      <c r="AE56">
        <v>-1.7180399999999998E-2</v>
      </c>
      <c r="AF56">
        <v>4.5405000000000003E-3</v>
      </c>
      <c r="AG56">
        <v>0.12702720000000001</v>
      </c>
      <c r="AH56">
        <v>0</v>
      </c>
      <c r="AI56">
        <v>0</v>
      </c>
      <c r="AJ56">
        <v>0</v>
      </c>
      <c r="AK56">
        <v>0</v>
      </c>
      <c r="AL56">
        <v>0</v>
      </c>
      <c r="AM56">
        <v>0</v>
      </c>
      <c r="AN56">
        <v>0</v>
      </c>
      <c r="AO56">
        <v>0</v>
      </c>
      <c r="AP56">
        <v>0</v>
      </c>
      <c r="AQ56">
        <v>0</v>
      </c>
      <c r="AR56">
        <v>0</v>
      </c>
      <c r="AS56">
        <v>0</v>
      </c>
      <c r="AT56">
        <v>0</v>
      </c>
      <c r="AU56">
        <v>0</v>
      </c>
      <c r="AW56">
        <f t="shared" ca="1" si="14"/>
        <v>-0.54178057724000106</v>
      </c>
      <c r="AY56">
        <f ca="1"/>
        <v>-3.5405350360138602E-2</v>
      </c>
    </row>
    <row r="57" spans="2:51">
      <c r="B57" s="38" t="s">
        <v>82</v>
      </c>
      <c r="C57" s="40">
        <v>-0.37</v>
      </c>
      <c r="D57" s="61">
        <v>0.13450000000000001</v>
      </c>
      <c r="E57" s="62"/>
      <c r="F57" s="51" t="s">
        <v>82</v>
      </c>
      <c r="G57" s="52">
        <v>-1.5406317418015273E-2</v>
      </c>
      <c r="H57" s="53">
        <v>1.3152699251922599E-4</v>
      </c>
      <c r="I57" s="53">
        <v>3.9744208374334919E-4</v>
      </c>
      <c r="J57" s="53">
        <v>1.3254319188569399E-4</v>
      </c>
      <c r="K57" s="53">
        <v>1.5779294988636698E-3</v>
      </c>
      <c r="L57" s="53">
        <v>-2.6579758575635813E-3</v>
      </c>
      <c r="M57" s="53">
        <v>1.8089354115054274E-2</v>
      </c>
      <c r="N57" s="53">
        <v>3.3328891324629745E-3</v>
      </c>
      <c r="O57" s="53">
        <v>2.7516978744186352E-3</v>
      </c>
      <c r="P57" s="53">
        <v>-1.7938372072415431E-3</v>
      </c>
      <c r="Q57" s="53">
        <v>-1.8149539549389732E-3</v>
      </c>
      <c r="R57" s="53">
        <v>-2.1910494763261059E-4</v>
      </c>
      <c r="S57" s="54">
        <v>-2.1929374810018293E-6</v>
      </c>
      <c r="T57" s="53">
        <v>2.1705437428473388E-3</v>
      </c>
      <c r="U57" s="53">
        <v>1.9520325083571218E-3</v>
      </c>
      <c r="V57" s="53">
        <v>-6.1906933918264029E-4</v>
      </c>
      <c r="W57" s="53">
        <v>2.1141520917613409E-3</v>
      </c>
      <c r="X57" s="53">
        <v>4.92370070105521E-3</v>
      </c>
      <c r="Y57" s="53">
        <v>3.4351857368971252E-3</v>
      </c>
      <c r="Z57" s="31">
        <v>-6.1421731331100617E-4</v>
      </c>
      <c r="AB57">
        <v>-2.9571299999999998E-2</v>
      </c>
      <c r="AC57">
        <v>1.9699000000000001E-3</v>
      </c>
      <c r="AD57">
        <v>-1.1875E-2</v>
      </c>
      <c r="AE57">
        <v>1.5688299999999999E-2</v>
      </c>
      <c r="AF57">
        <v>3.6920999999999998E-3</v>
      </c>
      <c r="AG57">
        <v>-2.0936E-2</v>
      </c>
      <c r="AH57">
        <v>0.1279554</v>
      </c>
      <c r="AI57">
        <v>0</v>
      </c>
      <c r="AJ57">
        <v>0</v>
      </c>
      <c r="AK57">
        <v>0</v>
      </c>
      <c r="AL57">
        <v>0</v>
      </c>
      <c r="AM57">
        <v>0</v>
      </c>
      <c r="AN57">
        <v>0</v>
      </c>
      <c r="AO57">
        <v>0</v>
      </c>
      <c r="AP57">
        <v>0</v>
      </c>
      <c r="AQ57">
        <v>0</v>
      </c>
      <c r="AR57">
        <v>0</v>
      </c>
      <c r="AS57">
        <v>0</v>
      </c>
      <c r="AT57">
        <v>0</v>
      </c>
      <c r="AU57">
        <v>0</v>
      </c>
      <c r="AW57">
        <f t="shared" ca="1" si="14"/>
        <v>0.8671988583907777</v>
      </c>
      <c r="AY57">
        <f ca="1"/>
        <v>0.12449027706554247</v>
      </c>
    </row>
    <row r="58" spans="2:51">
      <c r="B58" s="38" t="s">
        <v>83</v>
      </c>
      <c r="C58" s="40">
        <v>-0.13200000000000001</v>
      </c>
      <c r="D58" s="61">
        <v>0.14610000000000001</v>
      </c>
      <c r="E58" s="62"/>
      <c r="F58" s="51" t="s">
        <v>83</v>
      </c>
      <c r="G58" s="52">
        <v>-1.506694687301135E-2</v>
      </c>
      <c r="H58" s="53">
        <v>-1.828406033256513E-4</v>
      </c>
      <c r="I58" s="53">
        <v>1.8815315002572318E-3</v>
      </c>
      <c r="J58" s="54">
        <v>8.3878390465970469E-5</v>
      </c>
      <c r="K58" s="53">
        <v>1.196378009351434E-3</v>
      </c>
      <c r="L58" s="53">
        <v>-1.224161947790567E-3</v>
      </c>
      <c r="M58" s="53">
        <v>3.3328891324629745E-3</v>
      </c>
      <c r="N58" s="53">
        <v>2.13550113632404E-2</v>
      </c>
      <c r="O58" s="53">
        <v>1.0897061045339837E-2</v>
      </c>
      <c r="P58" s="53">
        <v>-2.3555271171443754E-3</v>
      </c>
      <c r="Q58" s="53">
        <v>-5.2796448043111212E-3</v>
      </c>
      <c r="R58" s="54">
        <v>3.9183712143617325E-5</v>
      </c>
      <c r="S58" s="54">
        <v>-7.0731304068511367E-7</v>
      </c>
      <c r="T58" s="53">
        <v>-4.2452265642717091E-4</v>
      </c>
      <c r="U58" s="53">
        <v>-9.2015802677446049E-4</v>
      </c>
      <c r="V58" s="53">
        <v>-3.5835725114818733E-4</v>
      </c>
      <c r="W58" s="53">
        <v>1.6280132476312931E-3</v>
      </c>
      <c r="X58" s="53">
        <v>1.3844060505921905E-4</v>
      </c>
      <c r="Y58" s="53">
        <v>-1.804461190482669E-3</v>
      </c>
      <c r="Z58" s="31">
        <v>2.6079218518338131E-3</v>
      </c>
      <c r="AB58">
        <v>-2.8918800000000001E-2</v>
      </c>
      <c r="AC58">
        <v>-1.9359000000000001E-2</v>
      </c>
      <c r="AD58">
        <v>-2.9307999999999999E-3</v>
      </c>
      <c r="AE58">
        <v>7.8340000000000007E-3</v>
      </c>
      <c r="AF58">
        <v>7.7510000000000003E-4</v>
      </c>
      <c r="AG58">
        <v>-1.15374E-2</v>
      </c>
      <c r="AH58">
        <v>1.6496799999999999E-2</v>
      </c>
      <c r="AI58">
        <v>0.14026089999999999</v>
      </c>
      <c r="AJ58">
        <v>0</v>
      </c>
      <c r="AK58">
        <v>0</v>
      </c>
      <c r="AL58">
        <v>0</v>
      </c>
      <c r="AM58">
        <v>0</v>
      </c>
      <c r="AN58">
        <v>0</v>
      </c>
      <c r="AO58">
        <v>0</v>
      </c>
      <c r="AP58">
        <v>0</v>
      </c>
      <c r="AQ58">
        <v>0</v>
      </c>
      <c r="AR58">
        <v>0</v>
      </c>
      <c r="AS58">
        <v>0</v>
      </c>
      <c r="AT58">
        <v>0</v>
      </c>
      <c r="AU58">
        <v>0</v>
      </c>
      <c r="AW58">
        <f t="shared" ca="1" si="14"/>
        <v>0.12968769848553149</v>
      </c>
      <c r="AY58">
        <f ca="1"/>
        <v>3.6995173658878444E-2</v>
      </c>
    </row>
    <row r="59" spans="2:51">
      <c r="B59" s="38" t="s">
        <v>84</v>
      </c>
      <c r="C59" s="40">
        <v>-7.0000000000000007E-2</v>
      </c>
      <c r="D59" s="61">
        <v>0.1603</v>
      </c>
      <c r="E59" s="62"/>
      <c r="F59" s="51" t="s">
        <v>84</v>
      </c>
      <c r="G59" s="52">
        <v>-8.227899494673778E-3</v>
      </c>
      <c r="H59" s="54">
        <v>-6.1504541774318644E-5</v>
      </c>
      <c r="I59" s="53">
        <v>2.5372008289807737E-3</v>
      </c>
      <c r="J59" s="54">
        <v>9.7198269296931578E-7</v>
      </c>
      <c r="K59" s="54">
        <v>-9.5520730883573681E-5</v>
      </c>
      <c r="L59" s="53">
        <v>-8.8808360258280322E-4</v>
      </c>
      <c r="M59" s="53">
        <v>2.7516978744186352E-3</v>
      </c>
      <c r="N59" s="53">
        <v>1.0897061045339837E-2</v>
      </c>
      <c r="O59" s="53">
        <v>2.5687277226351207E-2</v>
      </c>
      <c r="P59" s="53">
        <v>-2.1330601187525105E-4</v>
      </c>
      <c r="Q59" s="53">
        <v>-1.7651710678477988E-3</v>
      </c>
      <c r="R59" s="53">
        <v>-1.9723858917991555E-4</v>
      </c>
      <c r="S59" s="54">
        <v>-3.46346250156454E-7</v>
      </c>
      <c r="T59" s="53">
        <v>-7.8088756584614421E-4</v>
      </c>
      <c r="U59" s="53">
        <v>2.2892293956342595E-4</v>
      </c>
      <c r="V59" s="53">
        <v>3.129234205083406E-4</v>
      </c>
      <c r="W59" s="53">
        <v>-8.659885852191412E-4</v>
      </c>
      <c r="X59" s="53">
        <v>3.3140008924903409E-4</v>
      </c>
      <c r="Y59" s="53">
        <v>-3.0970998530414195E-3</v>
      </c>
      <c r="Z59" s="31">
        <v>-2.9686860772807868E-4</v>
      </c>
      <c r="AB59">
        <v>-1.5793100000000001E-2</v>
      </c>
      <c r="AC59">
        <v>-8.0221000000000008E-3</v>
      </c>
      <c r="AD59">
        <v>1.2032899999999999E-2</v>
      </c>
      <c r="AE59">
        <v>-3.2017E-3</v>
      </c>
      <c r="AF59">
        <v>-3.8065E-3</v>
      </c>
      <c r="AG59">
        <v>-9.5184999999999992E-3</v>
      </c>
      <c r="AH59">
        <v>1.80272E-2</v>
      </c>
      <c r="AI59">
        <v>7.0897000000000002E-2</v>
      </c>
      <c r="AJ59">
        <v>0.14058709999999999</v>
      </c>
      <c r="AK59">
        <v>0</v>
      </c>
      <c r="AL59">
        <v>0</v>
      </c>
      <c r="AM59">
        <v>0</v>
      </c>
      <c r="AN59">
        <v>0</v>
      </c>
      <c r="AO59">
        <v>0</v>
      </c>
      <c r="AP59">
        <v>0</v>
      </c>
      <c r="AQ59">
        <v>0</v>
      </c>
      <c r="AR59">
        <v>0</v>
      </c>
      <c r="AS59">
        <v>0</v>
      </c>
      <c r="AT59">
        <v>0</v>
      </c>
      <c r="AU59">
        <v>0</v>
      </c>
      <c r="AW59">
        <f t="shared" ca="1" si="14"/>
        <v>-0.46475520228271539</v>
      </c>
      <c r="AY59">
        <f ca="1"/>
        <v>-2.2410874975292545E-2</v>
      </c>
    </row>
    <row r="60" spans="2:51">
      <c r="B60" s="38" t="s">
        <v>85</v>
      </c>
      <c r="C60" s="40">
        <v>-3.4000000000000002E-2</v>
      </c>
      <c r="D60" s="61">
        <v>0.14610000000000001</v>
      </c>
      <c r="E60" s="62"/>
      <c r="F60" s="51" t="s">
        <v>85</v>
      </c>
      <c r="G60" s="52">
        <v>-1.5940451661309113E-2</v>
      </c>
      <c r="H60" s="54">
        <v>-1.4899624759907785E-5</v>
      </c>
      <c r="I60" s="53">
        <v>-1.4935987861193446E-3</v>
      </c>
      <c r="J60" s="54">
        <v>-2.525728409402932E-5</v>
      </c>
      <c r="K60" s="53">
        <v>2.206681368950037E-3</v>
      </c>
      <c r="L60" s="53">
        <v>1.0985332304198007E-3</v>
      </c>
      <c r="M60" s="53">
        <v>-1.7938372072415431E-3</v>
      </c>
      <c r="N60" s="53">
        <v>-2.3555271171443754E-3</v>
      </c>
      <c r="O60" s="53">
        <v>-2.1330601187525105E-4</v>
      </c>
      <c r="P60" s="53">
        <v>2.135337439406718E-2</v>
      </c>
      <c r="Q60" s="53">
        <v>1.6660214565921715E-2</v>
      </c>
      <c r="R60" s="53">
        <v>1.7037864275608967E-4</v>
      </c>
      <c r="S60" s="54">
        <v>2.468207864104914E-6</v>
      </c>
      <c r="T60" s="53">
        <v>1.9400383783924979E-4</v>
      </c>
      <c r="U60" s="53">
        <v>-4.2567122768056892E-4</v>
      </c>
      <c r="V60" s="53">
        <v>-3.3042653902057425E-4</v>
      </c>
      <c r="W60" s="53">
        <v>-1.6754630297175287E-3</v>
      </c>
      <c r="X60" s="53">
        <v>-9.8603155247067279E-4</v>
      </c>
      <c r="Y60" s="53">
        <v>4.4531439688127398E-4</v>
      </c>
      <c r="Z60" s="31">
        <v>-9.6695785933005346E-4</v>
      </c>
      <c r="AB60">
        <v>-3.0588299999999999E-2</v>
      </c>
      <c r="AC60">
        <v>-8.3143000000000002E-3</v>
      </c>
      <c r="AD60">
        <v>-3.0854900000000001E-2</v>
      </c>
      <c r="AE60">
        <v>-1.6511000000000001E-2</v>
      </c>
      <c r="AF60">
        <v>1.683E-3</v>
      </c>
      <c r="AG60">
        <v>4.9310999999999999E-3</v>
      </c>
      <c r="AH60">
        <v>-2.10113E-2</v>
      </c>
      <c r="AI60">
        <v>-2.1135000000000001E-2</v>
      </c>
      <c r="AJ60">
        <v>1.05924E-2</v>
      </c>
      <c r="AK60">
        <v>0.13451050000000001</v>
      </c>
      <c r="AL60">
        <v>0</v>
      </c>
      <c r="AM60">
        <v>0</v>
      </c>
      <c r="AN60">
        <v>0</v>
      </c>
      <c r="AO60">
        <v>0</v>
      </c>
      <c r="AP60">
        <v>0</v>
      </c>
      <c r="AQ60">
        <v>0</v>
      </c>
      <c r="AR60">
        <v>0</v>
      </c>
      <c r="AS60">
        <v>0</v>
      </c>
      <c r="AT60">
        <v>0</v>
      </c>
      <c r="AU60">
        <v>0</v>
      </c>
      <c r="AW60">
        <f t="shared" ca="1" si="14"/>
        <v>-9.783022209731547E-2</v>
      </c>
      <c r="AY60">
        <f ca="1"/>
        <v>-4.8093228913723696E-3</v>
      </c>
    </row>
    <row r="61" spans="2:51">
      <c r="B61" s="38" t="s">
        <v>86</v>
      </c>
      <c r="C61" s="40">
        <v>-0.28899999999999998</v>
      </c>
      <c r="D61" s="63">
        <v>0.23749999999999999</v>
      </c>
      <c r="F61" s="51" t="s">
        <v>86</v>
      </c>
      <c r="G61" s="52">
        <v>-1.1953737026826576E-2</v>
      </c>
      <c r="H61" s="53">
        <v>2.2686068917106378E-4</v>
      </c>
      <c r="I61" s="53">
        <v>-3.2579864164680263E-3</v>
      </c>
      <c r="J61" s="53">
        <v>-1.5645310666998564E-4</v>
      </c>
      <c r="K61" s="53">
        <v>5.6777798481315624E-3</v>
      </c>
      <c r="L61" s="53">
        <v>-1.605610834045353E-4</v>
      </c>
      <c r="M61" s="53">
        <v>-1.8149539549389732E-3</v>
      </c>
      <c r="N61" s="53">
        <v>-5.2796448043111212E-3</v>
      </c>
      <c r="O61" s="53">
        <v>-1.7651710678477988E-3</v>
      </c>
      <c r="P61" s="53">
        <v>1.6660214565921715E-2</v>
      </c>
      <c r="Q61" s="53">
        <v>5.6393191731747887E-2</v>
      </c>
      <c r="R61" s="53">
        <v>2.7985284936365566E-4</v>
      </c>
      <c r="S61" s="54">
        <v>-2.0306287665834601E-6</v>
      </c>
      <c r="T61" s="53">
        <v>-1.485862785752726E-3</v>
      </c>
      <c r="U61" s="53">
        <v>2.1005313353928069E-3</v>
      </c>
      <c r="V61" s="53">
        <v>-1.1854071561114054E-3</v>
      </c>
      <c r="W61" s="53">
        <v>-5.6454964689955488E-3</v>
      </c>
      <c r="X61" s="53">
        <v>-4.8912117603417619E-4</v>
      </c>
      <c r="Y61" s="53">
        <v>-3.0760687423910531E-3</v>
      </c>
      <c r="Z61" s="31">
        <v>-6.3342155600472382E-4</v>
      </c>
      <c r="AB61">
        <v>-2.29316E-2</v>
      </c>
      <c r="AC61">
        <v>1.04809E-2</v>
      </c>
      <c r="AD61">
        <v>-3.8396699999999999E-2</v>
      </c>
      <c r="AE61">
        <v>-4.13175E-2</v>
      </c>
      <c r="AF61">
        <v>2.83676E-2</v>
      </c>
      <c r="AG61">
        <v>-7.7204999999999999E-3</v>
      </c>
      <c r="AH61">
        <v>-2.01859E-2</v>
      </c>
      <c r="AI61">
        <v>-3.7837799999999998E-2</v>
      </c>
      <c r="AJ61">
        <v>9.6924000000000003E-3</v>
      </c>
      <c r="AK61">
        <v>9.5476599999999995E-2</v>
      </c>
      <c r="AL61">
        <v>0.2016423</v>
      </c>
      <c r="AM61">
        <v>0</v>
      </c>
      <c r="AN61">
        <v>0</v>
      </c>
      <c r="AO61">
        <v>0</v>
      </c>
      <c r="AP61">
        <v>0</v>
      </c>
      <c r="AQ61">
        <v>0</v>
      </c>
      <c r="AR61">
        <v>0</v>
      </c>
      <c r="AS61">
        <v>0</v>
      </c>
      <c r="AT61">
        <v>0</v>
      </c>
      <c r="AU61">
        <v>0</v>
      </c>
      <c r="AW61">
        <f t="shared" ca="1" si="14"/>
        <v>-1.4199440344337526</v>
      </c>
      <c r="AY61">
        <f ca="1"/>
        <v>-0.23314357907522337</v>
      </c>
    </row>
    <row r="62" spans="2:51">
      <c r="B62" s="38" t="s">
        <v>87</v>
      </c>
      <c r="C62" s="40">
        <v>1.2999999999999999E-2</v>
      </c>
      <c r="D62" s="61">
        <v>1.2999999999999999E-2</v>
      </c>
      <c r="E62" s="62"/>
      <c r="F62" s="51" t="s">
        <v>87</v>
      </c>
      <c r="G62" s="52">
        <v>-3.1626627399125445E-3</v>
      </c>
      <c r="H62" s="54">
        <v>-1.8106826564319637E-5</v>
      </c>
      <c r="I62" s="53">
        <v>-1.0434203594088986E-4</v>
      </c>
      <c r="J62" s="54">
        <v>-1.8489871157776957E-5</v>
      </c>
      <c r="K62" s="53">
        <v>2.1401564963828524E-4</v>
      </c>
      <c r="L62" s="54">
        <v>-9.0605090518807054E-5</v>
      </c>
      <c r="M62" s="53">
        <v>-2.1910494763261059E-4</v>
      </c>
      <c r="N62" s="54">
        <v>3.9183712143617325E-5</v>
      </c>
      <c r="O62" s="53">
        <v>-1.9723858917991555E-4</v>
      </c>
      <c r="P62" s="53">
        <v>1.7037864275608967E-4</v>
      </c>
      <c r="Q62" s="53">
        <v>2.7985284936365566E-4</v>
      </c>
      <c r="R62" s="53">
        <v>1.6980800432865302E-4</v>
      </c>
      <c r="S62" s="54">
        <v>-2.6948405853207005E-7</v>
      </c>
      <c r="T62" s="53">
        <v>-1.8280723132303603E-4</v>
      </c>
      <c r="U62" s="53">
        <v>-2.6208476497280206E-4</v>
      </c>
      <c r="V62" s="54">
        <v>-1.2272439382110428E-5</v>
      </c>
      <c r="W62" s="53">
        <v>4.2829454604473061E-4</v>
      </c>
      <c r="X62" s="53">
        <v>1.9839631113343921E-4</v>
      </c>
      <c r="Y62" s="53">
        <v>7.7688083309237772E-4</v>
      </c>
      <c r="Z62" s="31">
        <v>4.6724344151746831E-4</v>
      </c>
      <c r="AB62">
        <v>-6.0638999999999997E-3</v>
      </c>
      <c r="AC62">
        <v>-2.6984000000000001E-3</v>
      </c>
      <c r="AD62">
        <v>-4.6308E-3</v>
      </c>
      <c r="AE62">
        <v>-5.7543000000000004E-3</v>
      </c>
      <c r="AF62">
        <v>-1.495E-3</v>
      </c>
      <c r="AG62">
        <v>-1.8249E-3</v>
      </c>
      <c r="AH62">
        <v>-3.0588999999999998E-3</v>
      </c>
      <c r="AI62">
        <v>-9.0079999999999999E-4</v>
      </c>
      <c r="AJ62">
        <v>-1.31E-3</v>
      </c>
      <c r="AK62">
        <v>-2.4811E-3</v>
      </c>
      <c r="AL62">
        <v>-3.1869999999999999E-4</v>
      </c>
      <c r="AM62">
        <v>6.9052999999999996E-3</v>
      </c>
      <c r="AN62">
        <v>0</v>
      </c>
      <c r="AO62">
        <v>0</v>
      </c>
      <c r="AP62">
        <v>0</v>
      </c>
      <c r="AQ62">
        <v>0</v>
      </c>
      <c r="AR62">
        <v>0</v>
      </c>
      <c r="AS62">
        <v>0</v>
      </c>
      <c r="AT62">
        <v>0</v>
      </c>
      <c r="AU62">
        <v>0</v>
      </c>
      <c r="AW62">
        <f t="shared" ca="1" si="14"/>
        <v>0.84181050022233794</v>
      </c>
      <c r="AY62">
        <f ca="1"/>
        <v>1.5185400879679829E-2</v>
      </c>
    </row>
    <row r="63" spans="2:51">
      <c r="B63" s="38" t="s">
        <v>38</v>
      </c>
      <c r="C63" s="40">
        <v>-1E-3</v>
      </c>
      <c r="D63" s="61">
        <v>5.0000000000000001E-4</v>
      </c>
      <c r="E63" s="62"/>
      <c r="F63" s="51" t="s">
        <v>38</v>
      </c>
      <c r="G63" s="56">
        <v>6.4111836925700949E-6</v>
      </c>
      <c r="H63" s="54">
        <v>-3.1496064424605222E-6</v>
      </c>
      <c r="I63" s="54">
        <v>9.8232044968729153E-6</v>
      </c>
      <c r="J63" s="54">
        <v>-4.738858621064238E-7</v>
      </c>
      <c r="K63" s="54">
        <v>-1.1630049318595795E-5</v>
      </c>
      <c r="L63" s="54">
        <v>-2.4601336492177412E-7</v>
      </c>
      <c r="M63" s="54">
        <v>-2.1929374810018293E-6</v>
      </c>
      <c r="N63" s="54">
        <v>-7.0731304068511367E-7</v>
      </c>
      <c r="O63" s="54">
        <v>-3.46346250156454E-7</v>
      </c>
      <c r="P63" s="54">
        <v>2.468207864104914E-6</v>
      </c>
      <c r="Q63" s="54">
        <v>-2.0306287665834601E-6</v>
      </c>
      <c r="R63" s="54">
        <v>-2.6948405853207005E-7</v>
      </c>
      <c r="S63" s="54">
        <v>2.6845545050431079E-7</v>
      </c>
      <c r="T63" s="54">
        <v>8.1611547005902698E-7</v>
      </c>
      <c r="U63" s="54">
        <v>5.2281083192322507E-6</v>
      </c>
      <c r="V63" s="54">
        <v>-1.3869179175805387E-6</v>
      </c>
      <c r="W63" s="54">
        <v>-5.3473229040333601E-6</v>
      </c>
      <c r="X63" s="54">
        <v>5.7704826994247685E-6</v>
      </c>
      <c r="Y63" s="54">
        <v>4.8221111111369628E-6</v>
      </c>
      <c r="Z63" s="55">
        <v>-1.4376026978951323E-6</v>
      </c>
      <c r="AB63">
        <v>1.2300000000000001E-5</v>
      </c>
      <c r="AC63">
        <v>-2.154E-4</v>
      </c>
      <c r="AD63">
        <v>4.8900000000000003E-5</v>
      </c>
      <c r="AE63">
        <v>-8.3100000000000001E-5</v>
      </c>
      <c r="AF63">
        <v>-9.6700000000000006E-5</v>
      </c>
      <c r="AG63">
        <v>-1.7099999999999999E-5</v>
      </c>
      <c r="AH63" s="67">
        <v>3.7400000000000002E-6</v>
      </c>
      <c r="AI63">
        <v>-2.7900000000000001E-5</v>
      </c>
      <c r="AJ63" s="67">
        <v>-9.6500000000000008E-6</v>
      </c>
      <c r="AK63" s="67">
        <v>7.6699999999999994E-6</v>
      </c>
      <c r="AL63" s="67">
        <v>-2.48E-7</v>
      </c>
      <c r="AM63">
        <v>-1.7530000000000001E-4</v>
      </c>
      <c r="AN63">
        <v>4.1389999999999998E-4</v>
      </c>
      <c r="AO63">
        <v>0</v>
      </c>
      <c r="AP63">
        <v>0</v>
      </c>
      <c r="AQ63">
        <v>0</v>
      </c>
      <c r="AR63">
        <v>0</v>
      </c>
      <c r="AS63">
        <v>0</v>
      </c>
      <c r="AT63">
        <v>0</v>
      </c>
      <c r="AU63">
        <v>0</v>
      </c>
      <c r="AW63">
        <f t="shared" ca="1" si="14"/>
        <v>-0.661971890621601</v>
      </c>
      <c r="AY63">
        <f ca="1"/>
        <v>-4.7426712628314378E-4</v>
      </c>
    </row>
    <row r="64" spans="2:51">
      <c r="B64" s="38" t="s">
        <v>45</v>
      </c>
      <c r="C64" s="40">
        <v>5.8999999999999997E-2</v>
      </c>
      <c r="D64" s="63">
        <v>0.1331</v>
      </c>
      <c r="F64" s="51" t="s">
        <v>45</v>
      </c>
      <c r="G64" s="52">
        <v>-7.08134161192345E-3</v>
      </c>
      <c r="H64" s="53">
        <v>-3.7071087733286066E-4</v>
      </c>
      <c r="I64" s="53">
        <v>9.6736291101678093E-4</v>
      </c>
      <c r="J64" s="54">
        <v>2.2428839279740252E-5</v>
      </c>
      <c r="K64" s="53">
        <v>-8.8262354842254546E-4</v>
      </c>
      <c r="L64" s="53">
        <v>6.846536055761525E-4</v>
      </c>
      <c r="M64" s="53">
        <v>2.1705437428473388E-3</v>
      </c>
      <c r="N64" s="53">
        <v>-4.2452265642717091E-4</v>
      </c>
      <c r="O64" s="53">
        <v>-7.8088756584614421E-4</v>
      </c>
      <c r="P64" s="53">
        <v>1.9400383783924979E-4</v>
      </c>
      <c r="Q64" s="53">
        <v>-1.485862785752726E-3</v>
      </c>
      <c r="R64" s="53">
        <v>-1.8280723132303603E-4</v>
      </c>
      <c r="S64" s="54">
        <v>8.1611547005902698E-7</v>
      </c>
      <c r="T64" s="53">
        <v>1.771958827326444E-2</v>
      </c>
      <c r="U64" s="53">
        <v>2.7658004512891971E-4</v>
      </c>
      <c r="V64" s="53">
        <v>-1.3326638901008188E-3</v>
      </c>
      <c r="W64" s="53">
        <v>3.4224819954607882E-3</v>
      </c>
      <c r="X64" s="53">
        <v>3.95403936619311E-3</v>
      </c>
      <c r="Y64" s="53">
        <v>1.3303369397393535E-3</v>
      </c>
      <c r="Z64" s="31">
        <v>4.4847708124140916E-3</v>
      </c>
      <c r="AB64">
        <v>-1.3586300000000001E-2</v>
      </c>
      <c r="AC64">
        <v>-2.8876800000000001E-2</v>
      </c>
      <c r="AD64">
        <v>-4.5573000000000002E-3</v>
      </c>
      <c r="AE64">
        <v>1.838E-4</v>
      </c>
      <c r="AF64">
        <v>-1.2710600000000001E-2</v>
      </c>
      <c r="AG64">
        <v>4.0391999999999997E-3</v>
      </c>
      <c r="AH64">
        <v>1.48459E-2</v>
      </c>
      <c r="AI64">
        <v>-1.12303E-2</v>
      </c>
      <c r="AJ64">
        <v>-4.6388999999999996E-3</v>
      </c>
      <c r="AK64">
        <v>-3.5541000000000001E-3</v>
      </c>
      <c r="AL64">
        <v>-5.0361E-3</v>
      </c>
      <c r="AM64">
        <v>-5.1147400000000003E-2</v>
      </c>
      <c r="AN64">
        <v>-3.7476200000000001E-2</v>
      </c>
      <c r="AO64">
        <v>0.1098923</v>
      </c>
      <c r="AP64">
        <v>0</v>
      </c>
      <c r="AQ64">
        <v>0</v>
      </c>
      <c r="AR64">
        <v>0</v>
      </c>
      <c r="AS64">
        <v>0</v>
      </c>
      <c r="AT64">
        <v>0</v>
      </c>
      <c r="AU64">
        <v>0</v>
      </c>
      <c r="AW64">
        <f t="shared" ca="1" si="14"/>
        <v>-0.52656480520680915</v>
      </c>
      <c r="AY64">
        <f ca="1"/>
        <v>-7.165329940845358E-2</v>
      </c>
    </row>
    <row r="65" spans="2:51">
      <c r="B65" s="38" t="s">
        <v>88</v>
      </c>
      <c r="C65" s="40">
        <v>0.158</v>
      </c>
      <c r="D65" s="61">
        <v>0.13589999999999999</v>
      </c>
      <c r="E65" s="62"/>
      <c r="F65" s="51" t="s">
        <v>88</v>
      </c>
      <c r="G65" s="52">
        <v>-2.8797380650977459E-3</v>
      </c>
      <c r="H65" s="53">
        <v>-2.3551160247687979E-4</v>
      </c>
      <c r="I65" s="53">
        <v>1.351541318428331E-3</v>
      </c>
      <c r="J65" s="54">
        <v>1.0498648189210112E-5</v>
      </c>
      <c r="K65" s="53">
        <v>1.5524413195446883E-4</v>
      </c>
      <c r="L65" s="53">
        <v>-4.8469597395810134E-4</v>
      </c>
      <c r="M65" s="53">
        <v>1.9520325083571218E-3</v>
      </c>
      <c r="N65" s="53">
        <v>-9.2015802677446049E-4</v>
      </c>
      <c r="O65" s="53">
        <v>2.2892293956342595E-4</v>
      </c>
      <c r="P65" s="53">
        <v>-4.2567122768056892E-4</v>
      </c>
      <c r="Q65" s="53">
        <v>2.1005313353928069E-3</v>
      </c>
      <c r="R65" s="53">
        <v>-2.6208476497280206E-4</v>
      </c>
      <c r="S65" s="54">
        <v>5.2281083192322507E-6</v>
      </c>
      <c r="T65" s="53">
        <v>2.7658004512891971E-4</v>
      </c>
      <c r="U65" s="53">
        <v>1.8476776859146091E-2</v>
      </c>
      <c r="V65" s="53">
        <v>-1.8256822503255473E-3</v>
      </c>
      <c r="W65" s="53">
        <v>-4.5118901825530805E-3</v>
      </c>
      <c r="X65" s="53">
        <v>-2.3656587143508485E-3</v>
      </c>
      <c r="Y65" s="53">
        <v>-6.4967282598923032E-3</v>
      </c>
      <c r="Z65" s="31">
        <v>2.9425812542454162E-4</v>
      </c>
      <c r="AB65">
        <v>-5.5265999999999996E-3</v>
      </c>
      <c r="AC65">
        <v>-1.7948599999999999E-2</v>
      </c>
      <c r="AD65">
        <v>5.2005000000000003E-3</v>
      </c>
      <c r="AE65">
        <v>1.0238999999999999E-3</v>
      </c>
      <c r="AF65">
        <v>-4.8399999999999997E-5</v>
      </c>
      <c r="AG65">
        <v>-4.8877E-3</v>
      </c>
      <c r="AH65">
        <v>1.37976E-2</v>
      </c>
      <c r="AI65">
        <v>-1.2149099999999999E-2</v>
      </c>
      <c r="AJ65">
        <v>3.5944000000000002E-3</v>
      </c>
      <c r="AK65">
        <v>-4.1013000000000004E-3</v>
      </c>
      <c r="AL65">
        <v>1.26093E-2</v>
      </c>
      <c r="AM65">
        <v>-4.2163199999999998E-2</v>
      </c>
      <c r="AN65">
        <v>-1.5798800000000002E-2</v>
      </c>
      <c r="AO65">
        <v>-2.9984199999999999E-2</v>
      </c>
      <c r="AP65">
        <v>0.1209224</v>
      </c>
      <c r="AQ65">
        <v>0</v>
      </c>
      <c r="AR65">
        <v>0</v>
      </c>
      <c r="AS65">
        <v>0</v>
      </c>
      <c r="AT65">
        <v>0</v>
      </c>
      <c r="AU65">
        <v>0</v>
      </c>
      <c r="AW65">
        <f t="shared" ca="1" si="14"/>
        <v>0.34693875999659674</v>
      </c>
      <c r="AY65">
        <f ca="1"/>
        <v>1.7650582335949769E-2</v>
      </c>
    </row>
    <row r="66" spans="2:51">
      <c r="B66" s="38" t="s">
        <v>89</v>
      </c>
      <c r="C66" s="40">
        <v>0.19900000000000001</v>
      </c>
      <c r="D66" s="61">
        <v>0.10290000000000001</v>
      </c>
      <c r="E66" s="62"/>
      <c r="F66" s="51" t="s">
        <v>89</v>
      </c>
      <c r="G66" s="52">
        <v>1.3589695600943385E-3</v>
      </c>
      <c r="H66" s="54">
        <v>8.1070268609299271E-6</v>
      </c>
      <c r="I66" s="53">
        <v>8.2429746780772147E-4</v>
      </c>
      <c r="J66" s="54">
        <v>-8.5561572175308452E-5</v>
      </c>
      <c r="K66" s="53">
        <v>1.3064248441144904E-3</v>
      </c>
      <c r="L66" s="53">
        <v>2.1264799171210065E-4</v>
      </c>
      <c r="M66" s="53">
        <v>-6.1906933918264029E-4</v>
      </c>
      <c r="N66" s="53">
        <v>-3.5835725114818733E-4</v>
      </c>
      <c r="O66" s="53">
        <v>3.129234205083406E-4</v>
      </c>
      <c r="P66" s="53">
        <v>-3.3042653902057425E-4</v>
      </c>
      <c r="Q66" s="53">
        <v>-1.1854071561114054E-3</v>
      </c>
      <c r="R66" s="54">
        <v>-1.2272439382110428E-5</v>
      </c>
      <c r="S66" s="54">
        <v>-1.3869179175805387E-6</v>
      </c>
      <c r="T66" s="53">
        <v>-1.3326638901008188E-3</v>
      </c>
      <c r="U66" s="53">
        <v>-1.8256822503255473E-3</v>
      </c>
      <c r="V66" s="53">
        <v>1.0582257881529335E-2</v>
      </c>
      <c r="W66" s="53">
        <v>1.0696402579709217E-3</v>
      </c>
      <c r="X66" s="53">
        <v>-1.2307255452847197E-3</v>
      </c>
      <c r="Y66" s="53">
        <v>1.1422326219883798E-3</v>
      </c>
      <c r="Z66" s="31">
        <v>-2.0407181622906132E-3</v>
      </c>
      <c r="AB66">
        <v>2.6097999999999998E-3</v>
      </c>
      <c r="AC66">
        <v>1.1831000000000001E-3</v>
      </c>
      <c r="AD66">
        <v>8.7367999999999994E-3</v>
      </c>
      <c r="AE66">
        <v>-1.5098500000000001E-2</v>
      </c>
      <c r="AF66">
        <v>1.11691E-2</v>
      </c>
      <c r="AG66">
        <v>-9.5120000000000003E-4</v>
      </c>
      <c r="AH66">
        <v>-2.0763999999999999E-3</v>
      </c>
      <c r="AI66">
        <v>-7.3519999999999998E-4</v>
      </c>
      <c r="AJ66">
        <v>2.3490999999999998E-3</v>
      </c>
      <c r="AK66">
        <v>-2.3657000000000001E-3</v>
      </c>
      <c r="AL66">
        <v>-8.0426999999999998E-3</v>
      </c>
      <c r="AM66">
        <v>-5.3705000000000003E-3</v>
      </c>
      <c r="AN66">
        <v>-6.5166E-3</v>
      </c>
      <c r="AO66">
        <v>-1.46173E-2</v>
      </c>
      <c r="AP66">
        <v>-2.06176E-2</v>
      </c>
      <c r="AQ66">
        <v>9.6701200000000001E-2</v>
      </c>
      <c r="AR66">
        <v>0</v>
      </c>
      <c r="AS66">
        <v>0</v>
      </c>
      <c r="AT66">
        <v>0</v>
      </c>
      <c r="AU66">
        <v>0</v>
      </c>
      <c r="AW66">
        <f t="shared" ca="1" si="14"/>
        <v>-8.654217165001285E-2</v>
      </c>
      <c r="AY66">
        <f ca="1"/>
        <v>2.6005877848186108E-2</v>
      </c>
    </row>
    <row r="67" spans="2:51">
      <c r="B67" s="38" t="s">
        <v>67</v>
      </c>
      <c r="C67" s="40">
        <v>-0.10100000000000001</v>
      </c>
      <c r="D67" s="61">
        <v>0.1946</v>
      </c>
      <c r="E67" s="62"/>
      <c r="F67" s="51" t="s">
        <v>67</v>
      </c>
      <c r="G67" s="52">
        <v>-3.2825736840264845E-2</v>
      </c>
      <c r="H67" s="54">
        <v>9.8454637218933289E-5</v>
      </c>
      <c r="I67" s="53">
        <v>1.6544323146281295E-3</v>
      </c>
      <c r="J67" s="54">
        <v>-6.3163023072826735E-5</v>
      </c>
      <c r="K67" s="53">
        <v>-2.2974477765384891E-3</v>
      </c>
      <c r="L67" s="53">
        <v>-5.3246810202031063E-4</v>
      </c>
      <c r="M67" s="53">
        <v>2.1141520917613409E-3</v>
      </c>
      <c r="N67" s="53">
        <v>1.6280132476312931E-3</v>
      </c>
      <c r="O67" s="53">
        <v>-8.659885852191412E-4</v>
      </c>
      <c r="P67" s="53">
        <v>-1.6754630297175287E-3</v>
      </c>
      <c r="Q67" s="53">
        <v>-5.6454964689955488E-3</v>
      </c>
      <c r="R67" s="53">
        <v>4.2829454604473061E-4</v>
      </c>
      <c r="S67" s="54">
        <v>-5.3473229040333601E-6</v>
      </c>
      <c r="T67" s="53">
        <v>3.4224819954607882E-3</v>
      </c>
      <c r="U67" s="53">
        <v>-4.5118901825530805E-3</v>
      </c>
      <c r="V67" s="53">
        <v>1.0696402579709217E-3</v>
      </c>
      <c r="W67" s="53">
        <v>3.7866411471987681E-2</v>
      </c>
      <c r="X67" s="53">
        <v>2.350321368363972E-2</v>
      </c>
      <c r="Y67" s="53">
        <v>2.6075938652252016E-2</v>
      </c>
      <c r="Z67" s="31">
        <v>2.3234409689381074E-2</v>
      </c>
      <c r="AB67">
        <v>-6.2999600000000003E-2</v>
      </c>
      <c r="AC67">
        <v>-8.1741000000000001E-3</v>
      </c>
      <c r="AD67">
        <v>-2.0838099999999998E-2</v>
      </c>
      <c r="AE67">
        <v>-3.22823E-2</v>
      </c>
      <c r="AF67">
        <v>-4.2876299999999999E-2</v>
      </c>
      <c r="AG67">
        <v>-1.1801799999999999E-2</v>
      </c>
      <c r="AH67">
        <v>3.3866999999999999E-3</v>
      </c>
      <c r="AI67">
        <v>-2.2607E-3</v>
      </c>
      <c r="AJ67">
        <v>-1.3937700000000001E-2</v>
      </c>
      <c r="AK67">
        <v>-3.3823499999999999E-2</v>
      </c>
      <c r="AL67">
        <v>-2.31623E-2</v>
      </c>
      <c r="AM67">
        <v>-6.4184699999999997E-2</v>
      </c>
      <c r="AN67">
        <v>-5.6902500000000002E-2</v>
      </c>
      <c r="AO67">
        <v>-3.6862199999999998E-2</v>
      </c>
      <c r="AP67">
        <v>-7.8599799999999997E-2</v>
      </c>
      <c r="AQ67">
        <v>-1.7545600000000001E-2</v>
      </c>
      <c r="AR67">
        <v>0.1152678</v>
      </c>
      <c r="AS67">
        <v>0</v>
      </c>
      <c r="AT67">
        <v>0</v>
      </c>
      <c r="AU67">
        <v>0</v>
      </c>
      <c r="AW67">
        <f t="shared" ca="1" si="14"/>
        <v>-1.2412302317095494</v>
      </c>
      <c r="AY67">
        <f ca="1"/>
        <v>-3.8552265329756141E-2</v>
      </c>
    </row>
    <row r="68" spans="2:51">
      <c r="B68" s="38" t="s">
        <v>68</v>
      </c>
      <c r="C68" s="40">
        <v>-9.2999999999999999E-2</v>
      </c>
      <c r="D68" s="61">
        <v>0.20080000000000001</v>
      </c>
      <c r="E68" s="62"/>
      <c r="F68" s="51" t="s">
        <v>68</v>
      </c>
      <c r="G68" s="52">
        <v>-2.8561678709892582E-2</v>
      </c>
      <c r="H68" s="54">
        <v>-1.8258209740684612E-5</v>
      </c>
      <c r="I68" s="53">
        <v>4.258395987529338E-4</v>
      </c>
      <c r="J68" s="54">
        <v>-9.4745734394482227E-5</v>
      </c>
      <c r="K68" s="53">
        <v>1.037169858961658E-3</v>
      </c>
      <c r="L68" s="53">
        <v>-6.8480853527734596E-4</v>
      </c>
      <c r="M68" s="53">
        <v>4.92370070105521E-3</v>
      </c>
      <c r="N68" s="53">
        <v>1.3844060505921905E-4</v>
      </c>
      <c r="O68" s="53">
        <v>3.3140008924903409E-4</v>
      </c>
      <c r="P68" s="53">
        <v>-9.8603155247067279E-4</v>
      </c>
      <c r="Q68" s="53">
        <v>-4.8912117603417619E-4</v>
      </c>
      <c r="R68" s="53">
        <v>1.9839631113343921E-4</v>
      </c>
      <c r="S68" s="54">
        <v>5.7704826994247685E-6</v>
      </c>
      <c r="T68" s="53">
        <v>3.95403936619311E-3</v>
      </c>
      <c r="U68" s="53">
        <v>-2.3656587143508485E-3</v>
      </c>
      <c r="V68" s="53">
        <v>-1.2307255452847197E-3</v>
      </c>
      <c r="W68" s="53">
        <v>2.350321368363972E-2</v>
      </c>
      <c r="X68" s="53">
        <v>4.0337386147238412E-2</v>
      </c>
      <c r="Y68" s="53">
        <v>2.5396315930822012E-2</v>
      </c>
      <c r="Z68" s="31">
        <v>2.3046251385147112E-2</v>
      </c>
      <c r="AB68">
        <v>-5.4805600000000003E-2</v>
      </c>
      <c r="AC68">
        <v>-1.4312200000000001E-2</v>
      </c>
      <c r="AD68">
        <v>-2.8280400000000001E-2</v>
      </c>
      <c r="AE68">
        <v>-3.6726700000000001E-2</v>
      </c>
      <c r="AF68">
        <v>-1.61239E-2</v>
      </c>
      <c r="AG68">
        <v>-1.36215E-2</v>
      </c>
      <c r="AH68">
        <v>2.61202E-2</v>
      </c>
      <c r="AI68">
        <v>-1.49201E-2</v>
      </c>
      <c r="AJ68">
        <v>-2.2599999999999999E-4</v>
      </c>
      <c r="AK68">
        <v>-2.9248400000000001E-2</v>
      </c>
      <c r="AL68">
        <v>-5.4077999999999999E-3</v>
      </c>
      <c r="AM68">
        <v>-8.2595399999999999E-2</v>
      </c>
      <c r="AN68">
        <v>-3.5923499999999997E-2</v>
      </c>
      <c r="AO68">
        <v>-3.4018199999999998E-2</v>
      </c>
      <c r="AP68">
        <v>-7.0087200000000002E-2</v>
      </c>
      <c r="AQ68">
        <v>-4.03221E-2</v>
      </c>
      <c r="AR68">
        <v>1.08232E-2</v>
      </c>
      <c r="AS68">
        <v>0.1297025</v>
      </c>
      <c r="AT68">
        <v>0</v>
      </c>
      <c r="AU68">
        <v>0</v>
      </c>
      <c r="AW68">
        <f t="shared" ca="1" si="14"/>
        <v>-1.6768035765577607</v>
      </c>
      <c r="AY68">
        <f ca="1"/>
        <v>-0.16424710911538287</v>
      </c>
    </row>
    <row r="69" spans="2:51">
      <c r="B69" s="38" t="s">
        <v>69</v>
      </c>
      <c r="C69" s="40">
        <v>-0.53600000000000003</v>
      </c>
      <c r="D69" s="63">
        <v>0.2288</v>
      </c>
      <c r="F69" s="51" t="s">
        <v>69</v>
      </c>
      <c r="G69" s="52">
        <v>-3.4767294991573314E-2</v>
      </c>
      <c r="H69" s="53">
        <v>2.8749427145956431E-4</v>
      </c>
      <c r="I69" s="53">
        <v>-9.022587766547226E-4</v>
      </c>
      <c r="J69" s="53">
        <v>-2.1731527525594647E-4</v>
      </c>
      <c r="K69" s="53">
        <v>7.8057343482068815E-4</v>
      </c>
      <c r="L69" s="53">
        <v>-3.2707434617769786E-3</v>
      </c>
      <c r="M69" s="53">
        <v>3.4351857368971252E-3</v>
      </c>
      <c r="N69" s="53">
        <v>-1.804461190482669E-3</v>
      </c>
      <c r="O69" s="53">
        <v>-3.0970998530414195E-3</v>
      </c>
      <c r="P69" s="53">
        <v>4.4531439688127398E-4</v>
      </c>
      <c r="Q69" s="53">
        <v>-3.0760687423910531E-3</v>
      </c>
      <c r="R69" s="53">
        <v>7.7688083309237772E-4</v>
      </c>
      <c r="S69" s="54">
        <v>4.8221111111369628E-6</v>
      </c>
      <c r="T69" s="53">
        <v>1.3303369397393535E-3</v>
      </c>
      <c r="U69" s="53">
        <v>-6.4967282598923032E-3</v>
      </c>
      <c r="V69" s="53">
        <v>1.1422326219883798E-3</v>
      </c>
      <c r="W69" s="53">
        <v>2.6075938652252016E-2</v>
      </c>
      <c r="X69" s="53">
        <v>2.5396315930822012E-2</v>
      </c>
      <c r="Y69" s="53">
        <v>5.2354305346285379E-2</v>
      </c>
      <c r="Z69" s="31">
        <v>2.427724919895723E-2</v>
      </c>
      <c r="AB69">
        <v>-6.6722400000000001E-2</v>
      </c>
      <c r="AC69">
        <v>4.2145000000000004E-3</v>
      </c>
      <c r="AD69">
        <v>-4.2474999999999999E-2</v>
      </c>
      <c r="AE69">
        <v>-6.5926399999999996E-2</v>
      </c>
      <c r="AF69">
        <v>-2.59706E-2</v>
      </c>
      <c r="AG69">
        <v>-3.7449099999999999E-2</v>
      </c>
      <c r="AH69">
        <v>1.01627E-2</v>
      </c>
      <c r="AI69">
        <v>-2.73458E-2</v>
      </c>
      <c r="AJ69">
        <v>-1.7922799999999999E-2</v>
      </c>
      <c r="AK69">
        <v>-2.9002699999999999E-2</v>
      </c>
      <c r="AL69">
        <v>-3.19785E-2</v>
      </c>
      <c r="AM69">
        <v>-5.7292799999999998E-2</v>
      </c>
      <c r="AN69">
        <v>-2.6096299999999999E-2</v>
      </c>
      <c r="AO69">
        <v>-4.1210499999999997E-2</v>
      </c>
      <c r="AP69">
        <v>-8.9944899999999994E-2</v>
      </c>
      <c r="AQ69">
        <v>-2.3557000000000002E-2</v>
      </c>
      <c r="AR69">
        <v>9.6302999999999996E-3</v>
      </c>
      <c r="AS69">
        <v>8.6653000000000008E-3</v>
      </c>
      <c r="AT69">
        <v>0.14880299999999999</v>
      </c>
      <c r="AU69">
        <v>0</v>
      </c>
      <c r="AW69">
        <f t="shared" ca="1" si="14"/>
        <v>-1.0780304984681679</v>
      </c>
      <c r="AY69">
        <f ca="1"/>
        <v>-7.5673655181594246E-3</v>
      </c>
    </row>
    <row r="70" spans="2:51" ht="17" thickBot="1">
      <c r="B70" s="38" t="s">
        <v>70</v>
      </c>
      <c r="C70" s="40">
        <v>-0.17499999999999999</v>
      </c>
      <c r="D70" s="63">
        <v>0.2261</v>
      </c>
      <c r="F70" s="57" t="s">
        <v>70</v>
      </c>
      <c r="G70" s="58">
        <v>-4.4876826795030474E-2</v>
      </c>
      <c r="H70" s="59">
        <v>3.7615615789576297E-4</v>
      </c>
      <c r="I70" s="59">
        <v>1.4770251949542076E-3</v>
      </c>
      <c r="J70" s="60">
        <v>-4.1946187589953351E-5</v>
      </c>
      <c r="K70" s="59">
        <v>3.047403689520303E-3</v>
      </c>
      <c r="L70" s="59">
        <v>-6.0186552532441324E-4</v>
      </c>
      <c r="M70" s="59">
        <v>-6.1421731331100617E-4</v>
      </c>
      <c r="N70" s="59">
        <v>2.6079218518338131E-3</v>
      </c>
      <c r="O70" s="59">
        <v>-2.9686860772807868E-4</v>
      </c>
      <c r="P70" s="59">
        <v>-9.6695785933005346E-4</v>
      </c>
      <c r="Q70" s="59">
        <v>-6.3342155600472382E-4</v>
      </c>
      <c r="R70" s="59">
        <v>4.6724344151746831E-4</v>
      </c>
      <c r="S70" s="60">
        <v>-1.4376026978951323E-6</v>
      </c>
      <c r="T70" s="59">
        <v>4.4847708124140916E-3</v>
      </c>
      <c r="U70" s="59">
        <v>2.9425812542454162E-4</v>
      </c>
      <c r="V70" s="59">
        <v>-2.0407181622906132E-3</v>
      </c>
      <c r="W70" s="59">
        <v>2.3234409689381074E-2</v>
      </c>
      <c r="X70" s="59">
        <v>2.3046251385147112E-2</v>
      </c>
      <c r="Y70" s="59">
        <v>2.427724919895723E-2</v>
      </c>
      <c r="Z70" s="37">
        <v>5.1130045933799675E-2</v>
      </c>
      <c r="AB70">
        <v>-8.6123199999999997E-2</v>
      </c>
      <c r="AC70">
        <v>5.8333999999999999E-3</v>
      </c>
      <c r="AD70">
        <v>-3.1832899999999997E-2</v>
      </c>
      <c r="AE70">
        <v>-3.5886500000000002E-2</v>
      </c>
      <c r="AF70">
        <v>-8.7963E-3</v>
      </c>
      <c r="AG70">
        <v>-1.5177E-2</v>
      </c>
      <c r="AH70">
        <v>-2.5544399999999998E-2</v>
      </c>
      <c r="AI70">
        <v>4.8003999999999998E-3</v>
      </c>
      <c r="AJ70">
        <v>-9.9795000000000005E-3</v>
      </c>
      <c r="AK70">
        <v>-3.9926200000000002E-2</v>
      </c>
      <c r="AL70">
        <v>-8.2521999999999995E-3</v>
      </c>
      <c r="AM70">
        <v>-8.9763300000000004E-2</v>
      </c>
      <c r="AN70">
        <v>-4.0960299999999998E-2</v>
      </c>
      <c r="AO70">
        <v>-2.39638E-2</v>
      </c>
      <c r="AP70">
        <v>-3.9008500000000002E-2</v>
      </c>
      <c r="AQ70">
        <v>-4.2320900000000002E-2</v>
      </c>
      <c r="AR70">
        <v>9.5986000000000005E-3</v>
      </c>
      <c r="AS70">
        <v>8.6799000000000008E-3</v>
      </c>
      <c r="AT70">
        <v>6.1286999999999999E-3</v>
      </c>
      <c r="AU70">
        <v>0.157497</v>
      </c>
      <c r="AW70">
        <f t="shared" ca="1" si="14"/>
        <v>-5.7402347391902461E-2</v>
      </c>
      <c r="AY70">
        <f ca="1"/>
        <v>3.6129362311992506E-2</v>
      </c>
    </row>
    <row r="71" spans="2:51" ht="17" thickTop="1">
      <c r="B71" s="38" t="s">
        <v>90</v>
      </c>
      <c r="C71" s="41" t="s">
        <v>91</v>
      </c>
      <c r="D71" s="64"/>
      <c r="E71" s="65"/>
    </row>
    <row r="72" spans="2:51" ht="17" thickBot="1">
      <c r="B72" s="43" t="s">
        <v>92</v>
      </c>
      <c r="C72" s="44">
        <v>8.1199999999999992</v>
      </c>
      <c r="D72" s="66">
        <v>0.31159999999999999</v>
      </c>
      <c r="E72" s="65"/>
    </row>
    <row r="73" spans="2:51" ht="17" thickTop="1"/>
    <row r="74" spans="2:51">
      <c r="B74" s="64" t="s">
        <v>93</v>
      </c>
    </row>
    <row r="75" spans="2:51" ht="17" thickBot="1"/>
    <row r="76" spans="2:51" ht="18" thickTop="1" thickBot="1">
      <c r="B76" s="294" t="s">
        <v>36</v>
      </c>
      <c r="C76" s="296" t="s">
        <v>76</v>
      </c>
      <c r="D76" s="298" t="s">
        <v>77</v>
      </c>
    </row>
    <row r="77" spans="2:51" ht="18" thickTop="1" thickBot="1">
      <c r="B77" s="295"/>
      <c r="C77" s="297"/>
      <c r="D77" s="299"/>
      <c r="F77" s="45"/>
      <c r="G77" s="17" t="s">
        <v>78</v>
      </c>
      <c r="H77" s="18" t="s">
        <v>37</v>
      </c>
      <c r="I77" s="18" t="s">
        <v>79</v>
      </c>
      <c r="J77" s="18" t="s">
        <v>80</v>
      </c>
      <c r="K77" s="18" t="s">
        <v>40</v>
      </c>
      <c r="L77" s="18" t="s">
        <v>81</v>
      </c>
      <c r="M77" s="18" t="s">
        <v>82</v>
      </c>
      <c r="N77" s="18" t="s">
        <v>83</v>
      </c>
      <c r="O77" s="18" t="s">
        <v>84</v>
      </c>
      <c r="P77" s="18" t="s">
        <v>85</v>
      </c>
      <c r="Q77" s="18" t="s">
        <v>86</v>
      </c>
      <c r="R77" s="18" t="s">
        <v>87</v>
      </c>
      <c r="S77" s="18" t="s">
        <v>38</v>
      </c>
      <c r="T77" s="18" t="s">
        <v>45</v>
      </c>
      <c r="U77" s="18" t="s">
        <v>88</v>
      </c>
      <c r="V77" s="18" t="s">
        <v>89</v>
      </c>
      <c r="W77" s="18" t="s">
        <v>67</v>
      </c>
      <c r="X77" s="18" t="s">
        <v>68</v>
      </c>
      <c r="Y77" s="18" t="s">
        <v>69</v>
      </c>
      <c r="Z77" s="19" t="s">
        <v>70</v>
      </c>
      <c r="AB77" t="s">
        <v>97</v>
      </c>
      <c r="AC77" t="s">
        <v>98</v>
      </c>
      <c r="AD77" t="s">
        <v>99</v>
      </c>
      <c r="AE77" t="s">
        <v>100</v>
      </c>
      <c r="AF77" t="s">
        <v>101</v>
      </c>
      <c r="AG77" t="s">
        <v>102</v>
      </c>
      <c r="AH77" t="s">
        <v>103</v>
      </c>
      <c r="AI77" t="s">
        <v>104</v>
      </c>
      <c r="AJ77" t="s">
        <v>105</v>
      </c>
      <c r="AK77" t="s">
        <v>106</v>
      </c>
      <c r="AL77" t="s">
        <v>107</v>
      </c>
      <c r="AM77" t="s">
        <v>108</v>
      </c>
      <c r="AN77" t="s">
        <v>109</v>
      </c>
      <c r="AO77" t="s">
        <v>110</v>
      </c>
      <c r="AP77" t="s">
        <v>111</v>
      </c>
      <c r="AQ77" t="s">
        <v>112</v>
      </c>
      <c r="AR77" t="s">
        <v>113</v>
      </c>
      <c r="AS77" t="s">
        <v>114</v>
      </c>
      <c r="AT77" t="s">
        <v>115</v>
      </c>
      <c r="AU77" t="s">
        <v>116</v>
      </c>
      <c r="AW77" t="s">
        <v>24</v>
      </c>
      <c r="AY77" t="s">
        <v>25</v>
      </c>
    </row>
    <row r="78" spans="2:51" ht="17" thickTop="1">
      <c r="B78" s="38" t="s">
        <v>78</v>
      </c>
      <c r="C78" s="39">
        <v>3.2959999999999998</v>
      </c>
      <c r="D78" s="15">
        <v>0.2198</v>
      </c>
      <c r="F78" s="46" t="s">
        <v>78</v>
      </c>
      <c r="G78" s="47">
        <v>4.8301455797364473E-2</v>
      </c>
      <c r="H78" s="48">
        <v>-3.420511744442421E-4</v>
      </c>
      <c r="I78" s="48">
        <v>-6.0208985108556219E-3</v>
      </c>
      <c r="J78" s="48">
        <v>-1.6297957566686354E-4</v>
      </c>
      <c r="K78" s="48">
        <v>-2.5706758707980215E-3</v>
      </c>
      <c r="L78" s="48">
        <v>-1.3445322189056456E-3</v>
      </c>
      <c r="M78" s="48">
        <v>-2.7017135655000519E-3</v>
      </c>
      <c r="N78" s="48">
        <v>-1.8732934450166577E-3</v>
      </c>
      <c r="O78" s="48">
        <v>3.4841297487838395E-4</v>
      </c>
      <c r="P78" s="48">
        <v>-2.374448612006684E-3</v>
      </c>
      <c r="Q78" s="48">
        <v>-1.1198969320507415E-3</v>
      </c>
      <c r="R78" s="48">
        <v>-5.4834094531800521E-4</v>
      </c>
      <c r="S78" s="49">
        <v>-9.9729784416620161E-7</v>
      </c>
      <c r="T78" s="48">
        <v>-1.405706477046932E-3</v>
      </c>
      <c r="U78" s="48">
        <v>-8.3726738359838607E-4</v>
      </c>
      <c r="V78" s="48">
        <v>5.642480814318188E-4</v>
      </c>
      <c r="W78" s="48">
        <v>-5.067470637084028E-3</v>
      </c>
      <c r="X78" s="48">
        <v>-4.2889346275956624E-3</v>
      </c>
      <c r="Y78" s="48">
        <v>-5.7056684135974355E-3</v>
      </c>
      <c r="Z78" s="50">
        <v>-6.5058071769476646E-3</v>
      </c>
      <c r="AB78">
        <v>0.21977260000000001</v>
      </c>
      <c r="AC78">
        <v>0</v>
      </c>
      <c r="AD78">
        <v>0</v>
      </c>
      <c r="AE78">
        <v>0</v>
      </c>
      <c r="AF78">
        <v>0</v>
      </c>
      <c r="AG78">
        <v>0</v>
      </c>
      <c r="AH78">
        <v>0</v>
      </c>
      <c r="AI78">
        <v>0</v>
      </c>
      <c r="AJ78">
        <v>0</v>
      </c>
      <c r="AK78">
        <v>0</v>
      </c>
      <c r="AL78">
        <v>0</v>
      </c>
      <c r="AM78">
        <v>0</v>
      </c>
      <c r="AN78">
        <v>0</v>
      </c>
      <c r="AO78">
        <v>0</v>
      </c>
      <c r="AP78">
        <v>0</v>
      </c>
      <c r="AQ78">
        <v>0</v>
      </c>
      <c r="AR78">
        <v>0</v>
      </c>
      <c r="AS78">
        <v>0</v>
      </c>
      <c r="AT78">
        <v>0</v>
      </c>
      <c r="AU78">
        <v>0</v>
      </c>
      <c r="AW78">
        <f t="shared" ref="AW78:AW97" ca="1" si="15">_xlfn.NORM.INV(RAND(),0,1)</f>
        <v>1.6456119349673108</v>
      </c>
      <c r="AY78">
        <f t="array" aca="1" ref="AY78:AY97" ca="1">MMULT(AB78:AU97,AW78:AW97)</f>
        <v>0.36166041353879685</v>
      </c>
    </row>
    <row r="79" spans="2:51">
      <c r="B79" s="38" t="s">
        <v>37</v>
      </c>
      <c r="C79" s="40">
        <v>4.3999999999999997E-2</v>
      </c>
      <c r="D79" s="15">
        <v>5.8999999999999999E-3</v>
      </c>
      <c r="F79" s="51" t="s">
        <v>37</v>
      </c>
      <c r="G79" s="52">
        <v>-3.420511744442421E-4</v>
      </c>
      <c r="H79" s="54">
        <v>3.5179657032736936E-5</v>
      </c>
      <c r="I79" s="54">
        <v>1.1531201867626925E-5</v>
      </c>
      <c r="J79" s="54">
        <v>1.0379060980208804E-6</v>
      </c>
      <c r="K79" s="54">
        <v>-1.0306463652766621E-5</v>
      </c>
      <c r="L79" s="54">
        <v>3.7932207360821637E-6</v>
      </c>
      <c r="M79" s="54">
        <v>-1.0591175689645284E-5</v>
      </c>
      <c r="N79" s="54">
        <v>-2.3116575862859534E-5</v>
      </c>
      <c r="O79" s="54">
        <v>1.7799684977691087E-5</v>
      </c>
      <c r="P79" s="54">
        <v>-9.1861162332171665E-6</v>
      </c>
      <c r="Q79" s="54">
        <v>-1.9844342377919864E-5</v>
      </c>
      <c r="R79" s="54">
        <v>-2.5161315146748579E-6</v>
      </c>
      <c r="S79" s="54">
        <v>-5.0112572510894389E-7</v>
      </c>
      <c r="T79" s="54">
        <v>-3.2695243224123694E-5</v>
      </c>
      <c r="U79" s="54">
        <v>-2.9096827562493096E-5</v>
      </c>
      <c r="V79" s="54">
        <v>-8.0796182001356714E-6</v>
      </c>
      <c r="W79" s="54">
        <v>-1.0626252030666234E-5</v>
      </c>
      <c r="X79" s="54">
        <v>2.4404315323644482E-6</v>
      </c>
      <c r="Y79" s="54">
        <v>4.2810959485772726E-5</v>
      </c>
      <c r="Z79" s="55">
        <v>5.0959500952261103E-5</v>
      </c>
      <c r="AB79">
        <v>-1.5471E-3</v>
      </c>
      <c r="AC79">
        <v>5.7258999999999999E-3</v>
      </c>
      <c r="AD79">
        <v>0</v>
      </c>
      <c r="AE79">
        <v>0</v>
      </c>
      <c r="AF79">
        <v>0</v>
      </c>
      <c r="AG79">
        <v>0</v>
      </c>
      <c r="AH79">
        <v>0</v>
      </c>
      <c r="AI79">
        <v>0</v>
      </c>
      <c r="AJ79">
        <v>0</v>
      </c>
      <c r="AK79">
        <v>0</v>
      </c>
      <c r="AL79">
        <v>0</v>
      </c>
      <c r="AM79">
        <v>0</v>
      </c>
      <c r="AN79">
        <v>0</v>
      </c>
      <c r="AO79">
        <v>0</v>
      </c>
      <c r="AP79">
        <v>0</v>
      </c>
      <c r="AQ79">
        <v>0</v>
      </c>
      <c r="AR79">
        <v>0</v>
      </c>
      <c r="AS79">
        <v>0</v>
      </c>
      <c r="AT79">
        <v>0</v>
      </c>
      <c r="AU79">
        <v>0</v>
      </c>
      <c r="AW79">
        <f t="shared" ca="1" si="15"/>
        <v>-2.4919299326865736</v>
      </c>
      <c r="AY79">
        <f ca="1"/>
        <v>-1.6814467826157978E-2</v>
      </c>
    </row>
    <row r="80" spans="2:51">
      <c r="B80" s="38" t="s">
        <v>79</v>
      </c>
      <c r="C80" s="40">
        <v>3.5999999999999997E-2</v>
      </c>
      <c r="D80" s="15">
        <v>5.74E-2</v>
      </c>
      <c r="F80" s="51" t="s">
        <v>79</v>
      </c>
      <c r="G80" s="52">
        <v>-6.0208985108556219E-3</v>
      </c>
      <c r="H80" s="54">
        <v>1.1531201867626925E-5</v>
      </c>
      <c r="I80" s="53">
        <v>3.2907226143248946E-3</v>
      </c>
      <c r="J80" s="54">
        <v>5.0289649675343466E-6</v>
      </c>
      <c r="K80" s="53">
        <v>-1.1177451223265921E-4</v>
      </c>
      <c r="L80" s="53">
        <v>1.1595155915071286E-4</v>
      </c>
      <c r="M80" s="53">
        <v>1.4268037955538564E-4</v>
      </c>
      <c r="N80" s="54">
        <v>1.7194663389091915E-5</v>
      </c>
      <c r="O80" s="54">
        <v>-1.3396709228566033E-5</v>
      </c>
      <c r="P80" s="53">
        <v>-3.2549184985523411E-4</v>
      </c>
      <c r="Q80" s="53">
        <v>-2.1020498983232011E-4</v>
      </c>
      <c r="R80" s="54">
        <v>-1.3562073471464369E-5</v>
      </c>
      <c r="S80" s="54">
        <v>1.7905568335644544E-6</v>
      </c>
      <c r="T80" s="53">
        <v>1.1805694616165998E-4</v>
      </c>
      <c r="U80" s="53">
        <v>1.0761549129554149E-4</v>
      </c>
      <c r="V80" s="54">
        <v>5.2301940348749036E-5</v>
      </c>
      <c r="W80" s="54">
        <v>4.9409841972618077E-6</v>
      </c>
      <c r="X80" s="53">
        <v>-1.3932114157934195E-4</v>
      </c>
      <c r="Y80" s="53">
        <v>3.6415864604120274E-4</v>
      </c>
      <c r="Z80" s="31">
        <v>4.5976786835093242E-4</v>
      </c>
      <c r="AB80">
        <v>-2.73919E-2</v>
      </c>
      <c r="AC80">
        <v>-5.3870000000000003E-3</v>
      </c>
      <c r="AD80">
        <v>5.0106499999999998E-2</v>
      </c>
      <c r="AE80">
        <v>0</v>
      </c>
      <c r="AF80">
        <v>0</v>
      </c>
      <c r="AG80">
        <v>0</v>
      </c>
      <c r="AH80">
        <v>0</v>
      </c>
      <c r="AI80">
        <v>0</v>
      </c>
      <c r="AJ80">
        <v>0</v>
      </c>
      <c r="AK80">
        <v>0</v>
      </c>
      <c r="AL80">
        <v>0</v>
      </c>
      <c r="AM80">
        <v>0</v>
      </c>
      <c r="AN80">
        <v>0</v>
      </c>
      <c r="AO80">
        <v>0</v>
      </c>
      <c r="AP80">
        <v>0</v>
      </c>
      <c r="AQ80">
        <v>0</v>
      </c>
      <c r="AR80">
        <v>0</v>
      </c>
      <c r="AS80">
        <v>0</v>
      </c>
      <c r="AT80">
        <v>0</v>
      </c>
      <c r="AU80">
        <v>0</v>
      </c>
      <c r="AW80">
        <f t="shared" ca="1" si="15"/>
        <v>-1.5807187595868295</v>
      </c>
      <c r="AY80">
        <f ca="1"/>
        <v>-0.11085669554128598</v>
      </c>
    </row>
    <row r="81" spans="2:51">
      <c r="B81" s="38" t="s">
        <v>80</v>
      </c>
      <c r="C81" s="40">
        <v>-7.0000000000000001E-3</v>
      </c>
      <c r="D81" s="15">
        <v>2.3E-3</v>
      </c>
      <c r="F81" s="51" t="s">
        <v>80</v>
      </c>
      <c r="G81" s="52">
        <v>-1.6297957566686354E-4</v>
      </c>
      <c r="H81" s="54">
        <v>1.0379060980208804E-6</v>
      </c>
      <c r="I81" s="54">
        <v>5.0289649675343466E-6</v>
      </c>
      <c r="J81" s="54">
        <v>5.1537796868489802E-6</v>
      </c>
      <c r="K81" s="54">
        <v>3.7373680301605287E-6</v>
      </c>
      <c r="L81" s="54">
        <v>-1.5624056839631405E-5</v>
      </c>
      <c r="M81" s="54">
        <v>1.2696908242774404E-5</v>
      </c>
      <c r="N81" s="54">
        <v>-2.8567792332267666E-7</v>
      </c>
      <c r="O81" s="54">
        <v>-1.4523045296842452E-5</v>
      </c>
      <c r="P81" s="54">
        <v>-3.6764113991268851E-6</v>
      </c>
      <c r="Q81" s="54">
        <v>-1.6655856910259265E-5</v>
      </c>
      <c r="R81" s="54">
        <v>-1.6382639813830119E-6</v>
      </c>
      <c r="S81" s="54">
        <v>-1.1889118327315372E-7</v>
      </c>
      <c r="T81" s="54">
        <v>7.9394328826947824E-6</v>
      </c>
      <c r="U81" s="54">
        <v>-1.7472492832509292E-6</v>
      </c>
      <c r="V81" s="54">
        <v>-9.9616112846512797E-6</v>
      </c>
      <c r="W81" s="54">
        <v>-1.3688432801789076E-5</v>
      </c>
      <c r="X81" s="54">
        <v>-1.2126302908423573E-5</v>
      </c>
      <c r="Y81" s="54">
        <v>-3.0321694396484544E-5</v>
      </c>
      <c r="Z81" s="55">
        <v>-8.177513940122571E-6</v>
      </c>
      <c r="AB81">
        <v>-7.2800000000000002E-4</v>
      </c>
      <c r="AC81">
        <v>-1.5400000000000002E-5</v>
      </c>
      <c r="AD81">
        <v>-2.9930000000000001E-4</v>
      </c>
      <c r="AE81">
        <v>2.1293000000000002E-3</v>
      </c>
      <c r="AF81">
        <v>0</v>
      </c>
      <c r="AG81">
        <v>0</v>
      </c>
      <c r="AH81">
        <v>0</v>
      </c>
      <c r="AI81">
        <v>0</v>
      </c>
      <c r="AJ81">
        <v>0</v>
      </c>
      <c r="AK81">
        <v>0</v>
      </c>
      <c r="AL81">
        <v>0</v>
      </c>
      <c r="AM81">
        <v>0</v>
      </c>
      <c r="AN81">
        <v>0</v>
      </c>
      <c r="AO81">
        <v>0</v>
      </c>
      <c r="AP81">
        <v>0</v>
      </c>
      <c r="AQ81">
        <v>0</v>
      </c>
      <c r="AR81">
        <v>0</v>
      </c>
      <c r="AS81">
        <v>0</v>
      </c>
      <c r="AT81">
        <v>0</v>
      </c>
      <c r="AU81">
        <v>0</v>
      </c>
      <c r="AW81">
        <f t="shared" ca="1" si="15"/>
        <v>-2.3554757590979754</v>
      </c>
      <c r="AY81">
        <f ca="1"/>
        <v>-5.70203517679581E-3</v>
      </c>
    </row>
    <row r="82" spans="2:51">
      <c r="B82" s="38" t="s">
        <v>40</v>
      </c>
      <c r="C82" s="40">
        <v>-8.5999999999999993E-2</v>
      </c>
      <c r="D82" s="15">
        <v>5.5800000000000002E-2</v>
      </c>
      <c r="F82" s="51" t="s">
        <v>40</v>
      </c>
      <c r="G82" s="52">
        <v>-2.5706758707980215E-3</v>
      </c>
      <c r="H82" s="54">
        <v>-1.0306463652766621E-5</v>
      </c>
      <c r="I82" s="53">
        <v>-1.1177451223265921E-4</v>
      </c>
      <c r="J82" s="54">
        <v>3.7373680301605287E-6</v>
      </c>
      <c r="K82" s="53">
        <v>3.1137397194246166E-3</v>
      </c>
      <c r="L82" s="53">
        <v>2.3562190502254528E-4</v>
      </c>
      <c r="M82" s="54">
        <v>7.5098762608697537E-5</v>
      </c>
      <c r="N82" s="53">
        <v>1.7616508184726745E-4</v>
      </c>
      <c r="O82" s="53">
        <v>-1.5007858141826341E-4</v>
      </c>
      <c r="P82" s="53">
        <v>4.2264310994588578E-4</v>
      </c>
      <c r="Q82" s="53">
        <v>1.1488437535250623E-3</v>
      </c>
      <c r="R82" s="54">
        <v>3.2255274361869705E-5</v>
      </c>
      <c r="S82" s="54">
        <v>-9.4678107516572829E-7</v>
      </c>
      <c r="T82" s="53">
        <v>-2.4900238395611458E-4</v>
      </c>
      <c r="U82" s="53">
        <v>-3.7070794421809809E-4</v>
      </c>
      <c r="V82" s="53">
        <v>1.2569813078763304E-4</v>
      </c>
      <c r="W82" s="54">
        <v>-6.9126922315328619E-5</v>
      </c>
      <c r="X82" s="54">
        <v>4.7227821440386605E-5</v>
      </c>
      <c r="Y82" s="53">
        <v>-1.2656656230369205E-4</v>
      </c>
      <c r="Z82" s="55">
        <v>3.2732950955736287E-5</v>
      </c>
      <c r="AB82">
        <v>-1.16939E-2</v>
      </c>
      <c r="AC82">
        <v>-4.9595000000000004E-3</v>
      </c>
      <c r="AD82">
        <v>-9.1213000000000006E-3</v>
      </c>
      <c r="AE82">
        <v>-3.5609999999999999E-3</v>
      </c>
      <c r="AF82">
        <v>5.3411399999999998E-2</v>
      </c>
      <c r="AG82">
        <v>0</v>
      </c>
      <c r="AH82">
        <v>0</v>
      </c>
      <c r="AI82">
        <v>0</v>
      </c>
      <c r="AJ82">
        <v>0</v>
      </c>
      <c r="AK82">
        <v>0</v>
      </c>
      <c r="AL82">
        <v>0</v>
      </c>
      <c r="AM82">
        <v>0</v>
      </c>
      <c r="AN82">
        <v>0</v>
      </c>
      <c r="AO82">
        <v>0</v>
      </c>
      <c r="AP82">
        <v>0</v>
      </c>
      <c r="AQ82">
        <v>0</v>
      </c>
      <c r="AR82">
        <v>0</v>
      </c>
      <c r="AS82">
        <v>0</v>
      </c>
      <c r="AT82">
        <v>0</v>
      </c>
      <c r="AU82">
        <v>0</v>
      </c>
      <c r="AW82">
        <f t="shared" ca="1" si="15"/>
        <v>-0.77274661563610314</v>
      </c>
      <c r="AY82">
        <f ca="1"/>
        <v>-2.5352314291574092E-2</v>
      </c>
    </row>
    <row r="83" spans="2:51">
      <c r="B83" s="38" t="s">
        <v>81</v>
      </c>
      <c r="C83" s="40">
        <v>0.16900000000000001</v>
      </c>
      <c r="D83" s="15">
        <v>5.62E-2</v>
      </c>
      <c r="F83" s="51" t="s">
        <v>81</v>
      </c>
      <c r="G83" s="52">
        <v>-1.3445322189056456E-3</v>
      </c>
      <c r="H83" s="54">
        <v>3.7932207360821637E-6</v>
      </c>
      <c r="I83" s="53">
        <v>1.1595155915071286E-4</v>
      </c>
      <c r="J83" s="54">
        <v>-1.5624056839631405E-5</v>
      </c>
      <c r="K83" s="53">
        <v>2.3562190502254528E-4</v>
      </c>
      <c r="L83" s="53">
        <v>3.1591843655102382E-3</v>
      </c>
      <c r="M83" s="53">
        <v>-2.2088884677257562E-4</v>
      </c>
      <c r="N83" s="53">
        <v>-1.6293728788847021E-4</v>
      </c>
      <c r="O83" s="53">
        <v>-2.2990594994900929E-4</v>
      </c>
      <c r="P83" s="53">
        <v>-1.5975465992464712E-4</v>
      </c>
      <c r="Q83" s="54">
        <v>-7.8533276798756023E-5</v>
      </c>
      <c r="R83" s="54">
        <v>9.2249307734985885E-7</v>
      </c>
      <c r="S83" s="54">
        <v>2.5692238906700093E-7</v>
      </c>
      <c r="T83" s="53">
        <v>5.1117278430566626E-4</v>
      </c>
      <c r="U83" s="53">
        <v>-1.8731883096354042E-4</v>
      </c>
      <c r="V83" s="54">
        <v>-3.4775921049477665E-5</v>
      </c>
      <c r="W83" s="53">
        <v>-1.8993629705796113E-4</v>
      </c>
      <c r="X83" s="53">
        <v>-2.3992464729476423E-4</v>
      </c>
      <c r="Y83" s="53">
        <v>-5.3827313165943208E-4</v>
      </c>
      <c r="Z83" s="31">
        <v>-5.344429446800707E-4</v>
      </c>
      <c r="AB83">
        <v>-6.0971999999999997E-3</v>
      </c>
      <c r="AC83">
        <v>-9.8489999999999992E-4</v>
      </c>
      <c r="AD83">
        <v>-1.0441999999999999E-3</v>
      </c>
      <c r="AE83">
        <v>-9.5762E-3</v>
      </c>
      <c r="AF83">
        <v>2.2503000000000002E-3</v>
      </c>
      <c r="AG83">
        <v>5.4990900000000002E-2</v>
      </c>
      <c r="AH83">
        <v>0</v>
      </c>
      <c r="AI83">
        <v>0</v>
      </c>
      <c r="AJ83">
        <v>0</v>
      </c>
      <c r="AK83">
        <v>0</v>
      </c>
      <c r="AL83">
        <v>0</v>
      </c>
      <c r="AM83">
        <v>0</v>
      </c>
      <c r="AN83">
        <v>0</v>
      </c>
      <c r="AO83">
        <v>0</v>
      </c>
      <c r="AP83">
        <v>0</v>
      </c>
      <c r="AQ83">
        <v>0</v>
      </c>
      <c r="AR83">
        <v>0</v>
      </c>
      <c r="AS83">
        <v>0</v>
      </c>
      <c r="AT83">
        <v>0</v>
      </c>
      <c r="AU83">
        <v>0</v>
      </c>
      <c r="AW83">
        <f t="shared" ca="1" si="15"/>
        <v>1.0318522100139902</v>
      </c>
      <c r="AY83">
        <f ca="1"/>
        <v>7.1631340180347336E-2</v>
      </c>
    </row>
    <row r="84" spans="2:51">
      <c r="B84" s="38" t="s">
        <v>82</v>
      </c>
      <c r="C84" s="40">
        <v>-0.16400000000000001</v>
      </c>
      <c r="D84" s="15">
        <v>5.5199999999999999E-2</v>
      </c>
      <c r="F84" s="51" t="s">
        <v>82</v>
      </c>
      <c r="G84" s="52">
        <v>-2.7017135655000519E-3</v>
      </c>
      <c r="H84" s="54">
        <v>-1.0591175689645284E-5</v>
      </c>
      <c r="I84" s="53">
        <v>1.4268037955538564E-4</v>
      </c>
      <c r="J84" s="54">
        <v>1.2696908242774404E-5</v>
      </c>
      <c r="K84" s="54">
        <v>7.5098762608697537E-5</v>
      </c>
      <c r="L84" s="53">
        <v>-2.2088884677257562E-4</v>
      </c>
      <c r="M84" s="53">
        <v>3.0482290449175284E-3</v>
      </c>
      <c r="N84" s="53">
        <v>5.7071485540523682E-4</v>
      </c>
      <c r="O84" s="53">
        <v>4.4310414624838389E-4</v>
      </c>
      <c r="P84" s="54">
        <v>-3.1438151005850862E-5</v>
      </c>
      <c r="Q84" s="53">
        <v>-1.5974887772570454E-4</v>
      </c>
      <c r="R84" s="54">
        <v>4.4434186386104499E-7</v>
      </c>
      <c r="S84" s="54">
        <v>2.634968827638781E-7</v>
      </c>
      <c r="T84" s="54">
        <v>-4.3645950464571353E-5</v>
      </c>
      <c r="U84" s="53">
        <v>1.566834008391931E-4</v>
      </c>
      <c r="V84" s="54">
        <v>-8.623477001836976E-5</v>
      </c>
      <c r="W84" s="54">
        <v>8.2442166260407878E-6</v>
      </c>
      <c r="X84" s="53">
        <v>9.4715294445160182E-4</v>
      </c>
      <c r="Y84" s="53">
        <v>4.8730284359929291E-4</v>
      </c>
      <c r="Z84" s="31">
        <v>-1.6659374132204974E-4</v>
      </c>
      <c r="AB84">
        <v>-1.22854E-2</v>
      </c>
      <c r="AC84">
        <v>-5.169E-3</v>
      </c>
      <c r="AD84">
        <v>-4.4777999999999997E-3</v>
      </c>
      <c r="AE84">
        <v>1.0956E-3</v>
      </c>
      <c r="AF84">
        <v>-2.4553000000000001E-3</v>
      </c>
      <c r="AG84">
        <v>-5.2491999999999999E-3</v>
      </c>
      <c r="AH84">
        <v>5.3080299999999997E-2</v>
      </c>
      <c r="AI84">
        <v>0</v>
      </c>
      <c r="AJ84">
        <v>0</v>
      </c>
      <c r="AK84">
        <v>0</v>
      </c>
      <c r="AL84">
        <v>0</v>
      </c>
      <c r="AM84">
        <v>0</v>
      </c>
      <c r="AN84">
        <v>0</v>
      </c>
      <c r="AO84">
        <v>0</v>
      </c>
      <c r="AP84">
        <v>0</v>
      </c>
      <c r="AQ84">
        <v>0</v>
      </c>
      <c r="AR84">
        <v>0</v>
      </c>
      <c r="AS84">
        <v>0</v>
      </c>
      <c r="AT84">
        <v>0</v>
      </c>
      <c r="AU84">
        <v>0</v>
      </c>
      <c r="AW84">
        <f t="shared" ca="1" si="15"/>
        <v>-2.2052894954088522</v>
      </c>
      <c r="AY84">
        <f ca="1"/>
        <v>-0.12341523368236494</v>
      </c>
    </row>
    <row r="85" spans="2:51">
      <c r="B85" s="38" t="s">
        <v>83</v>
      </c>
      <c r="C85" s="40">
        <v>3.9E-2</v>
      </c>
      <c r="D85" s="15">
        <v>6.2E-2</v>
      </c>
      <c r="F85" s="51" t="s">
        <v>83</v>
      </c>
      <c r="G85" s="52">
        <v>-1.8732934450166577E-3</v>
      </c>
      <c r="H85" s="54">
        <v>-2.3116575862859534E-5</v>
      </c>
      <c r="I85" s="54">
        <v>1.7194663389091915E-5</v>
      </c>
      <c r="J85" s="54">
        <v>-2.8567792332267666E-7</v>
      </c>
      <c r="K85" s="53">
        <v>1.7616508184726745E-4</v>
      </c>
      <c r="L85" s="53">
        <v>-1.6293728788847021E-4</v>
      </c>
      <c r="M85" s="53">
        <v>5.7071485540523682E-4</v>
      </c>
      <c r="N85" s="53">
        <v>3.8388827151097805E-3</v>
      </c>
      <c r="O85" s="53">
        <v>1.9788885753938665E-3</v>
      </c>
      <c r="P85" s="53">
        <v>-4.6209497994099974E-4</v>
      </c>
      <c r="Q85" s="53">
        <v>-9.7223796221904471E-4</v>
      </c>
      <c r="R85" s="54">
        <v>2.0676519699724461E-5</v>
      </c>
      <c r="S85" s="54">
        <v>-2.6965817270632117E-7</v>
      </c>
      <c r="T85" s="54">
        <v>4.4742549524674837E-7</v>
      </c>
      <c r="U85" s="54">
        <v>-6.4876879093333413E-5</v>
      </c>
      <c r="V85" s="54">
        <v>-5.4486886367084093E-5</v>
      </c>
      <c r="W85" s="54">
        <v>4.3113624420361173E-5</v>
      </c>
      <c r="X85" s="53">
        <v>1.0124384956609921E-4</v>
      </c>
      <c r="Y85" s="53">
        <v>-3.0388773118764784E-4</v>
      </c>
      <c r="Z85" s="31">
        <v>-3.791739019534168E-4</v>
      </c>
      <c r="AB85">
        <v>-8.5088000000000004E-3</v>
      </c>
      <c r="AC85">
        <v>-6.3360999999999999E-3</v>
      </c>
      <c r="AD85">
        <v>-4.9896000000000003E-3</v>
      </c>
      <c r="AE85">
        <v>-3.7905999999999999E-3</v>
      </c>
      <c r="AF85">
        <v>-1.8599999999999999E-4</v>
      </c>
      <c r="AG85">
        <v>-4.7137000000000004E-3</v>
      </c>
      <c r="AH85">
        <v>7.3346000000000001E-3</v>
      </c>
      <c r="AI85">
        <v>6.0101099999999998E-2</v>
      </c>
      <c r="AJ85">
        <v>0</v>
      </c>
      <c r="AK85">
        <v>0</v>
      </c>
      <c r="AL85">
        <v>0</v>
      </c>
      <c r="AM85">
        <v>0</v>
      </c>
      <c r="AN85">
        <v>0</v>
      </c>
      <c r="AO85">
        <v>0</v>
      </c>
      <c r="AP85">
        <v>0</v>
      </c>
      <c r="AQ85">
        <v>0</v>
      </c>
      <c r="AR85">
        <v>0</v>
      </c>
      <c r="AS85">
        <v>0</v>
      </c>
      <c r="AT85">
        <v>0</v>
      </c>
      <c r="AU85">
        <v>0</v>
      </c>
      <c r="AW85">
        <f t="shared" ca="1" si="15"/>
        <v>-0.8302819988018072</v>
      </c>
      <c r="AY85">
        <f ca="1"/>
        <v>-5.2193133513530915E-2</v>
      </c>
    </row>
    <row r="86" spans="2:51">
      <c r="B86" s="38" t="s">
        <v>84</v>
      </c>
      <c r="C86" s="40">
        <v>-0.06</v>
      </c>
      <c r="D86" s="15">
        <v>7.0400000000000004E-2</v>
      </c>
      <c r="F86" s="51" t="s">
        <v>84</v>
      </c>
      <c r="G86" s="52">
        <v>3.4841297487838395E-4</v>
      </c>
      <c r="H86" s="54">
        <v>1.7799684977691087E-5</v>
      </c>
      <c r="I86" s="54">
        <v>-1.3396709228566033E-5</v>
      </c>
      <c r="J86" s="54">
        <v>-1.4523045296842452E-5</v>
      </c>
      <c r="K86" s="53">
        <v>-1.5007858141826341E-4</v>
      </c>
      <c r="L86" s="53">
        <v>-2.2990594994900929E-4</v>
      </c>
      <c r="M86" s="53">
        <v>4.4310414624838389E-4</v>
      </c>
      <c r="N86" s="53">
        <v>1.9788885753938665E-3</v>
      </c>
      <c r="O86" s="53">
        <v>4.9605098629760154E-3</v>
      </c>
      <c r="P86" s="53">
        <v>-3.8131367481367563E-4</v>
      </c>
      <c r="Q86" s="53">
        <v>-6.4301490304640569E-4</v>
      </c>
      <c r="R86" s="54">
        <v>-3.7875633883791403E-5</v>
      </c>
      <c r="S86" s="54">
        <v>-6.6085955674455004E-7</v>
      </c>
      <c r="T86" s="53">
        <v>-2.8010348155232593E-4</v>
      </c>
      <c r="U86" s="53">
        <v>-1.8572438597906396E-4</v>
      </c>
      <c r="V86" s="54">
        <v>-9.4136601611828735E-5</v>
      </c>
      <c r="W86" s="53">
        <v>-4.4915879684755009E-4</v>
      </c>
      <c r="X86" s="53">
        <v>2.5380861562034193E-4</v>
      </c>
      <c r="Y86" s="53">
        <v>-2.1076076206605769E-4</v>
      </c>
      <c r="Z86" s="31">
        <v>-3.5259730964107126E-4</v>
      </c>
      <c r="AB86">
        <v>1.5926E-3</v>
      </c>
      <c r="AC86">
        <v>3.5389000000000002E-3</v>
      </c>
      <c r="AD86">
        <v>9.836999999999999E-4</v>
      </c>
      <c r="AE86">
        <v>-6.1120999999999997E-3</v>
      </c>
      <c r="AF86">
        <v>-2.3706000000000001E-3</v>
      </c>
      <c r="AG86">
        <v>-4.8912000000000001E-3</v>
      </c>
      <c r="AH86">
        <v>8.6183000000000006E-3</v>
      </c>
      <c r="AI86">
        <v>3.1796499999999998E-2</v>
      </c>
      <c r="AJ86">
        <v>6.1577399999999997E-2</v>
      </c>
      <c r="AK86">
        <v>0</v>
      </c>
      <c r="AL86">
        <v>0</v>
      </c>
      <c r="AM86">
        <v>0</v>
      </c>
      <c r="AN86">
        <v>0</v>
      </c>
      <c r="AO86">
        <v>0</v>
      </c>
      <c r="AP86">
        <v>0</v>
      </c>
      <c r="AQ86">
        <v>0</v>
      </c>
      <c r="AR86">
        <v>0</v>
      </c>
      <c r="AS86">
        <v>0</v>
      </c>
      <c r="AT86">
        <v>0</v>
      </c>
      <c r="AU86">
        <v>0</v>
      </c>
      <c r="AW86">
        <f t="shared" ca="1" si="15"/>
        <v>0.82714860420797598</v>
      </c>
      <c r="AY86">
        <f ca="1"/>
        <v>8.9566910972005559E-3</v>
      </c>
    </row>
    <row r="87" spans="2:51">
      <c r="B87" s="38" t="s">
        <v>85</v>
      </c>
      <c r="C87" s="40">
        <v>-0.189</v>
      </c>
      <c r="D87" s="15">
        <v>6.2899999999999998E-2</v>
      </c>
      <c r="F87" s="51" t="s">
        <v>85</v>
      </c>
      <c r="G87" s="52">
        <v>-2.374448612006684E-3</v>
      </c>
      <c r="H87" s="54">
        <v>-9.1861162332171665E-6</v>
      </c>
      <c r="I87" s="53">
        <v>-3.2549184985523411E-4</v>
      </c>
      <c r="J87" s="54">
        <v>-3.6764113991268851E-6</v>
      </c>
      <c r="K87" s="53">
        <v>4.2264310994588578E-4</v>
      </c>
      <c r="L87" s="53">
        <v>-1.5975465992464712E-4</v>
      </c>
      <c r="M87" s="54">
        <v>-3.1438151005850862E-5</v>
      </c>
      <c r="N87" s="53">
        <v>-4.6209497994099974E-4</v>
      </c>
      <c r="O87" s="53">
        <v>-3.8131367481367563E-4</v>
      </c>
      <c r="P87" s="53">
        <v>3.9560496937875583E-3</v>
      </c>
      <c r="Q87" s="53">
        <v>3.0949380925351143E-3</v>
      </c>
      <c r="R87" s="54">
        <v>1.3403430774106936E-5</v>
      </c>
      <c r="S87" s="54">
        <v>4.5518320872587253E-7</v>
      </c>
      <c r="T87" s="54">
        <v>-8.5878580290780129E-5</v>
      </c>
      <c r="U87" s="54">
        <v>7.7979522496160318E-5</v>
      </c>
      <c r="V87" s="54">
        <v>6.472250364777257E-5</v>
      </c>
      <c r="W87" s="54">
        <v>-5.284102548443461E-6</v>
      </c>
      <c r="X87" s="54">
        <v>1.5205011885285454E-5</v>
      </c>
      <c r="Y87" s="54">
        <v>-3.8936411463370064E-5</v>
      </c>
      <c r="Z87" s="55">
        <v>-2.7036320501517622E-5</v>
      </c>
      <c r="AB87">
        <v>-1.0783900000000001E-2</v>
      </c>
      <c r="AC87">
        <v>-4.5179E-3</v>
      </c>
      <c r="AD87">
        <v>-1.2966999999999999E-2</v>
      </c>
      <c r="AE87">
        <v>-7.2690000000000003E-3</v>
      </c>
      <c r="AF87">
        <v>2.3839E-3</v>
      </c>
      <c r="AG87">
        <v>-5.7958000000000003E-3</v>
      </c>
      <c r="AH87">
        <v>-4.9348999999999999E-3</v>
      </c>
      <c r="AI87">
        <v>-1.10367E-2</v>
      </c>
      <c r="AJ87">
        <v>-1.2579999999999999E-4</v>
      </c>
      <c r="AK87">
        <v>5.8453900000000003E-2</v>
      </c>
      <c r="AL87">
        <v>0</v>
      </c>
      <c r="AM87">
        <v>0</v>
      </c>
      <c r="AN87">
        <v>0</v>
      </c>
      <c r="AO87">
        <v>0</v>
      </c>
      <c r="AP87">
        <v>0</v>
      </c>
      <c r="AQ87">
        <v>0</v>
      </c>
      <c r="AR87">
        <v>0</v>
      </c>
      <c r="AS87">
        <v>0</v>
      </c>
      <c r="AT87">
        <v>0</v>
      </c>
      <c r="AU87">
        <v>0</v>
      </c>
      <c r="AW87">
        <f t="shared" ca="1" si="15"/>
        <v>-0.2160987210364472</v>
      </c>
      <c r="AY87">
        <f ca="1"/>
        <v>3.0619337593089609E-2</v>
      </c>
    </row>
    <row r="88" spans="2:51">
      <c r="B88" s="38" t="s">
        <v>86</v>
      </c>
      <c r="C88" s="40">
        <v>-0.245</v>
      </c>
      <c r="D88" s="15">
        <v>9.9900000000000003E-2</v>
      </c>
      <c r="F88" s="51" t="s">
        <v>86</v>
      </c>
      <c r="G88" s="52">
        <v>-1.1198969320507415E-3</v>
      </c>
      <c r="H88" s="54">
        <v>-1.9844342377919864E-5</v>
      </c>
      <c r="I88" s="53">
        <v>-2.1020498983232011E-4</v>
      </c>
      <c r="J88" s="54">
        <v>-1.6655856910259265E-5</v>
      </c>
      <c r="K88" s="53">
        <v>1.1488437535250623E-3</v>
      </c>
      <c r="L88" s="54">
        <v>-7.8533276798756023E-5</v>
      </c>
      <c r="M88" s="53">
        <v>-1.5974887772570454E-4</v>
      </c>
      <c r="N88" s="53">
        <v>-9.7223796221904471E-4</v>
      </c>
      <c r="O88" s="53">
        <v>-6.4301490304640569E-4</v>
      </c>
      <c r="P88" s="53">
        <v>3.0949380925351143E-3</v>
      </c>
      <c r="Q88" s="53">
        <v>9.9844060371133969E-3</v>
      </c>
      <c r="R88" s="54">
        <v>4.9042633273322159E-7</v>
      </c>
      <c r="S88" s="54">
        <v>-2.623606192773351E-7</v>
      </c>
      <c r="T88" s="53">
        <v>-1.2994061113793992E-4</v>
      </c>
      <c r="U88" s="53">
        <v>-1.5585088311040378E-4</v>
      </c>
      <c r="V88" s="54">
        <v>9.8841488129284535E-5</v>
      </c>
      <c r="W88" s="53">
        <v>-5.3811620528735271E-4</v>
      </c>
      <c r="X88" s="53">
        <v>-2.8176022013015226E-4</v>
      </c>
      <c r="Y88" s="53">
        <v>-7.6570443194296119E-4</v>
      </c>
      <c r="Z88" s="31">
        <v>-5.9727948041449425E-4</v>
      </c>
      <c r="AB88">
        <v>-5.0962000000000004E-3</v>
      </c>
      <c r="AC88">
        <v>-4.8425999999999999E-3</v>
      </c>
      <c r="AD88">
        <v>-7.4977000000000004E-3</v>
      </c>
      <c r="AE88">
        <v>-1.0653599999999999E-2</v>
      </c>
      <c r="AF88">
        <v>1.7974899999999999E-2</v>
      </c>
      <c r="AG88">
        <v>-4.8129999999999996E-3</v>
      </c>
      <c r="AH88">
        <v>-4.7225000000000001E-3</v>
      </c>
      <c r="AI88">
        <v>-1.8411400000000001E-2</v>
      </c>
      <c r="AJ88">
        <v>-4.4329999999999999E-4</v>
      </c>
      <c r="AK88">
        <v>4.3473400000000002E-2</v>
      </c>
      <c r="AL88">
        <v>8.4635600000000005E-2</v>
      </c>
      <c r="AM88">
        <v>0</v>
      </c>
      <c r="AN88">
        <v>0</v>
      </c>
      <c r="AO88">
        <v>0</v>
      </c>
      <c r="AP88">
        <v>0</v>
      </c>
      <c r="AQ88">
        <v>0</v>
      </c>
      <c r="AR88">
        <v>0</v>
      </c>
      <c r="AS88">
        <v>0</v>
      </c>
      <c r="AT88">
        <v>0</v>
      </c>
      <c r="AU88">
        <v>0</v>
      </c>
      <c r="AW88">
        <f t="shared" ca="1" si="15"/>
        <v>0.32574978836659668</v>
      </c>
      <c r="AY88">
        <f ca="1"/>
        <v>6.5280697419469777E-2</v>
      </c>
    </row>
    <row r="89" spans="2:51">
      <c r="B89" s="38" t="s">
        <v>87</v>
      </c>
      <c r="C89" s="40">
        <v>-7.0000000000000001E-3</v>
      </c>
      <c r="D89" s="15">
        <v>5.1000000000000004E-3</v>
      </c>
      <c r="F89" s="51" t="s">
        <v>87</v>
      </c>
      <c r="G89" s="52">
        <v>-5.4834094531800521E-4</v>
      </c>
      <c r="H89" s="54">
        <v>-2.5161315146748579E-6</v>
      </c>
      <c r="I89" s="54">
        <v>-1.3562073471464369E-5</v>
      </c>
      <c r="J89" s="54">
        <v>-1.6382639813830119E-6</v>
      </c>
      <c r="K89" s="54">
        <v>3.2255274361869705E-5</v>
      </c>
      <c r="L89" s="54">
        <v>9.2249307734985885E-7</v>
      </c>
      <c r="M89" s="54">
        <v>4.4434186386104499E-7</v>
      </c>
      <c r="N89" s="54">
        <v>2.0676519699724461E-5</v>
      </c>
      <c r="O89" s="54">
        <v>-3.7875633883791403E-5</v>
      </c>
      <c r="P89" s="54">
        <v>1.3403430774106936E-5</v>
      </c>
      <c r="Q89" s="54">
        <v>4.9042633273322159E-7</v>
      </c>
      <c r="R89" s="54">
        <v>2.5989567428266904E-5</v>
      </c>
      <c r="S89" s="54">
        <v>-3.9424020829183782E-8</v>
      </c>
      <c r="T89" s="54">
        <v>-1.9931458024421727E-5</v>
      </c>
      <c r="U89" s="54">
        <v>-1.4320898822809816E-5</v>
      </c>
      <c r="V89" s="54">
        <v>-2.2361612683645922E-5</v>
      </c>
      <c r="W89" s="54">
        <v>4.9069940724977789E-5</v>
      </c>
      <c r="X89" s="54">
        <v>-5.060324113033724E-6</v>
      </c>
      <c r="Y89" s="54">
        <v>6.0504196508312391E-5</v>
      </c>
      <c r="Z89" s="55">
        <v>5.3743189549914207E-5</v>
      </c>
      <c r="AB89">
        <v>-2.5025999999999998E-3</v>
      </c>
      <c r="AC89">
        <v>-1.1156E-3</v>
      </c>
      <c r="AD89">
        <v>-1.7587E-3</v>
      </c>
      <c r="AE89">
        <v>-1.8802999999999999E-3</v>
      </c>
      <c r="AF89">
        <v>-4.7330000000000001E-4</v>
      </c>
      <c r="AG89">
        <v>-6.2220000000000005E-4</v>
      </c>
      <c r="AH89">
        <v>-8.7250000000000001E-4</v>
      </c>
      <c r="AI89">
        <v>-3.3629999999999999E-4</v>
      </c>
      <c r="AJ89">
        <v>-4.1669999999999999E-4</v>
      </c>
      <c r="AK89">
        <v>-1.1230000000000001E-3</v>
      </c>
      <c r="AL89">
        <v>-8.3200000000000003E-5</v>
      </c>
      <c r="AM89">
        <v>2.9876999999999998E-3</v>
      </c>
      <c r="AN89">
        <v>0</v>
      </c>
      <c r="AO89">
        <v>0</v>
      </c>
      <c r="AP89">
        <v>0</v>
      </c>
      <c r="AQ89">
        <v>0</v>
      </c>
      <c r="AR89">
        <v>0</v>
      </c>
      <c r="AS89">
        <v>0</v>
      </c>
      <c r="AT89">
        <v>0</v>
      </c>
      <c r="AU89">
        <v>0</v>
      </c>
      <c r="AW89">
        <f t="shared" ca="1" si="15"/>
        <v>-0.24693822591733203</v>
      </c>
      <c r="AY89">
        <f ca="1"/>
        <v>6.9308875262095162E-3</v>
      </c>
    </row>
    <row r="90" spans="2:51">
      <c r="B90" s="38" t="s">
        <v>38</v>
      </c>
      <c r="C90" s="40">
        <v>0</v>
      </c>
      <c r="D90" s="15">
        <v>2.0000000000000001E-4</v>
      </c>
      <c r="F90" s="51" t="s">
        <v>38</v>
      </c>
      <c r="G90" s="56">
        <v>-9.9729784416620161E-7</v>
      </c>
      <c r="H90" s="54">
        <v>-5.0112572510894389E-7</v>
      </c>
      <c r="I90" s="54">
        <v>1.7905568335644544E-6</v>
      </c>
      <c r="J90" s="54">
        <v>-1.1889118327315372E-7</v>
      </c>
      <c r="K90" s="54">
        <v>-9.4678107516572829E-7</v>
      </c>
      <c r="L90" s="54">
        <v>2.5692238906700093E-7</v>
      </c>
      <c r="M90" s="54">
        <v>2.634968827638781E-7</v>
      </c>
      <c r="N90" s="54">
        <v>-2.6965817270632117E-7</v>
      </c>
      <c r="O90" s="54">
        <v>-6.6085955674455004E-7</v>
      </c>
      <c r="P90" s="54">
        <v>4.5518320872587253E-7</v>
      </c>
      <c r="Q90" s="54">
        <v>-2.623606192773351E-7</v>
      </c>
      <c r="R90" s="54">
        <v>-3.9424020829183782E-8</v>
      </c>
      <c r="S90" s="54">
        <v>5.0126603598774101E-8</v>
      </c>
      <c r="T90" s="54">
        <v>-7.3427038227937109E-7</v>
      </c>
      <c r="U90" s="54">
        <v>8.5519496356203953E-7</v>
      </c>
      <c r="V90" s="54">
        <v>2.2644836978087243E-7</v>
      </c>
      <c r="W90" s="54">
        <v>1.9512516245637798E-6</v>
      </c>
      <c r="X90" s="54">
        <v>1.777209054626353E-6</v>
      </c>
      <c r="Y90" s="54">
        <v>1.9307168740620812E-6</v>
      </c>
      <c r="Z90" s="55">
        <v>2.2971922490686507E-6</v>
      </c>
      <c r="AB90" s="67">
        <v>-4.5399999999999997E-6</v>
      </c>
      <c r="AC90">
        <v>-8.8700000000000001E-5</v>
      </c>
      <c r="AD90">
        <v>2.37E-5</v>
      </c>
      <c r="AE90">
        <v>-5.4700000000000001E-5</v>
      </c>
      <c r="AF90">
        <v>-2.6599999999999999E-5</v>
      </c>
      <c r="AG90" s="67">
        <v>-5.4099999999999999E-6</v>
      </c>
      <c r="AH90" s="67">
        <v>-3.36E-6</v>
      </c>
      <c r="AI90">
        <v>-1.6099999999999998E-5</v>
      </c>
      <c r="AJ90" s="67">
        <v>-4.0099999999999997E-6</v>
      </c>
      <c r="AK90" s="67">
        <v>-4.2300000000000002E-6</v>
      </c>
      <c r="AL90" s="67">
        <v>-9.4299999999999995E-6</v>
      </c>
      <c r="AM90">
        <v>-8.1100000000000006E-5</v>
      </c>
      <c r="AN90">
        <v>1.76E-4</v>
      </c>
      <c r="AO90">
        <v>0</v>
      </c>
      <c r="AP90">
        <v>0</v>
      </c>
      <c r="AQ90">
        <v>0</v>
      </c>
      <c r="AR90">
        <v>0</v>
      </c>
      <c r="AS90">
        <v>0</v>
      </c>
      <c r="AT90">
        <v>0</v>
      </c>
      <c r="AU90">
        <v>0</v>
      </c>
      <c r="AW90">
        <f t="shared" ca="1" si="15"/>
        <v>-0.3687068919629925</v>
      </c>
      <c r="AY90">
        <f ca="1"/>
        <v>2.9035433698924862E-4</v>
      </c>
    </row>
    <row r="91" spans="2:51">
      <c r="B91" s="38" t="s">
        <v>45</v>
      </c>
      <c r="C91" s="40">
        <v>0.29499999999999998</v>
      </c>
      <c r="D91" s="15">
        <v>5.6500000000000002E-2</v>
      </c>
      <c r="F91" s="51" t="s">
        <v>45</v>
      </c>
      <c r="G91" s="52">
        <v>-1.405706477046932E-3</v>
      </c>
      <c r="H91" s="54">
        <v>-3.2695243224123694E-5</v>
      </c>
      <c r="I91" s="53">
        <v>1.1805694616165998E-4</v>
      </c>
      <c r="J91" s="54">
        <v>7.9394328826947824E-6</v>
      </c>
      <c r="K91" s="53">
        <v>-2.4900238395611458E-4</v>
      </c>
      <c r="L91" s="53">
        <v>5.1117278430566626E-4</v>
      </c>
      <c r="M91" s="54">
        <v>-4.3645950464571353E-5</v>
      </c>
      <c r="N91" s="54">
        <v>4.4742549524674837E-7</v>
      </c>
      <c r="O91" s="53">
        <v>-2.8010348155232593E-4</v>
      </c>
      <c r="P91" s="54">
        <v>-8.5878580290780129E-5</v>
      </c>
      <c r="Q91" s="53">
        <v>-1.2994061113793992E-4</v>
      </c>
      <c r="R91" s="54">
        <v>-1.9931458024421727E-5</v>
      </c>
      <c r="S91" s="54">
        <v>-7.3427038227937109E-7</v>
      </c>
      <c r="T91" s="53">
        <v>3.1913543287284182E-3</v>
      </c>
      <c r="U91" s="53">
        <v>-4.2025229199441305E-4</v>
      </c>
      <c r="V91" s="54">
        <v>-7.1584585136342792E-5</v>
      </c>
      <c r="W91" s="53">
        <v>4.0206731688634273E-4</v>
      </c>
      <c r="X91" s="53">
        <v>3.9172116929967003E-4</v>
      </c>
      <c r="Y91" s="53">
        <v>1.921068302690467E-4</v>
      </c>
      <c r="Z91" s="55">
        <v>7.1845690313400085E-5</v>
      </c>
      <c r="AB91">
        <v>-6.4156999999999999E-3</v>
      </c>
      <c r="AC91">
        <v>-7.4434000000000002E-3</v>
      </c>
      <c r="AD91">
        <v>-1.9127E-3</v>
      </c>
      <c r="AE91">
        <v>1.2122999999999999E-3</v>
      </c>
      <c r="AF91">
        <v>-7.0223000000000004E-3</v>
      </c>
      <c r="AG91">
        <v>8.8917000000000006E-3</v>
      </c>
      <c r="AH91">
        <v>-2.6638999999999999E-3</v>
      </c>
      <c r="AI91">
        <v>-7.672E-4</v>
      </c>
      <c r="AJ91">
        <v>-2.5975999999999998E-3</v>
      </c>
      <c r="AK91">
        <v>-2.7089000000000002E-3</v>
      </c>
      <c r="AL91">
        <v>6.9430000000000002E-4</v>
      </c>
      <c r="AM91">
        <v>-1.66737E-2</v>
      </c>
      <c r="AN91">
        <v>-1.61391E-2</v>
      </c>
      <c r="AO91">
        <v>4.89816E-2</v>
      </c>
      <c r="AP91">
        <v>0</v>
      </c>
      <c r="AQ91">
        <v>0</v>
      </c>
      <c r="AR91">
        <v>0</v>
      </c>
      <c r="AS91">
        <v>0</v>
      </c>
      <c r="AT91">
        <v>0</v>
      </c>
      <c r="AU91">
        <v>0</v>
      </c>
      <c r="AW91">
        <f t="shared" ca="1" si="15"/>
        <v>0.2193316096804788</v>
      </c>
      <c r="AY91">
        <f ca="1"/>
        <v>4.8745759329030927E-2</v>
      </c>
    </row>
    <row r="92" spans="2:51">
      <c r="B92" s="38" t="s">
        <v>88</v>
      </c>
      <c r="C92" s="40">
        <v>0.14799999999999999</v>
      </c>
      <c r="D92" s="15">
        <v>5.5899999999999998E-2</v>
      </c>
      <c r="F92" s="51" t="s">
        <v>88</v>
      </c>
      <c r="G92" s="52">
        <v>-8.3726738359838607E-4</v>
      </c>
      <c r="H92" s="54">
        <v>-2.9096827562493096E-5</v>
      </c>
      <c r="I92" s="53">
        <v>1.0761549129554149E-4</v>
      </c>
      <c r="J92" s="54">
        <v>-1.7472492832509292E-6</v>
      </c>
      <c r="K92" s="53">
        <v>-3.7070794421809809E-4</v>
      </c>
      <c r="L92" s="53">
        <v>-1.8731883096354042E-4</v>
      </c>
      <c r="M92" s="53">
        <v>1.566834008391931E-4</v>
      </c>
      <c r="N92" s="54">
        <v>-6.4876879093333413E-5</v>
      </c>
      <c r="O92" s="53">
        <v>-1.8572438597906396E-4</v>
      </c>
      <c r="P92" s="54">
        <v>7.7979522496160318E-5</v>
      </c>
      <c r="Q92" s="53">
        <v>-1.5585088311040378E-4</v>
      </c>
      <c r="R92" s="54">
        <v>-1.4320898822809816E-5</v>
      </c>
      <c r="S92" s="54">
        <v>8.5519496356203953E-7</v>
      </c>
      <c r="T92" s="53">
        <v>-4.2025229199441305E-4</v>
      </c>
      <c r="U92" s="53">
        <v>3.1197954266310841E-3</v>
      </c>
      <c r="V92" s="53">
        <v>-1.2203662211569638E-4</v>
      </c>
      <c r="W92" s="54">
        <v>-5.9000555716673054E-5</v>
      </c>
      <c r="X92" s="54">
        <v>-9.4244034299575998E-5</v>
      </c>
      <c r="Y92" s="53">
        <v>-2.3704030988777342E-4</v>
      </c>
      <c r="Z92" s="55">
        <v>-2.723893231594589E-5</v>
      </c>
      <c r="AB92">
        <v>-3.8221000000000002E-3</v>
      </c>
      <c r="AC92">
        <v>-6.1142999999999996E-3</v>
      </c>
      <c r="AD92">
        <v>-5.5150000000000002E-4</v>
      </c>
      <c r="AE92">
        <v>-2.2491999999999998E-3</v>
      </c>
      <c r="AF92">
        <v>-8.5760999999999997E-3</v>
      </c>
      <c r="AG92">
        <v>-4.0396E-3</v>
      </c>
      <c r="AH92">
        <v>7.3800000000000005E-4</v>
      </c>
      <c r="AI92">
        <v>-2.8861999999999998E-3</v>
      </c>
      <c r="AJ92">
        <v>-2.1137E-3</v>
      </c>
      <c r="AK92">
        <v>-7.8370000000000002E-4</v>
      </c>
      <c r="AL92">
        <v>-1.4059999999999999E-3</v>
      </c>
      <c r="AM92">
        <v>-1.4955700000000001E-2</v>
      </c>
      <c r="AN92">
        <v>-7.6524999999999996E-3</v>
      </c>
      <c r="AO92">
        <v>-1.82195E-2</v>
      </c>
      <c r="AP92">
        <v>4.8401E-2</v>
      </c>
      <c r="AQ92">
        <v>0</v>
      </c>
      <c r="AR92">
        <v>0</v>
      </c>
      <c r="AS92">
        <v>0</v>
      </c>
      <c r="AT92">
        <v>0</v>
      </c>
      <c r="AU92">
        <v>0</v>
      </c>
      <c r="AW92">
        <f t="shared" ca="1" si="15"/>
        <v>-0.26522735641520451</v>
      </c>
      <c r="AY92">
        <f ca="1"/>
        <v>5.9884449403678451E-3</v>
      </c>
    </row>
    <row r="93" spans="2:51">
      <c r="B93" s="38" t="s">
        <v>89</v>
      </c>
      <c r="C93" s="40">
        <v>0.13900000000000001</v>
      </c>
      <c r="D93" s="15">
        <v>4.1000000000000002E-2</v>
      </c>
      <c r="F93" s="51" t="s">
        <v>89</v>
      </c>
      <c r="G93" s="52">
        <v>5.642480814318188E-4</v>
      </c>
      <c r="H93" s="54">
        <v>-8.0796182001356714E-6</v>
      </c>
      <c r="I93" s="54">
        <v>5.2301940348749036E-5</v>
      </c>
      <c r="J93" s="54">
        <v>-9.9616112846512797E-6</v>
      </c>
      <c r="K93" s="53">
        <v>1.2569813078763304E-4</v>
      </c>
      <c r="L93" s="54">
        <v>-3.4775921049477665E-5</v>
      </c>
      <c r="M93" s="54">
        <v>-8.623477001836976E-5</v>
      </c>
      <c r="N93" s="54">
        <v>-5.4486886367084093E-5</v>
      </c>
      <c r="O93" s="54">
        <v>-9.4136601611828735E-5</v>
      </c>
      <c r="P93" s="54">
        <v>6.472250364777257E-5</v>
      </c>
      <c r="Q93" s="54">
        <v>9.8841488129284535E-5</v>
      </c>
      <c r="R93" s="54">
        <v>-2.2361612683645922E-5</v>
      </c>
      <c r="S93" s="54">
        <v>2.2644836978087243E-7</v>
      </c>
      <c r="T93" s="54">
        <v>-7.1584585136342792E-5</v>
      </c>
      <c r="U93" s="53">
        <v>-1.2203662211569638E-4</v>
      </c>
      <c r="V93" s="53">
        <v>1.6828033587073905E-3</v>
      </c>
      <c r="W93" s="53">
        <v>1.7903723412805142E-4</v>
      </c>
      <c r="X93" s="53">
        <v>-1.0093550143610161E-4</v>
      </c>
      <c r="Y93" s="54">
        <v>-7.810539933661091E-5</v>
      </c>
      <c r="Z93" s="31">
        <v>-1.5919324428062E-4</v>
      </c>
      <c r="AB93">
        <v>2.5481000000000002E-3</v>
      </c>
      <c r="AC93">
        <v>-7.226E-4</v>
      </c>
      <c r="AD93">
        <v>2.3590999999999998E-3</v>
      </c>
      <c r="AE93">
        <v>-3.4808E-3</v>
      </c>
      <c r="AF93">
        <v>3.0955000000000002E-3</v>
      </c>
      <c r="AG93">
        <v>-1.0508E-3</v>
      </c>
      <c r="AH93">
        <v>-7.9509999999999997E-4</v>
      </c>
      <c r="AI93">
        <v>-6.2149999999999998E-4</v>
      </c>
      <c r="AJ93">
        <v>-1.4683999999999999E-3</v>
      </c>
      <c r="AK93">
        <v>1.1938999999999999E-3</v>
      </c>
      <c r="AL93">
        <v>-4.6690000000000002E-4</v>
      </c>
      <c r="AM93">
        <v>-6.2215999999999999E-3</v>
      </c>
      <c r="AN93">
        <v>-2.947E-3</v>
      </c>
      <c r="AO93">
        <v>-3.5718E-3</v>
      </c>
      <c r="AP93">
        <v>-5.8596000000000004E-3</v>
      </c>
      <c r="AQ93">
        <v>3.9310499999999998E-2</v>
      </c>
      <c r="AR93">
        <v>0</v>
      </c>
      <c r="AS93">
        <v>0</v>
      </c>
      <c r="AT93">
        <v>0</v>
      </c>
      <c r="AU93">
        <v>0</v>
      </c>
      <c r="AW93">
        <f t="shared" ca="1" si="15"/>
        <v>0.57523845187618383</v>
      </c>
      <c r="AY93">
        <f ca="1"/>
        <v>3.3638738190449075E-2</v>
      </c>
    </row>
    <row r="94" spans="2:51">
      <c r="B94" s="38" t="s">
        <v>67</v>
      </c>
      <c r="C94" s="40">
        <v>-0.26200000000000001</v>
      </c>
      <c r="D94" s="15">
        <v>8.2100000000000006E-2</v>
      </c>
      <c r="F94" s="51" t="s">
        <v>67</v>
      </c>
      <c r="G94" s="52">
        <v>-5.067470637084028E-3</v>
      </c>
      <c r="H94" s="54">
        <v>-1.0626252030666234E-5</v>
      </c>
      <c r="I94" s="54">
        <v>4.9409841972618077E-6</v>
      </c>
      <c r="J94" s="54">
        <v>-1.3688432801789076E-5</v>
      </c>
      <c r="K94" s="54">
        <v>-6.9126922315328619E-5</v>
      </c>
      <c r="L94" s="53">
        <v>-1.8993629705796113E-4</v>
      </c>
      <c r="M94" s="54">
        <v>8.2442166260407878E-6</v>
      </c>
      <c r="N94" s="54">
        <v>4.3113624420361173E-5</v>
      </c>
      <c r="O94" s="53">
        <v>-4.4915879684755009E-4</v>
      </c>
      <c r="P94" s="54">
        <v>-5.284102548443461E-6</v>
      </c>
      <c r="Q94" s="53">
        <v>-5.3811620528735271E-4</v>
      </c>
      <c r="R94" s="54">
        <v>4.9069940724977789E-5</v>
      </c>
      <c r="S94" s="54">
        <v>1.9512516245637798E-6</v>
      </c>
      <c r="T94" s="53">
        <v>4.0206731688634273E-4</v>
      </c>
      <c r="U94" s="54">
        <v>-5.9000555716673054E-5</v>
      </c>
      <c r="V94" s="53">
        <v>1.7903723412805142E-4</v>
      </c>
      <c r="W94" s="53">
        <v>6.7322110533965746E-3</v>
      </c>
      <c r="X94" s="53">
        <v>4.1444012981015198E-3</v>
      </c>
      <c r="Y94" s="53">
        <v>4.3886445359049677E-3</v>
      </c>
      <c r="Z94" s="31">
        <v>4.3140562189950427E-3</v>
      </c>
      <c r="AB94">
        <v>-2.3069300000000001E-2</v>
      </c>
      <c r="AC94">
        <v>-8.0888000000000002E-3</v>
      </c>
      <c r="AD94">
        <v>-1.3382399999999999E-2</v>
      </c>
      <c r="AE94">
        <v>-1.6255700000000001E-2</v>
      </c>
      <c r="AF94">
        <v>-1.04653E-2</v>
      </c>
      <c r="AG94">
        <v>-8.8144999999999994E-3</v>
      </c>
      <c r="AH94">
        <v>-8.1209000000000003E-3</v>
      </c>
      <c r="AI94">
        <v>-5.2703000000000003E-3</v>
      </c>
      <c r="AJ94">
        <v>-4.8910999999999998E-3</v>
      </c>
      <c r="AK94">
        <v>-1.21E-2</v>
      </c>
      <c r="AL94">
        <v>-5.1526000000000002E-3</v>
      </c>
      <c r="AM94">
        <v>-3.5859799999999997E-2</v>
      </c>
      <c r="AN94">
        <v>-1.6533300000000001E-2</v>
      </c>
      <c r="AO94">
        <v>-1.51393E-2</v>
      </c>
      <c r="AP94">
        <v>-2.77034E-2</v>
      </c>
      <c r="AQ94">
        <v>-6.6661999999999997E-3</v>
      </c>
      <c r="AR94">
        <v>5.1096200000000001E-2</v>
      </c>
      <c r="AS94">
        <v>0</v>
      </c>
      <c r="AT94">
        <v>0</v>
      </c>
      <c r="AU94">
        <v>0</v>
      </c>
      <c r="AW94">
        <f t="shared" ca="1" si="15"/>
        <v>2.3417876156502713</v>
      </c>
      <c r="AY94">
        <f ca="1"/>
        <v>0.19460459297041005</v>
      </c>
    </row>
    <row r="95" spans="2:51">
      <c r="B95" s="38" t="s">
        <v>68</v>
      </c>
      <c r="C95" s="40">
        <v>1.0999999999999999E-2</v>
      </c>
      <c r="D95" s="15">
        <v>8.6400000000000005E-2</v>
      </c>
      <c r="F95" s="51" t="s">
        <v>68</v>
      </c>
      <c r="G95" s="52">
        <v>-4.2889346275956624E-3</v>
      </c>
      <c r="H95" s="54">
        <v>2.4404315323644482E-6</v>
      </c>
      <c r="I95" s="53">
        <v>-1.3932114157934195E-4</v>
      </c>
      <c r="J95" s="54">
        <v>-1.2126302908423573E-5</v>
      </c>
      <c r="K95" s="54">
        <v>4.7227821440386605E-5</v>
      </c>
      <c r="L95" s="53">
        <v>-2.3992464729476423E-4</v>
      </c>
      <c r="M95" s="53">
        <v>9.4715294445160182E-4</v>
      </c>
      <c r="N95" s="53">
        <v>1.0124384956609921E-4</v>
      </c>
      <c r="O95" s="53">
        <v>2.5380861562034193E-4</v>
      </c>
      <c r="P95" s="54">
        <v>1.5205011885285454E-5</v>
      </c>
      <c r="Q95" s="53">
        <v>-2.8176022013015226E-4</v>
      </c>
      <c r="R95" s="54">
        <v>-5.060324113033724E-6</v>
      </c>
      <c r="S95" s="54">
        <v>1.777209054626353E-6</v>
      </c>
      <c r="T95" s="53">
        <v>3.9172116929967003E-4</v>
      </c>
      <c r="U95" s="54">
        <v>-9.4244034299575998E-5</v>
      </c>
      <c r="V95" s="53">
        <v>-1.0093550143610161E-4</v>
      </c>
      <c r="W95" s="53">
        <v>4.1444012981015198E-3</v>
      </c>
      <c r="X95" s="53">
        <v>7.4703277254377773E-3</v>
      </c>
      <c r="Y95" s="53">
        <v>4.4212822048730338E-3</v>
      </c>
      <c r="Z95" s="31">
        <v>4.139838634646521E-3</v>
      </c>
      <c r="AB95">
        <v>-1.9520200000000001E-2</v>
      </c>
      <c r="AC95">
        <v>-4.8478000000000002E-3</v>
      </c>
      <c r="AD95">
        <v>-1.39864E-2</v>
      </c>
      <c r="AE95">
        <v>-1.43701E-2</v>
      </c>
      <c r="AF95">
        <v>-7.1862999999999996E-3</v>
      </c>
      <c r="AG95">
        <v>-9.0895000000000004E-3</v>
      </c>
      <c r="AH95">
        <v>1.07928E-2</v>
      </c>
      <c r="AI95">
        <v>-5.7305000000000004E-3</v>
      </c>
      <c r="AJ95">
        <v>4.0902999999999998E-3</v>
      </c>
      <c r="AK95">
        <v>-9.3755000000000002E-3</v>
      </c>
      <c r="AL95">
        <v>-2.6067999999999998E-3</v>
      </c>
      <c r="AM95">
        <v>-4.0682000000000003E-2</v>
      </c>
      <c r="AN95">
        <v>-1.61397E-2</v>
      </c>
      <c r="AO95">
        <v>-1.38359E-2</v>
      </c>
      <c r="AP95">
        <v>-2.78458E-2</v>
      </c>
      <c r="AQ95">
        <v>-1.4E-2</v>
      </c>
      <c r="AR95">
        <v>4.4042999999999999E-3</v>
      </c>
      <c r="AS95">
        <v>5.6307999999999997E-2</v>
      </c>
      <c r="AT95">
        <v>0</v>
      </c>
      <c r="AU95">
        <v>0</v>
      </c>
      <c r="AW95">
        <f t="shared" ca="1" si="15"/>
        <v>-0.64616859014873906</v>
      </c>
      <c r="AY95">
        <f ca="1"/>
        <v>3.829409844410922E-3</v>
      </c>
    </row>
    <row r="96" spans="2:51">
      <c r="B96" s="38" t="s">
        <v>69</v>
      </c>
      <c r="C96" s="40">
        <v>-5.2999999999999999E-2</v>
      </c>
      <c r="D96" s="15">
        <v>9.3100000000000002E-2</v>
      </c>
      <c r="F96" s="51" t="s">
        <v>69</v>
      </c>
      <c r="G96" s="52">
        <v>-5.7056684135974355E-3</v>
      </c>
      <c r="H96" s="54">
        <v>4.2810959485772726E-5</v>
      </c>
      <c r="I96" s="53">
        <v>3.6415864604120274E-4</v>
      </c>
      <c r="J96" s="54">
        <v>-3.0321694396484544E-5</v>
      </c>
      <c r="K96" s="53">
        <v>-1.2656656230369205E-4</v>
      </c>
      <c r="L96" s="53">
        <v>-5.3827313165943208E-4</v>
      </c>
      <c r="M96" s="53">
        <v>4.8730284359929291E-4</v>
      </c>
      <c r="N96" s="53">
        <v>-3.0388773118764784E-4</v>
      </c>
      <c r="O96" s="53">
        <v>-2.1076076206605769E-4</v>
      </c>
      <c r="P96" s="54">
        <v>-3.8936411463370064E-5</v>
      </c>
      <c r="Q96" s="53">
        <v>-7.6570443194296119E-4</v>
      </c>
      <c r="R96" s="54">
        <v>6.0504196508312391E-5</v>
      </c>
      <c r="S96" s="54">
        <v>1.9307168740620812E-6</v>
      </c>
      <c r="T96" s="53">
        <v>1.921068302690467E-4</v>
      </c>
      <c r="U96" s="53">
        <v>-2.3704030988777342E-4</v>
      </c>
      <c r="V96" s="54">
        <v>-7.810539933661091E-5</v>
      </c>
      <c r="W96" s="53">
        <v>4.3886445359049677E-3</v>
      </c>
      <c r="X96" s="53">
        <v>4.4212822048730338E-3</v>
      </c>
      <c r="Y96" s="53">
        <v>8.669643724226489E-3</v>
      </c>
      <c r="Z96" s="31">
        <v>4.6317410006812615E-3</v>
      </c>
      <c r="AB96">
        <v>-2.5981400000000002E-2</v>
      </c>
      <c r="AC96">
        <v>4.5689999999999999E-4</v>
      </c>
      <c r="AD96">
        <v>-6.9695E-3</v>
      </c>
      <c r="AE96">
        <v>-2.4099700000000002E-2</v>
      </c>
      <c r="AF96">
        <v>-1.08769E-2</v>
      </c>
      <c r="AG96">
        <v>-1.6576400000000002E-2</v>
      </c>
      <c r="AH96">
        <v>1.0295E-3</v>
      </c>
      <c r="AI96">
        <v>-1.21797E-2</v>
      </c>
      <c r="AJ96">
        <v>-6.3579999999999995E-4</v>
      </c>
      <c r="AK96">
        <v>-1.3381000000000001E-2</v>
      </c>
      <c r="AL96">
        <v>-8.6418999999999992E-3</v>
      </c>
      <c r="AM96">
        <v>-3.2215100000000003E-2</v>
      </c>
      <c r="AN96">
        <v>-1.49146E-2</v>
      </c>
      <c r="AO96">
        <v>-1.43471E-2</v>
      </c>
      <c r="AP96">
        <v>-3.0413099999999998E-2</v>
      </c>
      <c r="AQ96">
        <v>-1.35421E-2</v>
      </c>
      <c r="AR96">
        <v>4.5430999999999996E-3</v>
      </c>
      <c r="AS96">
        <v>3.7271000000000001E-3</v>
      </c>
      <c r="AT96">
        <v>6.2926899999999994E-2</v>
      </c>
      <c r="AU96">
        <v>0</v>
      </c>
      <c r="AW96">
        <f t="shared" ca="1" si="15"/>
        <v>0.71331906339514872</v>
      </c>
      <c r="AY96">
        <f ca="1"/>
        <v>8.6284295579727305E-2</v>
      </c>
    </row>
    <row r="97" spans="2:51" ht="17" thickBot="1">
      <c r="B97" s="38" t="s">
        <v>70</v>
      </c>
      <c r="C97" s="40">
        <v>-0.19</v>
      </c>
      <c r="D97" s="15">
        <v>9.5000000000000001E-2</v>
      </c>
      <c r="F97" s="57" t="s">
        <v>70</v>
      </c>
      <c r="G97" s="58">
        <v>-6.5058071769476646E-3</v>
      </c>
      <c r="H97" s="60">
        <v>5.0959500952261103E-5</v>
      </c>
      <c r="I97" s="59">
        <v>4.5976786835093242E-4</v>
      </c>
      <c r="J97" s="60">
        <v>-8.177513940122571E-6</v>
      </c>
      <c r="K97" s="60">
        <v>3.2732950955736287E-5</v>
      </c>
      <c r="L97" s="59">
        <v>-5.344429446800707E-4</v>
      </c>
      <c r="M97" s="59">
        <v>-1.6659374132204974E-4</v>
      </c>
      <c r="N97" s="59">
        <v>-3.791739019534168E-4</v>
      </c>
      <c r="O97" s="59">
        <v>-3.5259730964107126E-4</v>
      </c>
      <c r="P97" s="60">
        <v>-2.7036320501517622E-5</v>
      </c>
      <c r="Q97" s="59">
        <v>-5.9727948041449425E-4</v>
      </c>
      <c r="R97" s="60">
        <v>5.3743189549914207E-5</v>
      </c>
      <c r="S97" s="60">
        <v>2.2971922490686507E-6</v>
      </c>
      <c r="T97" s="60">
        <v>7.1845690313400085E-5</v>
      </c>
      <c r="U97" s="60">
        <v>-2.723893231594589E-5</v>
      </c>
      <c r="V97" s="59">
        <v>-1.5919324428062E-4</v>
      </c>
      <c r="W97" s="59">
        <v>4.3140562189950427E-3</v>
      </c>
      <c r="X97" s="59">
        <v>4.139838634646521E-3</v>
      </c>
      <c r="Y97" s="59">
        <v>4.6317410006812615E-3</v>
      </c>
      <c r="Z97" s="37">
        <v>9.0165782373699058E-3</v>
      </c>
      <c r="AB97">
        <v>-2.9621499999999999E-2</v>
      </c>
      <c r="AC97">
        <v>8.9650000000000005E-4</v>
      </c>
      <c r="AD97">
        <v>-6.9164999999999999E-3</v>
      </c>
      <c r="AE97">
        <v>-1.49339E-2</v>
      </c>
      <c r="AF97">
        <v>-7.9661000000000003E-3</v>
      </c>
      <c r="AG97">
        <v>-1.53122E-2</v>
      </c>
      <c r="AH97">
        <v>-1.2129300000000001E-2</v>
      </c>
      <c r="AI97">
        <v>-1.1683300000000001E-2</v>
      </c>
      <c r="AJ97">
        <v>-1.337E-4</v>
      </c>
      <c r="AK97">
        <v>-1.36729E-2</v>
      </c>
      <c r="AL97">
        <v>-6.6889000000000002E-3</v>
      </c>
      <c r="AM97">
        <v>-3.4610799999999997E-2</v>
      </c>
      <c r="AN97">
        <v>-1.0585900000000001E-2</v>
      </c>
      <c r="AO97">
        <v>-1.7320599999999998E-2</v>
      </c>
      <c r="AP97">
        <v>-2.6072399999999999E-2</v>
      </c>
      <c r="AQ97">
        <v>-1.4653599999999999E-2</v>
      </c>
      <c r="AR97">
        <v>4.3300999999999999E-3</v>
      </c>
      <c r="AS97">
        <v>3.7023999999999998E-3</v>
      </c>
      <c r="AT97">
        <v>3.0912000000000001E-3</v>
      </c>
      <c r="AU97">
        <v>6.7165199999999994E-2</v>
      </c>
      <c r="AW97">
        <f t="shared" ca="1" si="15"/>
        <v>0.47726182473942291</v>
      </c>
      <c r="AY97">
        <f ca="1"/>
        <v>7.1744937329847241E-2</v>
      </c>
    </row>
    <row r="98" spans="2:51" ht="17" thickTop="1">
      <c r="B98" s="38" t="s">
        <v>90</v>
      </c>
      <c r="C98" s="41" t="s">
        <v>94</v>
      </c>
      <c r="D98" s="42"/>
    </row>
    <row r="99" spans="2:51" ht="17" thickBot="1">
      <c r="B99" s="43" t="s">
        <v>92</v>
      </c>
      <c r="C99" s="44">
        <v>1.4370000000000001</v>
      </c>
      <c r="D99" s="16">
        <v>4.6899999999999997E-2</v>
      </c>
    </row>
    <row r="100" spans="2:51" ht="17" thickTop="1"/>
    <row r="101" spans="2:51">
      <c r="B101" s="64" t="s">
        <v>95</v>
      </c>
    </row>
    <row r="102" spans="2:51" ht="17" thickBot="1"/>
    <row r="103" spans="2:51" ht="18" thickTop="1" thickBot="1">
      <c r="B103" s="274" t="s">
        <v>36</v>
      </c>
      <c r="C103" s="276" t="s">
        <v>76</v>
      </c>
      <c r="D103" s="278" t="s">
        <v>77</v>
      </c>
    </row>
    <row r="104" spans="2:51" ht="18" thickTop="1" thickBot="1">
      <c r="B104" s="275"/>
      <c r="C104" s="277"/>
      <c r="D104" s="279"/>
      <c r="F104" s="45"/>
      <c r="G104" s="17" t="s">
        <v>78</v>
      </c>
      <c r="H104" s="18" t="s">
        <v>37</v>
      </c>
      <c r="I104" s="18" t="s">
        <v>79</v>
      </c>
      <c r="J104" s="18" t="s">
        <v>80</v>
      </c>
      <c r="K104" s="18" t="s">
        <v>40</v>
      </c>
      <c r="L104" s="18" t="s">
        <v>81</v>
      </c>
      <c r="M104" s="18" t="s">
        <v>82</v>
      </c>
      <c r="N104" s="18" t="s">
        <v>83</v>
      </c>
      <c r="O104" s="18" t="s">
        <v>84</v>
      </c>
      <c r="P104" s="18" t="s">
        <v>85</v>
      </c>
      <c r="Q104" s="18" t="s">
        <v>86</v>
      </c>
      <c r="R104" s="18" t="s">
        <v>87</v>
      </c>
      <c r="S104" s="18" t="s">
        <v>38</v>
      </c>
      <c r="T104" s="18" t="s">
        <v>45</v>
      </c>
      <c r="U104" s="18" t="s">
        <v>88</v>
      </c>
      <c r="V104" s="18" t="s">
        <v>89</v>
      </c>
      <c r="W104" s="18" t="s">
        <v>67</v>
      </c>
      <c r="X104" s="18" t="s">
        <v>68</v>
      </c>
      <c r="Y104" s="18" t="s">
        <v>69</v>
      </c>
      <c r="Z104" s="19" t="s">
        <v>70</v>
      </c>
      <c r="AB104" t="s">
        <v>97</v>
      </c>
      <c r="AC104" t="s">
        <v>98</v>
      </c>
      <c r="AD104" t="s">
        <v>99</v>
      </c>
      <c r="AE104" t="s">
        <v>100</v>
      </c>
      <c r="AF104" t="s">
        <v>101</v>
      </c>
      <c r="AG104" t="s">
        <v>102</v>
      </c>
      <c r="AH104" t="s">
        <v>103</v>
      </c>
      <c r="AI104" t="s">
        <v>104</v>
      </c>
      <c r="AJ104" t="s">
        <v>105</v>
      </c>
      <c r="AK104" t="s">
        <v>106</v>
      </c>
      <c r="AL104" t="s">
        <v>107</v>
      </c>
      <c r="AM104" t="s">
        <v>108</v>
      </c>
      <c r="AN104" t="s">
        <v>109</v>
      </c>
      <c r="AO104" t="s">
        <v>110</v>
      </c>
      <c r="AP104" t="s">
        <v>111</v>
      </c>
      <c r="AQ104" t="s">
        <v>112</v>
      </c>
      <c r="AR104" t="s">
        <v>113</v>
      </c>
      <c r="AS104" t="s">
        <v>114</v>
      </c>
      <c r="AT104" t="s">
        <v>115</v>
      </c>
      <c r="AU104" t="s">
        <v>116</v>
      </c>
      <c r="AW104" t="s">
        <v>24</v>
      </c>
      <c r="AY104" t="s">
        <v>25</v>
      </c>
    </row>
    <row r="105" spans="2:51" ht="17" thickTop="1">
      <c r="B105" s="38" t="s">
        <v>78</v>
      </c>
      <c r="C105" s="39">
        <v>3.492</v>
      </c>
      <c r="D105" s="15">
        <v>0.2248</v>
      </c>
      <c r="F105" s="46" t="s">
        <v>78</v>
      </c>
      <c r="G105" s="47">
        <v>5.0532900211096361E-2</v>
      </c>
      <c r="H105" s="48">
        <v>-3.5851161092931056E-4</v>
      </c>
      <c r="I105" s="48">
        <v>-6.2258954124767346E-3</v>
      </c>
      <c r="J105" s="48">
        <v>-1.5959583320130134E-4</v>
      </c>
      <c r="K105" s="48">
        <v>-2.9043386538988658E-3</v>
      </c>
      <c r="L105" s="48">
        <v>-1.4332181371753841E-3</v>
      </c>
      <c r="M105" s="48">
        <v>-2.5704646973157951E-3</v>
      </c>
      <c r="N105" s="48">
        <v>-1.9298360873820626E-3</v>
      </c>
      <c r="O105" s="48">
        <v>3.1215493028933318E-4</v>
      </c>
      <c r="P105" s="48">
        <v>-2.8145668491431903E-3</v>
      </c>
      <c r="Q105" s="48">
        <v>-1.518924961703331E-3</v>
      </c>
      <c r="R105" s="48">
        <v>-5.7679508798374785E-4</v>
      </c>
      <c r="S105" s="49">
        <v>-1.0769475608471381E-6</v>
      </c>
      <c r="T105" s="48">
        <v>-1.4358856574488515E-3</v>
      </c>
      <c r="U105" s="48">
        <v>-9.281880258874514E-4</v>
      </c>
      <c r="V105" s="48">
        <v>6.0632110003988908E-4</v>
      </c>
      <c r="W105" s="48">
        <v>-5.5197863916401054E-3</v>
      </c>
      <c r="X105" s="48">
        <v>-4.732427083220349E-3</v>
      </c>
      <c r="Y105" s="48">
        <v>-6.1529671175138724E-3</v>
      </c>
      <c r="Z105" s="50">
        <v>-7.1036532006467932E-3</v>
      </c>
      <c r="AB105">
        <v>0.22478880000000001</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W105">
        <f ca="1">_xlfn.NORM.INV(RAND(),0,1)</f>
        <v>-0.65614090027556682</v>
      </c>
      <c r="AY105">
        <f t="array" aca="1" ref="AY105:AY124" ca="1">MMULT(AB105:AU124,AW105:AW124)</f>
        <v>-0.14749312560386435</v>
      </c>
    </row>
    <row r="106" spans="2:51">
      <c r="B106" s="38" t="s">
        <v>37</v>
      </c>
      <c r="C106" s="40">
        <v>4.2999999999999997E-2</v>
      </c>
      <c r="D106" s="15">
        <v>6.1000000000000004E-3</v>
      </c>
      <c r="F106" s="51" t="s">
        <v>37</v>
      </c>
      <c r="G106" s="52">
        <v>-3.5851161092931056E-4</v>
      </c>
      <c r="H106" s="54">
        <v>3.7091379842102007E-5</v>
      </c>
      <c r="I106" s="54">
        <v>8.944525205791407E-6</v>
      </c>
      <c r="J106" s="54">
        <v>8.8616556884355494E-7</v>
      </c>
      <c r="K106" s="54">
        <v>-6.1054101007821526E-6</v>
      </c>
      <c r="L106" s="54">
        <v>5.1852466446135815E-6</v>
      </c>
      <c r="M106" s="54">
        <v>-1.2721471853268471E-5</v>
      </c>
      <c r="N106" s="54">
        <v>-2.7115706136361041E-5</v>
      </c>
      <c r="O106" s="54">
        <v>1.5372911755729063E-5</v>
      </c>
      <c r="P106" s="54">
        <v>-1.9972106187342097E-6</v>
      </c>
      <c r="Q106" s="54">
        <v>-1.3261438241209056E-5</v>
      </c>
      <c r="R106" s="54">
        <v>-2.5899980165754316E-6</v>
      </c>
      <c r="S106" s="54">
        <v>-5.2156541043887594E-7</v>
      </c>
      <c r="T106" s="54">
        <v>-3.8519645390875753E-5</v>
      </c>
      <c r="U106" s="54">
        <v>-3.1082444029515703E-5</v>
      </c>
      <c r="V106" s="54">
        <v>-7.678544011613389E-6</v>
      </c>
      <c r="W106" s="54">
        <v>-1.7311581993292516E-6</v>
      </c>
      <c r="X106" s="54">
        <v>3.9901099170851357E-6</v>
      </c>
      <c r="Y106" s="54">
        <v>5.1496711058768428E-5</v>
      </c>
      <c r="Z106" s="55">
        <v>5.8083485007865385E-5</v>
      </c>
      <c r="AB106">
        <v>-1.6015000000000001E-3</v>
      </c>
      <c r="AC106">
        <v>5.8758999999999999E-3</v>
      </c>
      <c r="AD106">
        <v>0</v>
      </c>
      <c r="AE106">
        <v>0</v>
      </c>
      <c r="AF106">
        <v>0</v>
      </c>
      <c r="AG106">
        <v>0</v>
      </c>
      <c r="AH106">
        <v>0</v>
      </c>
      <c r="AI106">
        <v>0</v>
      </c>
      <c r="AJ106">
        <v>0</v>
      </c>
      <c r="AK106">
        <v>0</v>
      </c>
      <c r="AL106">
        <v>0</v>
      </c>
      <c r="AM106">
        <v>0</v>
      </c>
      <c r="AN106">
        <v>0</v>
      </c>
      <c r="AO106">
        <v>0</v>
      </c>
      <c r="AP106">
        <v>0</v>
      </c>
      <c r="AQ106">
        <v>0</v>
      </c>
      <c r="AR106">
        <v>0</v>
      </c>
      <c r="AS106">
        <v>0</v>
      </c>
      <c r="AT106">
        <v>0</v>
      </c>
      <c r="AU106">
        <v>0</v>
      </c>
      <c r="AW106">
        <f t="shared" ref="AW106:AW124" ca="1" si="16">_xlfn.NORM.INV(RAND(),0,1)</f>
        <v>1.3417619145326902</v>
      </c>
      <c r="AY106">
        <f ca="1"/>
        <v>8.9348684853939545E-3</v>
      </c>
    </row>
    <row r="107" spans="2:51">
      <c r="B107" s="38" t="s">
        <v>79</v>
      </c>
      <c r="C107" s="40">
        <v>0</v>
      </c>
      <c r="D107" s="15">
        <v>5.8400000000000001E-2</v>
      </c>
      <c r="F107" s="51" t="s">
        <v>79</v>
      </c>
      <c r="G107" s="52">
        <v>-6.2258954124767346E-3</v>
      </c>
      <c r="H107" s="54">
        <v>8.944525205791407E-6</v>
      </c>
      <c r="I107" s="53">
        <v>3.4113312906737443E-3</v>
      </c>
      <c r="J107" s="54">
        <v>4.9125053783659849E-6</v>
      </c>
      <c r="K107" s="53">
        <v>-1.0307784549262639E-4</v>
      </c>
      <c r="L107" s="53">
        <v>1.2911424687156689E-4</v>
      </c>
      <c r="M107" s="53">
        <v>1.8135122478183454E-4</v>
      </c>
      <c r="N107" s="54">
        <v>4.5615166699341296E-6</v>
      </c>
      <c r="O107" s="54">
        <v>6.8119721027150711E-6</v>
      </c>
      <c r="P107" s="53">
        <v>-3.1185753325043927E-4</v>
      </c>
      <c r="Q107" s="53">
        <v>-2.0322494505373723E-4</v>
      </c>
      <c r="R107" s="54">
        <v>-1.3611076558680371E-5</v>
      </c>
      <c r="S107" s="54">
        <v>1.9607301501421089E-6</v>
      </c>
      <c r="T107" s="54">
        <v>5.7859908619293299E-5</v>
      </c>
      <c r="U107" s="53">
        <v>1.0893900876288576E-4</v>
      </c>
      <c r="V107" s="54">
        <v>8.413948495551394E-5</v>
      </c>
      <c r="W107" s="54">
        <v>6.3662824792297365E-6</v>
      </c>
      <c r="X107" s="53">
        <v>-1.3627996646820947E-4</v>
      </c>
      <c r="Y107" s="53">
        <v>3.2974246531152862E-4</v>
      </c>
      <c r="Z107" s="31">
        <v>4.7153520642846718E-4</v>
      </c>
      <c r="AB107">
        <v>-2.7714900000000001E-2</v>
      </c>
      <c r="AC107">
        <v>-6.0315999999999998E-3</v>
      </c>
      <c r="AD107">
        <v>5.1044100000000002E-2</v>
      </c>
      <c r="AE107">
        <v>0</v>
      </c>
      <c r="AF107">
        <v>0</v>
      </c>
      <c r="AG107">
        <v>0</v>
      </c>
      <c r="AH107">
        <v>0</v>
      </c>
      <c r="AI107">
        <v>0</v>
      </c>
      <c r="AJ107">
        <v>0</v>
      </c>
      <c r="AK107">
        <v>0</v>
      </c>
      <c r="AL107">
        <v>0</v>
      </c>
      <c r="AM107">
        <v>0</v>
      </c>
      <c r="AN107">
        <v>0</v>
      </c>
      <c r="AO107">
        <v>0</v>
      </c>
      <c r="AP107">
        <v>0</v>
      </c>
      <c r="AQ107">
        <v>0</v>
      </c>
      <c r="AR107">
        <v>0</v>
      </c>
      <c r="AS107">
        <v>0</v>
      </c>
      <c r="AT107">
        <v>0</v>
      </c>
      <c r="AU107">
        <v>0</v>
      </c>
      <c r="AW107">
        <f t="shared" ca="1" si="16"/>
        <v>-1.9108803469886666</v>
      </c>
      <c r="AY107">
        <f ca="1"/>
        <v>-8.7447259246372269E-2</v>
      </c>
    </row>
    <row r="108" spans="2:51">
      <c r="B108" s="38" t="s">
        <v>80</v>
      </c>
      <c r="C108" s="40">
        <v>-7.0000000000000001E-3</v>
      </c>
      <c r="D108" s="15">
        <v>2.3E-3</v>
      </c>
      <c r="F108" s="51" t="s">
        <v>80</v>
      </c>
      <c r="G108" s="52">
        <v>-1.5959583320130134E-4</v>
      </c>
      <c r="H108" s="54">
        <v>8.8616556884355494E-7</v>
      </c>
      <c r="I108" s="54">
        <v>4.9125053783659849E-6</v>
      </c>
      <c r="J108" s="54">
        <v>5.2515219302372397E-6</v>
      </c>
      <c r="K108" s="54">
        <v>2.9512343716971006E-6</v>
      </c>
      <c r="L108" s="54">
        <v>-1.7152838553528689E-5</v>
      </c>
      <c r="M108" s="54">
        <v>1.2838426274067556E-5</v>
      </c>
      <c r="N108" s="54">
        <v>1.5528585789663152E-6</v>
      </c>
      <c r="O108" s="54">
        <v>-1.4592974270927618E-5</v>
      </c>
      <c r="P108" s="54">
        <v>-5.7288559787644613E-6</v>
      </c>
      <c r="Q108" s="54">
        <v>-1.653642158910098E-5</v>
      </c>
      <c r="R108" s="54">
        <v>-1.7674453939228037E-6</v>
      </c>
      <c r="S108" s="54">
        <v>-1.2176256510004956E-7</v>
      </c>
      <c r="T108" s="54">
        <v>1.0816245458910892E-5</v>
      </c>
      <c r="U108" s="54">
        <v>-8.8727520329461267E-7</v>
      </c>
      <c r="V108" s="54">
        <v>-1.0490263772347185E-5</v>
      </c>
      <c r="W108" s="54">
        <v>-1.5583553713620419E-5</v>
      </c>
      <c r="X108" s="54">
        <v>-1.3120511090263984E-5</v>
      </c>
      <c r="Y108" s="54">
        <v>-3.3506162111111679E-5</v>
      </c>
      <c r="Z108" s="55">
        <v>-1.1984207597891388E-5</v>
      </c>
      <c r="AB108">
        <v>-7.1179999999999995E-4</v>
      </c>
      <c r="AC108">
        <v>-4.32E-5</v>
      </c>
      <c r="AD108">
        <v>-2.9530000000000002E-4</v>
      </c>
      <c r="AE108">
        <v>2.1576999999999998E-3</v>
      </c>
      <c r="AF108">
        <v>0</v>
      </c>
      <c r="AG108">
        <v>0</v>
      </c>
      <c r="AH108">
        <v>0</v>
      </c>
      <c r="AI108">
        <v>0</v>
      </c>
      <c r="AJ108">
        <v>0</v>
      </c>
      <c r="AK108">
        <v>0</v>
      </c>
      <c r="AL108">
        <v>0</v>
      </c>
      <c r="AM108">
        <v>0</v>
      </c>
      <c r="AN108">
        <v>0</v>
      </c>
      <c r="AO108">
        <v>0</v>
      </c>
      <c r="AP108">
        <v>0</v>
      </c>
      <c r="AQ108">
        <v>0</v>
      </c>
      <c r="AR108">
        <v>0</v>
      </c>
      <c r="AS108">
        <v>0</v>
      </c>
      <c r="AT108">
        <v>0</v>
      </c>
      <c r="AU108">
        <v>0</v>
      </c>
      <c r="AW108">
        <f t="shared" ca="1" si="16"/>
        <v>0.84810291323071829</v>
      </c>
      <c r="AY108">
        <f ca="1"/>
        <v>2.8033116004520103E-3</v>
      </c>
    </row>
    <row r="109" spans="2:51">
      <c r="B109" s="38" t="s">
        <v>40</v>
      </c>
      <c r="C109" s="40">
        <v>-0.08</v>
      </c>
      <c r="D109" s="15">
        <v>5.7000000000000002E-2</v>
      </c>
      <c r="F109" s="51" t="s">
        <v>40</v>
      </c>
      <c r="G109" s="52">
        <v>-2.9043386538988658E-3</v>
      </c>
      <c r="H109" s="54">
        <v>-6.1054101007821526E-6</v>
      </c>
      <c r="I109" s="53">
        <v>-1.0307784549262639E-4</v>
      </c>
      <c r="J109" s="54">
        <v>2.9512343716971006E-6</v>
      </c>
      <c r="K109" s="53">
        <v>3.2434644905764767E-3</v>
      </c>
      <c r="L109" s="53">
        <v>2.8153398132963462E-4</v>
      </c>
      <c r="M109" s="54">
        <v>5.4406478851630901E-5</v>
      </c>
      <c r="N109" s="53">
        <v>1.5684313504751155E-4</v>
      </c>
      <c r="O109" s="53">
        <v>-1.6162214909684551E-4</v>
      </c>
      <c r="P109" s="53">
        <v>4.8346749272394353E-4</v>
      </c>
      <c r="Q109" s="53">
        <v>1.1913895795547364E-3</v>
      </c>
      <c r="R109" s="54">
        <v>3.6580083267269265E-5</v>
      </c>
      <c r="S109" s="54">
        <v>-1.0703235157438603E-6</v>
      </c>
      <c r="T109" s="53">
        <v>-2.4787973528742085E-4</v>
      </c>
      <c r="U109" s="53">
        <v>-3.4910874015299661E-4</v>
      </c>
      <c r="V109" s="54">
        <v>9.6337549426348543E-5</v>
      </c>
      <c r="W109" s="54">
        <v>-2.3730874910595051E-5</v>
      </c>
      <c r="X109" s="53">
        <v>1.2679727723968043E-4</v>
      </c>
      <c r="Y109" s="54">
        <v>-3.2630997991808081E-5</v>
      </c>
      <c r="Z109" s="31">
        <v>1.3478926441635997E-4</v>
      </c>
      <c r="AB109">
        <v>-1.2900999999999999E-2</v>
      </c>
      <c r="AC109">
        <v>-4.5553E-3</v>
      </c>
      <c r="AD109">
        <v>-9.5020999999999994E-3</v>
      </c>
      <c r="AE109">
        <v>-4.2797E-3</v>
      </c>
      <c r="AF109">
        <v>5.4260599999999999E-2</v>
      </c>
      <c r="AG109">
        <v>0</v>
      </c>
      <c r="AH109">
        <v>0</v>
      </c>
      <c r="AI109">
        <v>0</v>
      </c>
      <c r="AJ109">
        <v>0</v>
      </c>
      <c r="AK109">
        <v>0</v>
      </c>
      <c r="AL109">
        <v>0</v>
      </c>
      <c r="AM109">
        <v>0</v>
      </c>
      <c r="AN109">
        <v>0</v>
      </c>
      <c r="AO109">
        <v>0</v>
      </c>
      <c r="AP109">
        <v>0</v>
      </c>
      <c r="AQ109">
        <v>0</v>
      </c>
      <c r="AR109">
        <v>0</v>
      </c>
      <c r="AS109">
        <v>0</v>
      </c>
      <c r="AT109">
        <v>0</v>
      </c>
      <c r="AU109">
        <v>0</v>
      </c>
      <c r="AW109">
        <f t="shared" ca="1" si="16"/>
        <v>-1.1917770816076747</v>
      </c>
      <c r="AY109">
        <f ca="1"/>
        <v>-4.7786043701729564E-2</v>
      </c>
    </row>
    <row r="110" spans="2:51">
      <c r="B110" s="38" t="s">
        <v>81</v>
      </c>
      <c r="C110" s="40">
        <v>0.159</v>
      </c>
      <c r="D110" s="15">
        <v>5.7299999999999997E-2</v>
      </c>
      <c r="F110" s="51" t="s">
        <v>81</v>
      </c>
      <c r="G110" s="52">
        <v>-1.4332181371753841E-3</v>
      </c>
      <c r="H110" s="54">
        <v>5.1852466446135815E-6</v>
      </c>
      <c r="I110" s="53">
        <v>1.2911424687156689E-4</v>
      </c>
      <c r="J110" s="54">
        <v>-1.7152838553528689E-5</v>
      </c>
      <c r="K110" s="53">
        <v>2.8153398132963462E-4</v>
      </c>
      <c r="L110" s="53">
        <v>3.2831815234016016E-3</v>
      </c>
      <c r="M110" s="53">
        <v>-3.0084355406101296E-4</v>
      </c>
      <c r="N110" s="53">
        <v>-1.9652888949333824E-4</v>
      </c>
      <c r="O110" s="53">
        <v>-2.4717472518242162E-4</v>
      </c>
      <c r="P110" s="54">
        <v>-6.1931047687328127E-5</v>
      </c>
      <c r="Q110" s="54">
        <v>-3.2412686943366049E-5</v>
      </c>
      <c r="R110" s="54">
        <v>1.4450956963711264E-6</v>
      </c>
      <c r="S110" s="54">
        <v>2.8557405888200872E-7</v>
      </c>
      <c r="T110" s="53">
        <v>4.6426132314737972E-4</v>
      </c>
      <c r="U110" s="53">
        <v>-1.9970484277963442E-4</v>
      </c>
      <c r="V110" s="54">
        <v>-3.1858541114487818E-5</v>
      </c>
      <c r="W110" s="53">
        <v>-1.8743038211096726E-4</v>
      </c>
      <c r="X110" s="53">
        <v>-2.3428563717602319E-4</v>
      </c>
      <c r="Y110" s="53">
        <v>-5.180330216860722E-4</v>
      </c>
      <c r="Z110" s="31">
        <v>-5.1961291866601655E-4</v>
      </c>
      <c r="AB110">
        <v>-6.3615E-3</v>
      </c>
      <c r="AC110">
        <v>-8.5139999999999999E-4</v>
      </c>
      <c r="AD110">
        <v>-1.0078000000000001E-3</v>
      </c>
      <c r="AE110">
        <v>-1.0202900000000001E-2</v>
      </c>
      <c r="AF110">
        <v>2.5950999999999999E-3</v>
      </c>
      <c r="AG110">
        <v>5.5919200000000002E-2</v>
      </c>
      <c r="AH110">
        <v>0</v>
      </c>
      <c r="AI110">
        <v>0</v>
      </c>
      <c r="AJ110">
        <v>0</v>
      </c>
      <c r="AK110">
        <v>0</v>
      </c>
      <c r="AL110">
        <v>0</v>
      </c>
      <c r="AM110">
        <v>0</v>
      </c>
      <c r="AN110">
        <v>0</v>
      </c>
      <c r="AO110">
        <v>0</v>
      </c>
      <c r="AP110">
        <v>0</v>
      </c>
      <c r="AQ110">
        <v>0</v>
      </c>
      <c r="AR110">
        <v>0</v>
      </c>
      <c r="AS110">
        <v>0</v>
      </c>
      <c r="AT110">
        <v>0</v>
      </c>
      <c r="AU110">
        <v>0</v>
      </c>
      <c r="AW110">
        <f t="shared" ca="1" si="16"/>
        <v>0.97677683687769234</v>
      </c>
      <c r="AY110">
        <f ca="1"/>
        <v>4.7832138835614352E-2</v>
      </c>
    </row>
    <row r="111" spans="2:51">
      <c r="B111" s="38" t="s">
        <v>82</v>
      </c>
      <c r="C111" s="40">
        <v>-0.185</v>
      </c>
      <c r="D111" s="15">
        <v>5.62E-2</v>
      </c>
      <c r="F111" s="51" t="s">
        <v>82</v>
      </c>
      <c r="G111" s="52">
        <v>-2.5704646973157951E-3</v>
      </c>
      <c r="H111" s="54">
        <v>-1.2721471853268471E-5</v>
      </c>
      <c r="I111" s="53">
        <v>1.8135122478183454E-4</v>
      </c>
      <c r="J111" s="54">
        <v>1.2838426274067556E-5</v>
      </c>
      <c r="K111" s="54">
        <v>5.4406478851630901E-5</v>
      </c>
      <c r="L111" s="53">
        <v>-3.0084355406101296E-4</v>
      </c>
      <c r="M111" s="53">
        <v>3.1537601476225928E-3</v>
      </c>
      <c r="N111" s="53">
        <v>6.107878466347739E-4</v>
      </c>
      <c r="O111" s="53">
        <v>4.8737073413792563E-4</v>
      </c>
      <c r="P111" s="53">
        <v>-1.0166273682457984E-4</v>
      </c>
      <c r="Q111" s="53">
        <v>-1.6753370965443795E-4</v>
      </c>
      <c r="R111" s="54">
        <v>-6.6734755133092138E-6</v>
      </c>
      <c r="S111" s="54">
        <v>2.7432143191630932E-7</v>
      </c>
      <c r="T111" s="54">
        <v>-1.9100561305064755E-5</v>
      </c>
      <c r="U111" s="53">
        <v>1.8160330668097214E-4</v>
      </c>
      <c r="V111" s="54">
        <v>-9.5782021098041837E-5</v>
      </c>
      <c r="W111" s="54">
        <v>6.3245774737415004E-5</v>
      </c>
      <c r="X111" s="53">
        <v>9.404492354845096E-4</v>
      </c>
      <c r="Y111" s="53">
        <v>4.8876470021184362E-4</v>
      </c>
      <c r="Z111" s="31">
        <v>-1.9231851324792376E-4</v>
      </c>
      <c r="AB111">
        <v>-1.1433E-2</v>
      </c>
      <c r="AC111">
        <v>-5.2811000000000004E-3</v>
      </c>
      <c r="AD111">
        <v>-3.3053000000000002E-3</v>
      </c>
      <c r="AE111">
        <v>1.6203999999999999E-3</v>
      </c>
      <c r="AF111">
        <v>-2.6099999999999999E-3</v>
      </c>
      <c r="AG111">
        <v>-6.3886999999999998E-3</v>
      </c>
      <c r="AH111">
        <v>5.4131499999999999E-2</v>
      </c>
      <c r="AI111">
        <v>0</v>
      </c>
      <c r="AJ111">
        <v>0</v>
      </c>
      <c r="AK111">
        <v>0</v>
      </c>
      <c r="AL111">
        <v>0</v>
      </c>
      <c r="AM111">
        <v>0</v>
      </c>
      <c r="AN111">
        <v>0</v>
      </c>
      <c r="AO111">
        <v>0</v>
      </c>
      <c r="AP111">
        <v>0</v>
      </c>
      <c r="AQ111">
        <v>0</v>
      </c>
      <c r="AR111">
        <v>0</v>
      </c>
      <c r="AS111">
        <v>0</v>
      </c>
      <c r="AT111">
        <v>0</v>
      </c>
      <c r="AU111">
        <v>0</v>
      </c>
      <c r="AW111">
        <f t="shared" ca="1" si="16"/>
        <v>0.95685253387648783</v>
      </c>
      <c r="AY111">
        <f ca="1"/>
        <v>5.6772045780283283E-2</v>
      </c>
    </row>
    <row r="112" spans="2:51">
      <c r="B112" s="38" t="s">
        <v>83</v>
      </c>
      <c r="C112" s="40">
        <v>1.2999999999999999E-2</v>
      </c>
      <c r="D112" s="15">
        <v>6.3200000000000006E-2</v>
      </c>
      <c r="F112" s="51" t="s">
        <v>83</v>
      </c>
      <c r="G112" s="52">
        <v>-1.9298360873820626E-3</v>
      </c>
      <c r="H112" s="54">
        <v>-2.7115706136361041E-5</v>
      </c>
      <c r="I112" s="54">
        <v>4.5615166699341296E-6</v>
      </c>
      <c r="J112" s="54">
        <v>1.5528585789663152E-6</v>
      </c>
      <c r="K112" s="53">
        <v>1.5684313504751155E-4</v>
      </c>
      <c r="L112" s="53">
        <v>-1.9652888949333824E-4</v>
      </c>
      <c r="M112" s="53">
        <v>6.107878466347739E-4</v>
      </c>
      <c r="N112" s="53">
        <v>3.9967926350866316E-3</v>
      </c>
      <c r="O112" s="53">
        <v>2.0589050120288339E-3</v>
      </c>
      <c r="P112" s="53">
        <v>-4.7745138483217437E-4</v>
      </c>
      <c r="Q112" s="53">
        <v>-1.0675671927959645E-3</v>
      </c>
      <c r="R112" s="54">
        <v>1.6868249776103279E-5</v>
      </c>
      <c r="S112" s="54">
        <v>-1.7501799937289091E-7</v>
      </c>
      <c r="T112" s="54">
        <v>-7.3150574289230827E-6</v>
      </c>
      <c r="U112" s="54">
        <v>-4.0158410614158103E-5</v>
      </c>
      <c r="V112" s="54">
        <v>-4.0095752438433583E-5</v>
      </c>
      <c r="W112" s="53">
        <v>1.3770305190781816E-4</v>
      </c>
      <c r="X112" s="53">
        <v>2.183092850335463E-4</v>
      </c>
      <c r="Y112" s="53">
        <v>-3.2324792022379151E-4</v>
      </c>
      <c r="Z112" s="31">
        <v>-2.2724023755070068E-4</v>
      </c>
      <c r="AB112">
        <v>-8.5857999999999993E-3</v>
      </c>
      <c r="AC112">
        <v>-6.9547999999999997E-3</v>
      </c>
      <c r="AD112">
        <v>-5.3942E-3</v>
      </c>
      <c r="AE112">
        <v>-2.9900999999999999E-3</v>
      </c>
      <c r="AF112">
        <v>-8.5700000000000001E-4</v>
      </c>
      <c r="AG112">
        <v>-5.2621999999999999E-3</v>
      </c>
      <c r="AH112">
        <v>7.8747000000000001E-3</v>
      </c>
      <c r="AI112">
        <v>6.1232700000000001E-2</v>
      </c>
      <c r="AJ112">
        <v>0</v>
      </c>
      <c r="AK112">
        <v>0</v>
      </c>
      <c r="AL112">
        <v>0</v>
      </c>
      <c r="AM112">
        <v>0</v>
      </c>
      <c r="AN112">
        <v>0</v>
      </c>
      <c r="AO112">
        <v>0</v>
      </c>
      <c r="AP112">
        <v>0</v>
      </c>
      <c r="AQ112">
        <v>0</v>
      </c>
      <c r="AR112">
        <v>0</v>
      </c>
      <c r="AS112">
        <v>0</v>
      </c>
      <c r="AT112">
        <v>0</v>
      </c>
      <c r="AU112">
        <v>0</v>
      </c>
      <c r="AW112">
        <f t="shared" ca="1" si="16"/>
        <v>-0.57356069919454633</v>
      </c>
      <c r="AY112">
        <f ca="1"/>
        <v>-2.7630818663863629E-2</v>
      </c>
    </row>
    <row r="113" spans="2:51">
      <c r="B113" s="38" t="s">
        <v>84</v>
      </c>
      <c r="C113" s="40">
        <v>-8.5000000000000006E-2</v>
      </c>
      <c r="D113" s="15">
        <v>7.17E-2</v>
      </c>
      <c r="F113" s="51" t="s">
        <v>84</v>
      </c>
      <c r="G113" s="52">
        <v>3.1215493028933318E-4</v>
      </c>
      <c r="H113" s="54">
        <v>1.5372911755729063E-5</v>
      </c>
      <c r="I113" s="54">
        <v>6.8119721027150711E-6</v>
      </c>
      <c r="J113" s="54">
        <v>-1.4592974270927618E-5</v>
      </c>
      <c r="K113" s="53">
        <v>-1.6162214909684551E-4</v>
      </c>
      <c r="L113" s="53">
        <v>-2.4717472518242162E-4</v>
      </c>
      <c r="M113" s="53">
        <v>4.8737073413792563E-4</v>
      </c>
      <c r="N113" s="53">
        <v>2.0589050120288339E-3</v>
      </c>
      <c r="O113" s="53">
        <v>5.1349065791523145E-3</v>
      </c>
      <c r="P113" s="53">
        <v>-3.586812519626947E-4</v>
      </c>
      <c r="Q113" s="53">
        <v>-6.5308964938866614E-4</v>
      </c>
      <c r="R113" s="54">
        <v>-4.1075636515198265E-5</v>
      </c>
      <c r="S113" s="54">
        <v>-6.929210899614578E-7</v>
      </c>
      <c r="T113" s="53">
        <v>-3.40131171627547E-4</v>
      </c>
      <c r="U113" s="53">
        <v>-1.5383917098825951E-4</v>
      </c>
      <c r="V113" s="54">
        <v>-2.461492621859702E-5</v>
      </c>
      <c r="W113" s="53">
        <v>-3.5389506330177616E-4</v>
      </c>
      <c r="X113" s="53">
        <v>3.0705265612229396E-4</v>
      </c>
      <c r="Y113" s="53">
        <v>-2.6395965061475611E-4</v>
      </c>
      <c r="Z113" s="31">
        <v>-3.3073992568759811E-4</v>
      </c>
      <c r="AB113">
        <v>1.3791000000000001E-3</v>
      </c>
      <c r="AC113">
        <v>2.9921000000000001E-3</v>
      </c>
      <c r="AD113">
        <v>1.2358E-3</v>
      </c>
      <c r="AE113">
        <v>-6.0791999999999999E-3</v>
      </c>
      <c r="AF113">
        <v>-2.6327E-3</v>
      </c>
      <c r="AG113">
        <v>-5.2329999999999998E-3</v>
      </c>
      <c r="AH113">
        <v>9.1480999999999993E-3</v>
      </c>
      <c r="AI113">
        <v>3.2324400000000003E-2</v>
      </c>
      <c r="AJ113">
        <v>6.2592300000000003E-2</v>
      </c>
      <c r="AK113">
        <v>0</v>
      </c>
      <c r="AL113">
        <v>0</v>
      </c>
      <c r="AM113">
        <v>0</v>
      </c>
      <c r="AN113">
        <v>0</v>
      </c>
      <c r="AO113">
        <v>0</v>
      </c>
      <c r="AP113">
        <v>0</v>
      </c>
      <c r="AQ113">
        <v>0</v>
      </c>
      <c r="AR113">
        <v>0</v>
      </c>
      <c r="AS113">
        <v>0</v>
      </c>
      <c r="AT113">
        <v>0</v>
      </c>
      <c r="AU113">
        <v>0</v>
      </c>
      <c r="AW113">
        <f t="shared" ca="1" si="16"/>
        <v>0.12554925558906282</v>
      </c>
      <c r="AY113">
        <f ca="1"/>
        <v>-8.3095390479313875E-3</v>
      </c>
    </row>
    <row r="114" spans="2:51">
      <c r="B114" s="38" t="s">
        <v>85</v>
      </c>
      <c r="C114" s="40">
        <v>-0.16200000000000001</v>
      </c>
      <c r="D114" s="15">
        <v>6.4299999999999996E-2</v>
      </c>
      <c r="F114" s="51" t="s">
        <v>85</v>
      </c>
      <c r="G114" s="52">
        <v>-2.8145668491431903E-3</v>
      </c>
      <c r="H114" s="54">
        <v>-1.9972106187342097E-6</v>
      </c>
      <c r="I114" s="53">
        <v>-3.1185753325043927E-4</v>
      </c>
      <c r="J114" s="54">
        <v>-5.7288559787644613E-6</v>
      </c>
      <c r="K114" s="53">
        <v>4.8346749272394353E-4</v>
      </c>
      <c r="L114" s="54">
        <v>-6.1931047687328127E-5</v>
      </c>
      <c r="M114" s="53">
        <v>-1.0166273682457984E-4</v>
      </c>
      <c r="N114" s="53">
        <v>-4.7745138483217437E-4</v>
      </c>
      <c r="O114" s="53">
        <v>-3.586812519626947E-4</v>
      </c>
      <c r="P114" s="53">
        <v>4.1366780180867712E-3</v>
      </c>
      <c r="Q114" s="53">
        <v>3.2476577252534499E-3</v>
      </c>
      <c r="R114" s="54">
        <v>2.0242229885317729E-5</v>
      </c>
      <c r="S114" s="54">
        <v>4.2873648470192891E-7</v>
      </c>
      <c r="T114" s="54">
        <v>-4.1532321497819227E-5</v>
      </c>
      <c r="U114" s="54">
        <v>7.0814625194517985E-5</v>
      </c>
      <c r="V114" s="54">
        <v>4.1630657316601512E-5</v>
      </c>
      <c r="W114" s="54">
        <v>3.0187406606530025E-5</v>
      </c>
      <c r="X114" s="54">
        <v>-4.2562012085585913E-6</v>
      </c>
      <c r="Y114" s="54">
        <v>1.1445779122688501E-5</v>
      </c>
      <c r="Z114" s="55">
        <v>-1.8598797330442969E-5</v>
      </c>
      <c r="AB114">
        <v>-1.2500600000000001E-2</v>
      </c>
      <c r="AC114">
        <v>-3.7469999999999999E-3</v>
      </c>
      <c r="AD114">
        <v>-1.3303300000000001E-2</v>
      </c>
      <c r="AE114">
        <v>-8.6744999999999999E-3</v>
      </c>
      <c r="AF114">
        <v>2.5455999999999999E-3</v>
      </c>
      <c r="AG114">
        <v>-4.5272999999999997E-3</v>
      </c>
      <c r="AH114">
        <v>-5.8174000000000003E-3</v>
      </c>
      <c r="AI114">
        <v>-1.1218199999999999E-2</v>
      </c>
      <c r="AJ114">
        <v>4.9529999999999995E-4</v>
      </c>
      <c r="AK114">
        <v>5.9418499999999999E-2</v>
      </c>
      <c r="AL114">
        <v>0</v>
      </c>
      <c r="AM114">
        <v>0</v>
      </c>
      <c r="AN114">
        <v>0</v>
      </c>
      <c r="AO114">
        <v>0</v>
      </c>
      <c r="AP114">
        <v>0</v>
      </c>
      <c r="AQ114">
        <v>0</v>
      </c>
      <c r="AR114">
        <v>0</v>
      </c>
      <c r="AS114">
        <v>0</v>
      </c>
      <c r="AT114">
        <v>0</v>
      </c>
      <c r="AU114">
        <v>0</v>
      </c>
      <c r="AW114">
        <f t="shared" ca="1" si="16"/>
        <v>1.0415261166421785</v>
      </c>
      <c r="AY114">
        <f ca="1"/>
        <v>7.6598798144096092E-2</v>
      </c>
    </row>
    <row r="115" spans="2:51">
      <c r="B115" s="38" t="s">
        <v>86</v>
      </c>
      <c r="C115" s="40">
        <v>-0.21199999999999999</v>
      </c>
      <c r="D115" s="15">
        <v>0.1017</v>
      </c>
      <c r="F115" s="51" t="s">
        <v>86</v>
      </c>
      <c r="G115" s="52">
        <v>-1.518924961703331E-3</v>
      </c>
      <c r="H115" s="54">
        <v>-1.3261438241209056E-5</v>
      </c>
      <c r="I115" s="53">
        <v>-2.0322494505373723E-4</v>
      </c>
      <c r="J115" s="54">
        <v>-1.653642158910098E-5</v>
      </c>
      <c r="K115" s="53">
        <v>1.1913895795547364E-3</v>
      </c>
      <c r="L115" s="54">
        <v>-3.2412686943366049E-5</v>
      </c>
      <c r="M115" s="53">
        <v>-1.6753370965443795E-4</v>
      </c>
      <c r="N115" s="53">
        <v>-1.0675671927959645E-3</v>
      </c>
      <c r="O115" s="53">
        <v>-6.5308964938866614E-4</v>
      </c>
      <c r="P115" s="53">
        <v>3.2476577252534499E-3</v>
      </c>
      <c r="Q115" s="53">
        <v>1.0349391381443574E-2</v>
      </c>
      <c r="R115" s="54">
        <v>4.6499439851221031E-6</v>
      </c>
      <c r="S115" s="54">
        <v>-3.5921707097452112E-7</v>
      </c>
      <c r="T115" s="53">
        <v>-1.4186336233649311E-4</v>
      </c>
      <c r="U115" s="54">
        <v>-9.023241621233322E-5</v>
      </c>
      <c r="V115" s="54">
        <v>4.2231828610757106E-5</v>
      </c>
      <c r="W115" s="53">
        <v>-4.9466686926509377E-4</v>
      </c>
      <c r="X115" s="53">
        <v>-2.7553873581964168E-4</v>
      </c>
      <c r="Y115" s="53">
        <v>-7.3080738408617518E-4</v>
      </c>
      <c r="Z115" s="31">
        <v>-5.7744988198609913E-4</v>
      </c>
      <c r="AB115">
        <v>-6.7619000000000004E-3</v>
      </c>
      <c r="AC115">
        <v>-4.0999000000000001E-3</v>
      </c>
      <c r="AD115">
        <v>-8.0741000000000007E-3</v>
      </c>
      <c r="AE115">
        <v>-1.1081499999999999E-2</v>
      </c>
      <c r="AF115">
        <v>1.7691399999999999E-2</v>
      </c>
      <c r="AG115">
        <v>-4.3997999999999997E-3</v>
      </c>
      <c r="AH115">
        <v>-4.7961999999999996E-3</v>
      </c>
      <c r="AI115">
        <v>-1.96542E-2</v>
      </c>
      <c r="AJ115">
        <v>2.7070000000000002E-4</v>
      </c>
      <c r="AK115">
        <v>4.4314399999999997E-2</v>
      </c>
      <c r="AL115">
        <v>8.5988400000000006E-2</v>
      </c>
      <c r="AM115">
        <v>0</v>
      </c>
      <c r="AN115">
        <v>0</v>
      </c>
      <c r="AO115">
        <v>0</v>
      </c>
      <c r="AP115">
        <v>0</v>
      </c>
      <c r="AQ115">
        <v>0</v>
      </c>
      <c r="AR115">
        <v>0</v>
      </c>
      <c r="AS115">
        <v>0</v>
      </c>
      <c r="AT115">
        <v>0</v>
      </c>
      <c r="AU115">
        <v>0</v>
      </c>
      <c r="AW115">
        <f t="shared" ca="1" si="16"/>
        <v>-0.29398062550068832</v>
      </c>
      <c r="AY115">
        <f ca="1"/>
        <v>7.1775163485310427E-3</v>
      </c>
    </row>
    <row r="116" spans="2:51">
      <c r="B116" s="38" t="s">
        <v>87</v>
      </c>
      <c r="C116" s="40">
        <v>-6.0000000000000001E-3</v>
      </c>
      <c r="D116" s="15">
        <v>5.1999999999999998E-3</v>
      </c>
      <c r="F116" s="51" t="s">
        <v>87</v>
      </c>
      <c r="G116" s="52">
        <v>-5.7679508798374785E-4</v>
      </c>
      <c r="H116" s="54">
        <v>-2.5899980165754316E-6</v>
      </c>
      <c r="I116" s="54">
        <v>-1.3611076558680371E-5</v>
      </c>
      <c r="J116" s="54">
        <v>-1.7674453939228037E-6</v>
      </c>
      <c r="K116" s="54">
        <v>3.6580083267269265E-5</v>
      </c>
      <c r="L116" s="54">
        <v>1.4450956963711264E-6</v>
      </c>
      <c r="M116" s="54">
        <v>-6.6734755133092138E-6</v>
      </c>
      <c r="N116" s="54">
        <v>1.6868249776103279E-5</v>
      </c>
      <c r="O116" s="54">
        <v>-4.1075636515198265E-5</v>
      </c>
      <c r="P116" s="54">
        <v>2.0242229885317729E-5</v>
      </c>
      <c r="Q116" s="54">
        <v>4.6499439851221031E-6</v>
      </c>
      <c r="R116" s="54">
        <v>2.7160560244606011E-5</v>
      </c>
      <c r="S116" s="54">
        <v>-4.3876901795191806E-8</v>
      </c>
      <c r="T116" s="54">
        <v>-2.0685185589284689E-5</v>
      </c>
      <c r="U116" s="54">
        <v>-1.7152577122223649E-5</v>
      </c>
      <c r="V116" s="54">
        <v>-2.4362204716179187E-5</v>
      </c>
      <c r="W116" s="54">
        <v>5.5889974548504517E-5</v>
      </c>
      <c r="X116" s="54">
        <v>9.8757085678097605E-7</v>
      </c>
      <c r="Y116" s="54">
        <v>7.3337107411322274E-5</v>
      </c>
      <c r="Z116" s="55">
        <v>6.1651142874822972E-5</v>
      </c>
      <c r="AB116" s="67">
        <v>-2.5801999999999999E-3</v>
      </c>
      <c r="AC116">
        <v>-1.1440000000000001E-3</v>
      </c>
      <c r="AD116">
        <v>-1.8028E-3</v>
      </c>
      <c r="AE116">
        <v>-1.9399E-3</v>
      </c>
      <c r="AF116">
        <v>-5.0409999999999995E-4</v>
      </c>
      <c r="AG116" s="67">
        <v>-6.4820000000000003E-4</v>
      </c>
      <c r="AH116" s="67">
        <v>-9.3269999999999996E-4</v>
      </c>
      <c r="AI116">
        <v>-4.126E-4</v>
      </c>
      <c r="AJ116" s="67">
        <v>-4.2349999999999999E-4</v>
      </c>
      <c r="AK116" s="67">
        <v>-1.1546E-3</v>
      </c>
      <c r="AL116" s="67">
        <v>-1.021E-4</v>
      </c>
      <c r="AM116">
        <v>2.9905999999999999E-3</v>
      </c>
      <c r="AN116">
        <v>0</v>
      </c>
      <c r="AO116">
        <v>0</v>
      </c>
      <c r="AP116">
        <v>0</v>
      </c>
      <c r="AQ116">
        <v>0</v>
      </c>
      <c r="AR116">
        <v>0</v>
      </c>
      <c r="AS116">
        <v>0</v>
      </c>
      <c r="AT116">
        <v>0</v>
      </c>
      <c r="AU116">
        <v>0</v>
      </c>
      <c r="AW116">
        <f t="shared" ca="1" si="16"/>
        <v>-0.50707722388747611</v>
      </c>
      <c r="AY116">
        <f ca="1"/>
        <v>-1.4726436517553977E-3</v>
      </c>
    </row>
    <row r="117" spans="2:51">
      <c r="B117" s="38" t="s">
        <v>38</v>
      </c>
      <c r="C117" s="40">
        <v>-1E-3</v>
      </c>
      <c r="D117" s="15">
        <v>2.0000000000000001E-4</v>
      </c>
      <c r="F117" s="51" t="s">
        <v>38</v>
      </c>
      <c r="G117" s="56">
        <v>-1.0769475608471381E-6</v>
      </c>
      <c r="H117" s="54">
        <v>-5.2156541043887594E-7</v>
      </c>
      <c r="I117" s="54">
        <v>1.9607301501421089E-6</v>
      </c>
      <c r="J117" s="54">
        <v>-1.2176256510004956E-7</v>
      </c>
      <c r="K117" s="54">
        <v>-1.0703235157438603E-6</v>
      </c>
      <c r="L117" s="54">
        <v>2.8557405888200872E-7</v>
      </c>
      <c r="M117" s="54">
        <v>2.7432143191630932E-7</v>
      </c>
      <c r="N117" s="54">
        <v>-1.7501799937289091E-7</v>
      </c>
      <c r="O117" s="54">
        <v>-6.929210899614578E-7</v>
      </c>
      <c r="P117" s="54">
        <v>4.2873648470192891E-7</v>
      </c>
      <c r="Q117" s="54">
        <v>-3.5921707097452112E-7</v>
      </c>
      <c r="R117" s="54">
        <v>-4.3876901795191806E-8</v>
      </c>
      <c r="S117" s="54">
        <v>5.2053603472935665E-8</v>
      </c>
      <c r="T117" s="54">
        <v>-7.5061817808901971E-7</v>
      </c>
      <c r="U117" s="54">
        <v>1.0332767474463164E-6</v>
      </c>
      <c r="V117" s="54">
        <v>1.5158131165910479E-7</v>
      </c>
      <c r="W117" s="54">
        <v>1.6259946851082685E-6</v>
      </c>
      <c r="X117" s="54">
        <v>1.8053774927331815E-6</v>
      </c>
      <c r="Y117" s="54">
        <v>1.8492076291767428E-6</v>
      </c>
      <c r="Z117" s="55">
        <v>2.3337316396635354E-6</v>
      </c>
      <c r="AB117" s="67">
        <v>-4.7899999999999999E-6</v>
      </c>
      <c r="AC117">
        <v>-9.0099999999999995E-5</v>
      </c>
      <c r="AD117">
        <v>2.5199999999999999E-5</v>
      </c>
      <c r="AE117">
        <v>-5.6400000000000002E-5</v>
      </c>
      <c r="AF117">
        <v>-2.8500000000000002E-5</v>
      </c>
      <c r="AG117" s="67">
        <v>-5.3199999999999999E-6</v>
      </c>
      <c r="AH117" s="67">
        <v>-3.5099999999999999E-6</v>
      </c>
      <c r="AI117">
        <v>-1.47E-5</v>
      </c>
      <c r="AJ117" s="67">
        <v>-6.1700000000000002E-6</v>
      </c>
      <c r="AK117" s="67">
        <v>-4.3200000000000001E-6</v>
      </c>
      <c r="AL117" s="67">
        <v>-9.4800000000000007E-6</v>
      </c>
      <c r="AM117">
        <v>-8.6600000000000004E-5</v>
      </c>
      <c r="AN117">
        <v>1.772E-4</v>
      </c>
      <c r="AO117">
        <v>0</v>
      </c>
      <c r="AP117">
        <v>0</v>
      </c>
      <c r="AQ117">
        <v>0</v>
      </c>
      <c r="AR117">
        <v>0</v>
      </c>
      <c r="AS117">
        <v>0</v>
      </c>
      <c r="AT117">
        <v>0</v>
      </c>
      <c r="AU117">
        <v>0</v>
      </c>
      <c r="AW117">
        <f t="shared" ca="1" si="16"/>
        <v>-0.75022382095168061</v>
      </c>
      <c r="AY117">
        <f ca="1"/>
        <v>-2.7140890758463408E-4</v>
      </c>
    </row>
    <row r="118" spans="2:51">
      <c r="B118" s="38" t="s">
        <v>45</v>
      </c>
      <c r="C118" s="40">
        <v>0.27900000000000003</v>
      </c>
      <c r="D118" s="15">
        <v>5.7500000000000002E-2</v>
      </c>
      <c r="F118" s="51" t="s">
        <v>45</v>
      </c>
      <c r="G118" s="52">
        <v>-1.4358856574488515E-3</v>
      </c>
      <c r="H118" s="54">
        <v>-3.8519645390875753E-5</v>
      </c>
      <c r="I118" s="54">
        <v>5.7859908619293299E-5</v>
      </c>
      <c r="J118" s="54">
        <v>1.0816245458910892E-5</v>
      </c>
      <c r="K118" s="53">
        <v>-2.4787973528742085E-4</v>
      </c>
      <c r="L118" s="53">
        <v>4.6426132314737972E-4</v>
      </c>
      <c r="M118" s="54">
        <v>-1.9100561305064755E-5</v>
      </c>
      <c r="N118" s="54">
        <v>-7.3150574289230827E-6</v>
      </c>
      <c r="O118" s="53">
        <v>-3.40131171627547E-4</v>
      </c>
      <c r="P118" s="54">
        <v>-4.1532321497819227E-5</v>
      </c>
      <c r="Q118" s="53">
        <v>-1.4186336233649311E-4</v>
      </c>
      <c r="R118" s="54">
        <v>-2.0685185589284689E-5</v>
      </c>
      <c r="S118" s="54">
        <v>-7.5061817808901971E-7</v>
      </c>
      <c r="T118" s="53">
        <v>3.3010326038782197E-3</v>
      </c>
      <c r="U118" s="53">
        <v>-3.7949257417642395E-4</v>
      </c>
      <c r="V118" s="54">
        <v>-7.5745301864954746E-5</v>
      </c>
      <c r="W118" s="53">
        <v>4.2835048584961215E-4</v>
      </c>
      <c r="X118" s="53">
        <v>4.5137884025866484E-4</v>
      </c>
      <c r="Y118" s="53">
        <v>1.3452363729206442E-4</v>
      </c>
      <c r="Z118" s="31">
        <v>1.6639770202355136E-4</v>
      </c>
      <c r="AB118">
        <v>-6.4060000000000002E-3</v>
      </c>
      <c r="AC118">
        <v>-8.3014999999999999E-3</v>
      </c>
      <c r="AD118">
        <v>-3.3256000000000002E-3</v>
      </c>
      <c r="AE118">
        <v>2.2783E-3</v>
      </c>
      <c r="AF118">
        <v>-7.2300999999999997E-3</v>
      </c>
      <c r="AG118">
        <v>8.0622999999999997E-3</v>
      </c>
      <c r="AH118">
        <v>-2.1841E-3</v>
      </c>
      <c r="AI118">
        <v>-1.2696999999999999E-3</v>
      </c>
      <c r="AJ118">
        <v>-3.2621999999999998E-3</v>
      </c>
      <c r="AK118">
        <v>-2.4845000000000002E-3</v>
      </c>
      <c r="AL118">
        <v>2.3230000000000001E-4</v>
      </c>
      <c r="AM118">
        <v>-1.7886800000000001E-2</v>
      </c>
      <c r="AN118">
        <v>-1.74027E-2</v>
      </c>
      <c r="AO118">
        <v>4.90967E-2</v>
      </c>
      <c r="AP118">
        <v>0</v>
      </c>
      <c r="AQ118">
        <v>0</v>
      </c>
      <c r="AR118">
        <v>0</v>
      </c>
      <c r="AS118">
        <v>0</v>
      </c>
      <c r="AT118">
        <v>0</v>
      </c>
      <c r="AU118">
        <v>0</v>
      </c>
      <c r="AW118">
        <f t="shared" ca="1" si="16"/>
        <v>0.26460202729660054</v>
      </c>
      <c r="AY118">
        <f ca="1"/>
        <v>4.8533247606044945E-2</v>
      </c>
    </row>
    <row r="119" spans="2:51">
      <c r="B119" s="38" t="s">
        <v>88</v>
      </c>
      <c r="C119" s="40">
        <v>0.14099999999999999</v>
      </c>
      <c r="D119" s="15">
        <v>5.67E-2</v>
      </c>
      <c r="F119" s="51" t="s">
        <v>88</v>
      </c>
      <c r="G119" s="52">
        <v>-9.281880258874514E-4</v>
      </c>
      <c r="H119" s="54">
        <v>-3.1082444029515703E-5</v>
      </c>
      <c r="I119" s="53">
        <v>1.0893900876288576E-4</v>
      </c>
      <c r="J119" s="54">
        <v>-8.8727520329461267E-7</v>
      </c>
      <c r="K119" s="53">
        <v>-3.4910874015299661E-4</v>
      </c>
      <c r="L119" s="53">
        <v>-1.9970484277963442E-4</v>
      </c>
      <c r="M119" s="53">
        <v>1.8160330668097214E-4</v>
      </c>
      <c r="N119" s="54">
        <v>-4.0158410614158103E-5</v>
      </c>
      <c r="O119" s="53">
        <v>-1.5383917098825951E-4</v>
      </c>
      <c r="P119" s="54">
        <v>7.0814625194517985E-5</v>
      </c>
      <c r="Q119" s="54">
        <v>-9.023241621233322E-5</v>
      </c>
      <c r="R119" s="54">
        <v>-1.7152577122223649E-5</v>
      </c>
      <c r="S119" s="54">
        <v>1.0332767474463164E-6</v>
      </c>
      <c r="T119" s="53">
        <v>-3.7949257417642395E-4</v>
      </c>
      <c r="U119" s="53">
        <v>3.2159450130581457E-3</v>
      </c>
      <c r="V119" s="53">
        <v>-1.3235688749364883E-4</v>
      </c>
      <c r="W119" s="54">
        <v>-9.6346449039424027E-5</v>
      </c>
      <c r="X119" s="54">
        <v>-8.2881198349108603E-5</v>
      </c>
      <c r="Y119" s="53">
        <v>-2.6578317136230695E-4</v>
      </c>
      <c r="Z119" s="55">
        <v>5.9381897518918824E-5</v>
      </c>
      <c r="AB119">
        <v>-4.1371999999999997E-3</v>
      </c>
      <c r="AC119">
        <v>-6.4174000000000002E-3</v>
      </c>
      <c r="AD119">
        <v>-8.4960000000000005E-4</v>
      </c>
      <c r="AE119">
        <v>-2.0206999999999998E-3</v>
      </c>
      <c r="AF119">
        <v>-8.2809000000000008E-3</v>
      </c>
      <c r="AG119">
        <v>-4.1447000000000003E-3</v>
      </c>
      <c r="AH119">
        <v>9.4550000000000005E-4</v>
      </c>
      <c r="AI119">
        <v>-2.7320000000000001E-3</v>
      </c>
      <c r="AJ119">
        <v>-1.6000999999999999E-3</v>
      </c>
      <c r="AK119">
        <v>-9.3939999999999996E-4</v>
      </c>
      <c r="AL119">
        <v>-6.1169999999999996E-4</v>
      </c>
      <c r="AM119">
        <v>-1.6568800000000002E-2</v>
      </c>
      <c r="AN119">
        <v>-7.9354999999999998E-3</v>
      </c>
      <c r="AO119">
        <v>-1.8896E-2</v>
      </c>
      <c r="AP119">
        <v>4.86252E-2</v>
      </c>
      <c r="AQ119">
        <v>0</v>
      </c>
      <c r="AR119">
        <v>0</v>
      </c>
      <c r="AS119">
        <v>0</v>
      </c>
      <c r="AT119">
        <v>0</v>
      </c>
      <c r="AU119">
        <v>0</v>
      </c>
      <c r="AW119">
        <f t="shared" ca="1" si="16"/>
        <v>-1.181254753079481</v>
      </c>
      <c r="AY119">
        <f ca="1"/>
        <v>-4.677718194955903E-2</v>
      </c>
    </row>
    <row r="120" spans="2:51">
      <c r="B120" s="38" t="s">
        <v>89</v>
      </c>
      <c r="C120" s="40">
        <v>0.14199999999999999</v>
      </c>
      <c r="D120" s="15">
        <v>4.1799999999999997E-2</v>
      </c>
      <c r="F120" s="51" t="s">
        <v>89</v>
      </c>
      <c r="G120" s="52">
        <v>6.0632110003988908E-4</v>
      </c>
      <c r="H120" s="54">
        <v>-7.678544011613389E-6</v>
      </c>
      <c r="I120" s="54">
        <v>8.413948495551394E-5</v>
      </c>
      <c r="J120" s="54">
        <v>-1.0490263772347185E-5</v>
      </c>
      <c r="K120" s="54">
        <v>9.6337549426348543E-5</v>
      </c>
      <c r="L120" s="54">
        <v>-3.1858541114487818E-5</v>
      </c>
      <c r="M120" s="54">
        <v>-9.5782021098041837E-5</v>
      </c>
      <c r="N120" s="54">
        <v>-4.0095752438433583E-5</v>
      </c>
      <c r="O120" s="54">
        <v>-2.461492621859702E-5</v>
      </c>
      <c r="P120" s="54">
        <v>4.1630657316601512E-5</v>
      </c>
      <c r="Q120" s="54">
        <v>4.2231828610757106E-5</v>
      </c>
      <c r="R120" s="54">
        <v>-2.4362204716179187E-5</v>
      </c>
      <c r="S120" s="54">
        <v>1.5158131165910479E-7</v>
      </c>
      <c r="T120" s="54">
        <v>-7.5745301864954746E-5</v>
      </c>
      <c r="U120" s="53">
        <v>-1.3235688749364883E-4</v>
      </c>
      <c r="V120" s="53">
        <v>1.7463605752757177E-3</v>
      </c>
      <c r="W120" s="53">
        <v>1.6755544937718279E-4</v>
      </c>
      <c r="X120" s="53">
        <v>-1.0312158184020209E-4</v>
      </c>
      <c r="Y120" s="54">
        <v>-6.754456392034952E-5</v>
      </c>
      <c r="Z120" s="31">
        <v>-1.4123273441618193E-4</v>
      </c>
      <c r="AB120">
        <v>2.7136999999999999E-3</v>
      </c>
      <c r="AC120">
        <v>-5.6720000000000002E-4</v>
      </c>
      <c r="AD120">
        <v>3.0547999999999999E-3</v>
      </c>
      <c r="AE120">
        <v>-3.5598000000000001E-3</v>
      </c>
      <c r="AF120">
        <v>2.6272000000000001E-3</v>
      </c>
      <c r="AG120">
        <v>-9.859999999999999E-4</v>
      </c>
      <c r="AH120">
        <v>-9.4819999999999995E-4</v>
      </c>
      <c r="AI120">
        <v>-1.695E-4</v>
      </c>
      <c r="AJ120">
        <v>-5.7779999999999995E-4</v>
      </c>
      <c r="AK120">
        <v>1.0923E-3</v>
      </c>
      <c r="AL120">
        <v>-7.3820000000000005E-4</v>
      </c>
      <c r="AM120">
        <v>-6.2648000000000001E-3</v>
      </c>
      <c r="AN120">
        <v>-3.6606999999999998E-3</v>
      </c>
      <c r="AO120">
        <v>-3.9697999999999999E-3</v>
      </c>
      <c r="AP120">
        <v>-6.5218000000000003E-3</v>
      </c>
      <c r="AQ120">
        <v>3.9981200000000001E-2</v>
      </c>
      <c r="AR120">
        <v>0</v>
      </c>
      <c r="AS120">
        <v>0</v>
      </c>
      <c r="AT120">
        <v>0</v>
      </c>
      <c r="AU120">
        <v>0</v>
      </c>
      <c r="AW120">
        <f t="shared" ca="1" si="16"/>
        <v>1.2846658847557184</v>
      </c>
      <c r="AY120">
        <f ca="1"/>
        <v>4.8918929943338886E-2</v>
      </c>
    </row>
    <row r="121" spans="2:51">
      <c r="B121" s="38" t="s">
        <v>67</v>
      </c>
      <c r="C121" s="40">
        <v>-0.29799999999999999</v>
      </c>
      <c r="D121" s="15">
        <v>8.3500000000000005E-2</v>
      </c>
      <c r="F121" s="51" t="s">
        <v>67</v>
      </c>
      <c r="G121" s="52">
        <v>-5.5197863916401054E-3</v>
      </c>
      <c r="H121" s="54">
        <v>-1.7311581993292516E-6</v>
      </c>
      <c r="I121" s="54">
        <v>6.3662824792297365E-6</v>
      </c>
      <c r="J121" s="54">
        <v>-1.5583553713620419E-5</v>
      </c>
      <c r="K121" s="54">
        <v>-2.3730874910595051E-5</v>
      </c>
      <c r="L121" s="53">
        <v>-1.8743038211096726E-4</v>
      </c>
      <c r="M121" s="54">
        <v>6.3245774737415004E-5</v>
      </c>
      <c r="N121" s="53">
        <v>1.3770305190781816E-4</v>
      </c>
      <c r="O121" s="53">
        <v>-3.5389506330177616E-4</v>
      </c>
      <c r="P121" s="54">
        <v>3.0187406606530025E-5</v>
      </c>
      <c r="Q121" s="53">
        <v>-4.9466686926509377E-4</v>
      </c>
      <c r="R121" s="54">
        <v>5.5889974548504517E-5</v>
      </c>
      <c r="S121" s="54">
        <v>1.6259946851082685E-6</v>
      </c>
      <c r="T121" s="53">
        <v>4.2835048584961215E-4</v>
      </c>
      <c r="U121" s="54">
        <v>-9.6346449039424027E-5</v>
      </c>
      <c r="V121" s="53">
        <v>1.6755544937718279E-4</v>
      </c>
      <c r="W121" s="53">
        <v>6.9706611063248087E-3</v>
      </c>
      <c r="X121" s="53">
        <v>4.3310397176254201E-3</v>
      </c>
      <c r="Y121" s="53">
        <v>4.5804182169843126E-3</v>
      </c>
      <c r="Z121" s="31">
        <v>4.5033400652834676E-3</v>
      </c>
      <c r="AB121">
        <v>-2.4556399999999999E-2</v>
      </c>
      <c r="AC121">
        <v>-6.9874999999999998E-3</v>
      </c>
      <c r="AD121">
        <v>-1.4034100000000001E-2</v>
      </c>
      <c r="AE121">
        <v>-1.73834E-2</v>
      </c>
      <c r="AF121">
        <v>-1.06912E-2</v>
      </c>
      <c r="AG121">
        <v>-9.2262999999999998E-3</v>
      </c>
      <c r="AH121">
        <v>-6.6407999999999997E-3</v>
      </c>
      <c r="AI121">
        <v>-4.1241999999999997E-3</v>
      </c>
      <c r="AJ121">
        <v>-4.2485999999999999E-3</v>
      </c>
      <c r="AK121">
        <v>-1.24171E-2</v>
      </c>
      <c r="AL121">
        <v>-4.6936E-3</v>
      </c>
      <c r="AM121">
        <v>-3.6903900000000003E-2</v>
      </c>
      <c r="AN121">
        <v>-1.9779999999999999E-2</v>
      </c>
      <c r="AO121">
        <v>-1.7576999999999999E-2</v>
      </c>
      <c r="AP121">
        <v>-3.17425E-2</v>
      </c>
      <c r="AQ121">
        <v>-8.6815999999999994E-3</v>
      </c>
      <c r="AR121">
        <v>4.7107999999999997E-2</v>
      </c>
      <c r="AS121">
        <v>0</v>
      </c>
      <c r="AT121">
        <v>0</v>
      </c>
      <c r="AU121">
        <v>0</v>
      </c>
      <c r="AW121">
        <f t="shared" ca="1" si="16"/>
        <v>-0.22454071288341779</v>
      </c>
      <c r="AY121">
        <f ca="1"/>
        <v>5.1132863667866832E-2</v>
      </c>
    </row>
    <row r="122" spans="2:51">
      <c r="B122" s="38" t="s">
        <v>68</v>
      </c>
      <c r="C122" s="40">
        <v>-7.0000000000000001E-3</v>
      </c>
      <c r="D122" s="15">
        <v>8.7900000000000006E-2</v>
      </c>
      <c r="F122" s="51" t="s">
        <v>68</v>
      </c>
      <c r="G122" s="52">
        <v>-4.732427083220349E-3</v>
      </c>
      <c r="H122" s="54">
        <v>3.9901099170851357E-6</v>
      </c>
      <c r="I122" s="53">
        <v>-1.3627996646820947E-4</v>
      </c>
      <c r="J122" s="54">
        <v>-1.3120511090263984E-5</v>
      </c>
      <c r="K122" s="53">
        <v>1.2679727723968043E-4</v>
      </c>
      <c r="L122" s="53">
        <v>-2.3428563717602319E-4</v>
      </c>
      <c r="M122" s="53">
        <v>9.404492354845096E-4</v>
      </c>
      <c r="N122" s="53">
        <v>2.183092850335463E-4</v>
      </c>
      <c r="O122" s="53">
        <v>3.0705265612229396E-4</v>
      </c>
      <c r="P122" s="54">
        <v>-4.2562012085585913E-6</v>
      </c>
      <c r="Q122" s="53">
        <v>-2.7553873581964168E-4</v>
      </c>
      <c r="R122" s="54">
        <v>9.8757085678097605E-7</v>
      </c>
      <c r="S122" s="54">
        <v>1.8053774927331815E-6</v>
      </c>
      <c r="T122" s="53">
        <v>4.5137884025866484E-4</v>
      </c>
      <c r="U122" s="54">
        <v>-8.2881198349108603E-5</v>
      </c>
      <c r="V122" s="53">
        <v>-1.0312158184020209E-4</v>
      </c>
      <c r="W122" s="53">
        <v>4.3310397176254201E-3</v>
      </c>
      <c r="X122" s="53">
        <v>7.7324928584029777E-3</v>
      </c>
      <c r="Y122" s="53">
        <v>4.5729183153811375E-3</v>
      </c>
      <c r="Z122" s="31">
        <v>4.3257570944346324E-3</v>
      </c>
      <c r="AB122">
        <v>-2.1042000000000002E-2</v>
      </c>
      <c r="AC122">
        <v>-5.0559999999999997E-3</v>
      </c>
      <c r="AD122">
        <v>-1.47651E-2</v>
      </c>
      <c r="AE122">
        <v>-1.5143999999999999E-2</v>
      </c>
      <c r="AF122">
        <v>-6.8117000000000004E-3</v>
      </c>
      <c r="AG122">
        <v>-9.2969999999999997E-3</v>
      </c>
      <c r="AH122">
        <v>1.0553699999999999E-2</v>
      </c>
      <c r="AI122">
        <v>-4.2236000000000001E-3</v>
      </c>
      <c r="AJ122">
        <v>4.0536000000000001E-3</v>
      </c>
      <c r="AK122">
        <v>-1.0548500000000001E-2</v>
      </c>
      <c r="AL122">
        <v>-2.5176E-3</v>
      </c>
      <c r="AM122">
        <v>-4.2520599999999999E-2</v>
      </c>
      <c r="AN122">
        <v>-1.8214999999999999E-2</v>
      </c>
      <c r="AO122">
        <v>-1.6048300000000001E-2</v>
      </c>
      <c r="AP122">
        <v>-3.1244299999999999E-2</v>
      </c>
      <c r="AQ122">
        <v>-1.5634599999999998E-2</v>
      </c>
      <c r="AR122">
        <v>-5.5846000000000003E-3</v>
      </c>
      <c r="AS122">
        <v>5.2621899999999999E-2</v>
      </c>
      <c r="AT122">
        <v>0</v>
      </c>
      <c r="AU122">
        <v>0</v>
      </c>
      <c r="AW122">
        <f t="shared" ca="1" si="16"/>
        <v>-0.64140369694914834</v>
      </c>
      <c r="AY122">
        <f ca="1"/>
        <v>3.951798206563982E-2</v>
      </c>
    </row>
    <row r="123" spans="2:51">
      <c r="B123" s="38" t="s">
        <v>69</v>
      </c>
      <c r="C123" s="40">
        <v>-8.2000000000000003E-2</v>
      </c>
      <c r="D123" s="15">
        <v>9.5000000000000001E-2</v>
      </c>
      <c r="F123" s="51" t="s">
        <v>69</v>
      </c>
      <c r="G123" s="52">
        <v>-6.1529671175138724E-3</v>
      </c>
      <c r="H123" s="54">
        <v>5.1496711058768428E-5</v>
      </c>
      <c r="I123" s="53">
        <v>3.2974246531152862E-4</v>
      </c>
      <c r="J123" s="54">
        <v>-3.3506162111111679E-5</v>
      </c>
      <c r="K123" s="54">
        <v>-3.2630997991808081E-5</v>
      </c>
      <c r="L123" s="53">
        <v>-5.180330216860722E-4</v>
      </c>
      <c r="M123" s="53">
        <v>4.8876470021184362E-4</v>
      </c>
      <c r="N123" s="53">
        <v>-3.2324792022379151E-4</v>
      </c>
      <c r="O123" s="53">
        <v>-2.6395965061475611E-4</v>
      </c>
      <c r="P123" s="54">
        <v>1.1445779122688501E-5</v>
      </c>
      <c r="Q123" s="53">
        <v>-7.3080738408617518E-4</v>
      </c>
      <c r="R123" s="54">
        <v>7.3337107411322274E-5</v>
      </c>
      <c r="S123" s="54">
        <v>1.8492076291767428E-6</v>
      </c>
      <c r="T123" s="53">
        <v>1.3452363729206442E-4</v>
      </c>
      <c r="U123" s="53">
        <v>-2.6578317136230695E-4</v>
      </c>
      <c r="V123" s="54">
        <v>-6.754456392034952E-5</v>
      </c>
      <c r="W123" s="53">
        <v>4.5804182169843126E-3</v>
      </c>
      <c r="X123" s="53">
        <v>4.5729183153811375E-3</v>
      </c>
      <c r="Y123" s="53">
        <v>9.0250839352011749E-3</v>
      </c>
      <c r="Z123" s="31">
        <v>4.8320895337323286E-3</v>
      </c>
      <c r="AB123">
        <v>-2.7359000000000001E-2</v>
      </c>
      <c r="AC123">
        <v>1.3071999999999999E-3</v>
      </c>
      <c r="AD123">
        <v>-8.2354000000000004E-3</v>
      </c>
      <c r="AE123">
        <v>-2.56545E-2</v>
      </c>
      <c r="AF123">
        <v>-1.04621E-2</v>
      </c>
      <c r="AG123">
        <v>-1.67355E-2</v>
      </c>
      <c r="AH123">
        <v>1.1867E-3</v>
      </c>
      <c r="AI123">
        <v>-1.26292E-2</v>
      </c>
      <c r="AJ123">
        <v>-1.4331999999999999E-3</v>
      </c>
      <c r="AK123">
        <v>-1.41531E-2</v>
      </c>
      <c r="AL123">
        <v>-8.8839999999999995E-3</v>
      </c>
      <c r="AM123">
        <v>-3.29203E-2</v>
      </c>
      <c r="AN123">
        <v>-1.6795600000000001E-2</v>
      </c>
      <c r="AO123">
        <v>-1.7850700000000001E-2</v>
      </c>
      <c r="AP123">
        <v>-3.4186500000000002E-2</v>
      </c>
      <c r="AQ123">
        <v>-1.5062799999999999E-2</v>
      </c>
      <c r="AR123">
        <v>-5.4137999999999999E-3</v>
      </c>
      <c r="AS123">
        <v>-5.5836000000000002E-3</v>
      </c>
      <c r="AT123">
        <v>5.9845599999999999E-2</v>
      </c>
      <c r="AU123">
        <v>0</v>
      </c>
      <c r="AW123">
        <f t="shared" ca="1" si="16"/>
        <v>1.1581339196537558E-2</v>
      </c>
      <c r="AY123">
        <f ca="1"/>
        <v>5.6968848071981423E-2</v>
      </c>
    </row>
    <row r="124" spans="2:51" ht="17" thickBot="1">
      <c r="B124" s="38" t="s">
        <v>70</v>
      </c>
      <c r="C124" s="40">
        <v>-0.17799999999999999</v>
      </c>
      <c r="D124" s="15">
        <v>9.7199999999999995E-2</v>
      </c>
      <c r="F124" s="57" t="s">
        <v>70</v>
      </c>
      <c r="G124" s="58">
        <v>-7.1036532006467932E-3</v>
      </c>
      <c r="H124" s="60">
        <v>5.8083485007865385E-5</v>
      </c>
      <c r="I124" s="59">
        <v>4.7153520642846718E-4</v>
      </c>
      <c r="J124" s="60">
        <v>-1.1984207597891388E-5</v>
      </c>
      <c r="K124" s="59">
        <v>1.3478926441635997E-4</v>
      </c>
      <c r="L124" s="59">
        <v>-5.1961291866601655E-4</v>
      </c>
      <c r="M124" s="59">
        <v>-1.9231851324792376E-4</v>
      </c>
      <c r="N124" s="59">
        <v>-2.2724023755070068E-4</v>
      </c>
      <c r="O124" s="59">
        <v>-3.3073992568759811E-4</v>
      </c>
      <c r="P124" s="60">
        <v>-1.8598797330442969E-5</v>
      </c>
      <c r="Q124" s="59">
        <v>-5.7744988198609913E-4</v>
      </c>
      <c r="R124" s="60">
        <v>6.1651142874822972E-5</v>
      </c>
      <c r="S124" s="60">
        <v>2.3337316396635354E-6</v>
      </c>
      <c r="T124" s="59">
        <v>1.6639770202355136E-4</v>
      </c>
      <c r="U124" s="60">
        <v>5.9381897518918824E-5</v>
      </c>
      <c r="V124" s="59">
        <v>-1.4123273441618193E-4</v>
      </c>
      <c r="W124" s="59">
        <v>4.5033400652834676E-3</v>
      </c>
      <c r="X124" s="59">
        <v>4.3257570944346324E-3</v>
      </c>
      <c r="Y124" s="59">
        <v>4.8320895337323286E-3</v>
      </c>
      <c r="Z124" s="37">
        <v>9.4477402391478539E-3</v>
      </c>
      <c r="AB124">
        <v>-3.1585200000000001E-2</v>
      </c>
      <c r="AC124">
        <v>1.2763E-3</v>
      </c>
      <c r="AD124">
        <v>-7.7910000000000002E-3</v>
      </c>
      <c r="AE124">
        <v>-1.7014000000000001E-2</v>
      </c>
      <c r="AF124">
        <v>-7.7130000000000002E-3</v>
      </c>
      <c r="AG124">
        <v>-1.5759800000000001E-2</v>
      </c>
      <c r="AH124">
        <v>-1.22548E-2</v>
      </c>
      <c r="AI124">
        <v>-9.4433999999999994E-3</v>
      </c>
      <c r="AJ124">
        <v>-1.1100999999999999E-3</v>
      </c>
      <c r="AK124">
        <v>-1.4949499999999999E-2</v>
      </c>
      <c r="AL124">
        <v>-6.4459000000000001E-3</v>
      </c>
      <c r="AM124">
        <v>-3.7869199999999999E-2</v>
      </c>
      <c r="AN124">
        <v>-1.3332500000000001E-2</v>
      </c>
      <c r="AO124">
        <v>-1.8840200000000001E-2</v>
      </c>
      <c r="AP124">
        <v>-2.7897499999999999E-2</v>
      </c>
      <c r="AQ124">
        <v>-1.57745E-2</v>
      </c>
      <c r="AR124">
        <v>-5.4231000000000001E-3</v>
      </c>
      <c r="AS124">
        <v>-5.3943999999999997E-3</v>
      </c>
      <c r="AT124">
        <v>-5.2429E-3</v>
      </c>
      <c r="AU124">
        <v>6.4862900000000001E-2</v>
      </c>
      <c r="AW124">
        <f t="shared" ca="1" si="16"/>
        <v>-0.78081442392943246</v>
      </c>
      <c r="AY124">
        <f ca="1"/>
        <v>-1.2551130969979625E-2</v>
      </c>
    </row>
    <row r="125" spans="2:51" ht="17" thickTop="1">
      <c r="B125" s="38" t="s">
        <v>90</v>
      </c>
      <c r="C125" s="41" t="s">
        <v>96</v>
      </c>
      <c r="D125" s="42"/>
    </row>
    <row r="126" spans="2:51" ht="17" thickBot="1">
      <c r="B126" s="43" t="s">
        <v>92</v>
      </c>
      <c r="C126" s="44">
        <v>1.4470000000000001</v>
      </c>
      <c r="D126" s="16">
        <v>4.7399999999999998E-2</v>
      </c>
    </row>
    <row r="127" spans="2:51" ht="17" thickTop="1"/>
    <row r="128" spans="2:51">
      <c r="B128" s="64" t="s">
        <v>129</v>
      </c>
    </row>
    <row r="129" spans="2:55" ht="17" thickBot="1"/>
    <row r="130" spans="2:55" ht="18" thickTop="1" thickBot="1">
      <c r="B130" s="288" t="s">
        <v>36</v>
      </c>
      <c r="C130" s="290" t="s">
        <v>76</v>
      </c>
      <c r="D130" s="292" t="s">
        <v>77</v>
      </c>
    </row>
    <row r="131" spans="2:55" ht="18" thickTop="1" thickBot="1">
      <c r="B131" s="289"/>
      <c r="C131" s="291"/>
      <c r="D131" s="293"/>
      <c r="F131" s="45"/>
      <c r="G131" s="17" t="s">
        <v>78</v>
      </c>
      <c r="H131" s="18" t="s">
        <v>37</v>
      </c>
      <c r="I131" s="18" t="s">
        <v>79</v>
      </c>
      <c r="J131" s="18" t="s">
        <v>80</v>
      </c>
      <c r="K131" s="18" t="s">
        <v>40</v>
      </c>
      <c r="L131" s="18" t="s">
        <v>81</v>
      </c>
      <c r="M131" s="18" t="s">
        <v>82</v>
      </c>
      <c r="N131" s="18" t="s">
        <v>44</v>
      </c>
      <c r="O131" s="18" t="s">
        <v>126</v>
      </c>
      <c r="P131" s="18" t="s">
        <v>83</v>
      </c>
      <c r="Q131" s="18" t="s">
        <v>84</v>
      </c>
      <c r="R131" s="18" t="s">
        <v>85</v>
      </c>
      <c r="S131" s="18" t="s">
        <v>86</v>
      </c>
      <c r="T131" s="18" t="s">
        <v>87</v>
      </c>
      <c r="U131" s="18" t="s">
        <v>38</v>
      </c>
      <c r="V131" s="18" t="s">
        <v>45</v>
      </c>
      <c r="W131" s="18" t="s">
        <v>88</v>
      </c>
      <c r="X131" s="18" t="s">
        <v>89</v>
      </c>
      <c r="Y131" s="18" t="s">
        <v>67</v>
      </c>
      <c r="Z131" s="18" t="s">
        <v>68</v>
      </c>
      <c r="AA131" s="18" t="s">
        <v>69</v>
      </c>
      <c r="AB131" s="19" t="s">
        <v>70</v>
      </c>
      <c r="AD131" t="s">
        <v>97</v>
      </c>
      <c r="AE131" t="s">
        <v>98</v>
      </c>
      <c r="AF131" t="s">
        <v>99</v>
      </c>
      <c r="AG131" t="s">
        <v>100</v>
      </c>
      <c r="AH131" t="s">
        <v>101</v>
      </c>
      <c r="AI131" t="s">
        <v>102</v>
      </c>
      <c r="AJ131" t="s">
        <v>103</v>
      </c>
      <c r="AK131" t="s">
        <v>104</v>
      </c>
      <c r="AL131" t="s">
        <v>105</v>
      </c>
      <c r="AM131" t="s">
        <v>106</v>
      </c>
      <c r="AN131" t="s">
        <v>107</v>
      </c>
      <c r="AO131" t="s">
        <v>108</v>
      </c>
      <c r="AP131" t="s">
        <v>109</v>
      </c>
      <c r="AQ131" t="s">
        <v>110</v>
      </c>
      <c r="AR131" t="s">
        <v>111</v>
      </c>
      <c r="AS131" t="s">
        <v>112</v>
      </c>
      <c r="AT131" t="s">
        <v>113</v>
      </c>
      <c r="AU131" t="s">
        <v>114</v>
      </c>
      <c r="AV131" t="s">
        <v>115</v>
      </c>
      <c r="AW131" t="s">
        <v>116</v>
      </c>
      <c r="AX131" t="s">
        <v>131</v>
      </c>
      <c r="AY131" t="s">
        <v>132</v>
      </c>
      <c r="BA131" t="s">
        <v>24</v>
      </c>
      <c r="BC131" t="s">
        <v>25</v>
      </c>
    </row>
    <row r="132" spans="2:55" ht="17" thickTop="1">
      <c r="B132" s="46" t="s">
        <v>78</v>
      </c>
      <c r="C132" s="76">
        <v>-9.8985462916715075E-3</v>
      </c>
      <c r="D132" s="71">
        <v>0.65847648049321572</v>
      </c>
      <c r="F132" s="46" t="s">
        <v>78</v>
      </c>
      <c r="G132" s="47">
        <v>0.43359127536273223</v>
      </c>
      <c r="H132" s="48">
        <v>-3.0057338084526594E-3</v>
      </c>
      <c r="I132" s="48">
        <v>-5.3821192106831998E-2</v>
      </c>
      <c r="J132" s="48">
        <v>-1.3394626807887351E-3</v>
      </c>
      <c r="K132" s="48">
        <v>-1.9426775545910272E-2</v>
      </c>
      <c r="L132" s="48">
        <v>-7.2466407490045194E-3</v>
      </c>
      <c r="M132" s="48">
        <v>-1.7160625166177709E-2</v>
      </c>
      <c r="N132" s="48">
        <v>-2.200057231276099E-2</v>
      </c>
      <c r="O132" s="48">
        <v>8.012547099978503E-3</v>
      </c>
      <c r="P132" s="48">
        <v>-2.5147943577280396E-2</v>
      </c>
      <c r="Q132" s="48">
        <v>-1.2532998920697274E-2</v>
      </c>
      <c r="R132" s="48">
        <v>-2.4503320970123723E-2</v>
      </c>
      <c r="S132" s="48">
        <v>-1.4764077884829705E-2</v>
      </c>
      <c r="T132" s="48">
        <v>-4.2561346443398453E-3</v>
      </c>
      <c r="U132" s="49">
        <v>-1.151381091424435E-5</v>
      </c>
      <c r="V132" s="48">
        <v>-2.307139515927055E-2</v>
      </c>
      <c r="W132" s="48">
        <v>-8.4197748033978774E-3</v>
      </c>
      <c r="X132" s="48">
        <v>5.9001985012838119E-3</v>
      </c>
      <c r="Y132" s="48">
        <v>-4.844509511037267E-2</v>
      </c>
      <c r="Z132" s="48">
        <v>-4.611662772728603E-2</v>
      </c>
      <c r="AA132" s="48">
        <v>-5.4938934138856005E-2</v>
      </c>
      <c r="AB132" s="50">
        <v>-5.3902422584669714E-2</v>
      </c>
      <c r="AD132">
        <v>0.65847549999999999</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BA132">
        <f ca="1">_xlfn.NORM.INV(RAND(),0,1)</f>
        <v>-0.28535171771472562</v>
      </c>
      <c r="BC132">
        <f t="array" aca="1" ref="BC132:BC153" ca="1">MMULT(AD132:AY153,BA132:BA153)</f>
        <v>-0.1878971149980628</v>
      </c>
    </row>
    <row r="133" spans="2:55">
      <c r="B133" s="51" t="s">
        <v>37</v>
      </c>
      <c r="C133" s="77">
        <v>1.7226593642652988E-2</v>
      </c>
      <c r="D133" s="32">
        <v>1.5933391329358726E-2</v>
      </c>
      <c r="F133" s="51" t="s">
        <v>37</v>
      </c>
      <c r="G133" s="52">
        <v>-3.0057338084526594E-3</v>
      </c>
      <c r="H133" s="53">
        <v>2.5387295925448388E-4</v>
      </c>
      <c r="I133" s="53">
        <v>1.1367864894463516E-4</v>
      </c>
      <c r="J133" s="54">
        <v>1.1287237293154685E-5</v>
      </c>
      <c r="K133" s="54">
        <v>3.7574350349343642E-6</v>
      </c>
      <c r="L133" s="54">
        <v>3.3203767541704612E-5</v>
      </c>
      <c r="M133" s="53">
        <v>1.063461941527026E-4</v>
      </c>
      <c r="N133" s="53">
        <v>-1.8549523497165098E-4</v>
      </c>
      <c r="O133" s="54">
        <v>-9.109306261828471E-6</v>
      </c>
      <c r="P133" s="54">
        <v>-5.4717357952689196E-5</v>
      </c>
      <c r="Q133" s="53">
        <v>2.5868604239214117E-4</v>
      </c>
      <c r="R133" s="53">
        <v>-1.0307904522366877E-4</v>
      </c>
      <c r="S133" s="54">
        <v>4.1186097804821379E-5</v>
      </c>
      <c r="T133" s="54">
        <v>-1.3451323871073244E-5</v>
      </c>
      <c r="U133" s="54">
        <v>-3.9623014058136794E-6</v>
      </c>
      <c r="V133" s="53">
        <v>-1.6655093805716554E-4</v>
      </c>
      <c r="W133" s="53">
        <v>-2.0199237051946121E-4</v>
      </c>
      <c r="X133" s="53">
        <v>-1.7699561247175676E-4</v>
      </c>
      <c r="Y133" s="54">
        <v>2.3304611068168572E-5</v>
      </c>
      <c r="Z133" s="53">
        <v>1.2695758563850251E-4</v>
      </c>
      <c r="AA133" s="53">
        <v>4.5886856589226558E-4</v>
      </c>
      <c r="AB133" s="31">
        <v>4.6736750803284469E-4</v>
      </c>
      <c r="AD133">
        <v>-4.5712000000000001E-3</v>
      </c>
      <c r="AE133">
        <v>1.5136200000000001E-2</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BA133">
        <f t="shared" ref="BA133:BA153" ca="1" si="17">_xlfn.NORM.INV(RAND(),0,1)</f>
        <v>-1.0475933716493267E-4</v>
      </c>
      <c r="BC133">
        <f ca="1"/>
        <v>1.3028141137383579E-3</v>
      </c>
    </row>
    <row r="134" spans="2:55">
      <c r="B134" s="51" t="s">
        <v>79</v>
      </c>
      <c r="C134" s="77">
        <v>-3.816338427426888E-2</v>
      </c>
      <c r="D134" s="32">
        <v>0.16496909182502251</v>
      </c>
      <c r="F134" s="51" t="s">
        <v>79</v>
      </c>
      <c r="G134" s="52">
        <v>-5.3821192106831998E-2</v>
      </c>
      <c r="H134" s="53">
        <v>1.1367864894463516E-4</v>
      </c>
      <c r="I134" s="53">
        <v>2.7214801257572706E-2</v>
      </c>
      <c r="J134" s="54">
        <v>3.2407629112476757E-5</v>
      </c>
      <c r="K134" s="53">
        <v>-1.2533068961238473E-3</v>
      </c>
      <c r="L134" s="53">
        <v>5.0775758413841121E-4</v>
      </c>
      <c r="M134" s="53">
        <v>-5.7269859129919099E-4</v>
      </c>
      <c r="N134" s="53">
        <v>-9.9979065535084908E-4</v>
      </c>
      <c r="O134" s="53">
        <v>-7.7654787297483645E-4</v>
      </c>
      <c r="P134" s="53">
        <v>1.043880702201411E-3</v>
      </c>
      <c r="Q134" s="54">
        <v>7.5946557272835809E-5</v>
      </c>
      <c r="R134" s="53">
        <v>-2.9019036048520282E-3</v>
      </c>
      <c r="S134" s="53">
        <v>-1.3932371100220441E-3</v>
      </c>
      <c r="T134" s="54">
        <v>-3.9472512325205701E-5</v>
      </c>
      <c r="U134" s="54">
        <v>1.7102715340452116E-5</v>
      </c>
      <c r="V134" s="53">
        <v>3.5062734872331174E-3</v>
      </c>
      <c r="W134" s="53">
        <v>3.2525971963504637E-4</v>
      </c>
      <c r="X134" s="54">
        <v>-8.74222523743047E-5</v>
      </c>
      <c r="Y134" s="53">
        <v>4.6094989589934264E-3</v>
      </c>
      <c r="Z134" s="53">
        <v>2.0670753397009933E-3</v>
      </c>
      <c r="AA134" s="53">
        <v>5.1958251274885677E-3</v>
      </c>
      <c r="AB134" s="31">
        <v>5.8392498764280052E-3</v>
      </c>
      <c r="AD134">
        <v>-8.1734200000000007E-2</v>
      </c>
      <c r="AE134">
        <v>-1.7416600000000001E-2</v>
      </c>
      <c r="AF134">
        <v>0.14221880000000001</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BA134">
        <f t="shared" ca="1" si="17"/>
        <v>-0.67377473581152236</v>
      </c>
      <c r="BC134">
        <f ca="1"/>
        <v>-7.2498615479921147E-2</v>
      </c>
    </row>
    <row r="135" spans="2:55">
      <c r="B135" s="51" t="s">
        <v>80</v>
      </c>
      <c r="C135" s="77">
        <v>-2.5738916825784157E-2</v>
      </c>
      <c r="D135" s="32">
        <v>6.6152314315082936E-3</v>
      </c>
      <c r="F135" s="51" t="s">
        <v>80</v>
      </c>
      <c r="G135" s="52">
        <v>-1.3394626807887351E-3</v>
      </c>
      <c r="H135" s="54">
        <v>1.1287237293154685E-5</v>
      </c>
      <c r="I135" s="54">
        <v>3.2407629112476757E-5</v>
      </c>
      <c r="J135" s="54">
        <v>4.3761286892415264E-5</v>
      </c>
      <c r="K135" s="54">
        <v>-3.3081154624845036E-5</v>
      </c>
      <c r="L135" s="53">
        <v>-1.8996663960897762E-4</v>
      </c>
      <c r="M135" s="54">
        <v>1.3910165462698805E-5</v>
      </c>
      <c r="N135" s="54">
        <v>-6.3283359796194395E-5</v>
      </c>
      <c r="O135" s="53">
        <v>-1.0065832344744174E-3</v>
      </c>
      <c r="P135" s="54">
        <v>4.475540258541949E-5</v>
      </c>
      <c r="Q135" s="54">
        <v>-3.8989790087469728E-5</v>
      </c>
      <c r="R135" s="54">
        <v>5.4489856413103567E-5</v>
      </c>
      <c r="S135" s="53">
        <v>-1.9394399182843175E-4</v>
      </c>
      <c r="T135" s="54">
        <v>-1.3735177335631709E-5</v>
      </c>
      <c r="U135" s="54">
        <v>-7.3132809189136902E-7</v>
      </c>
      <c r="V135" s="54">
        <v>8.1185301195307562E-5</v>
      </c>
      <c r="W135" s="54">
        <v>-3.7534859614223983E-5</v>
      </c>
      <c r="X135" s="53">
        <v>-1.056273475547656E-4</v>
      </c>
      <c r="Y135" s="54">
        <v>-6.1992021293723365E-6</v>
      </c>
      <c r="Z135" s="54">
        <v>-6.4919384336066614E-5</v>
      </c>
      <c r="AA135" s="53">
        <v>-1.658176737306042E-4</v>
      </c>
      <c r="AB135" s="55">
        <v>4.8635468530020436E-5</v>
      </c>
      <c r="AD135">
        <v>-2.0349999999999999E-3</v>
      </c>
      <c r="AE135">
        <v>1.3109999999999999E-4</v>
      </c>
      <c r="AF135">
        <v>-9.2559999999999995E-4</v>
      </c>
      <c r="AG135">
        <v>6.2246000000000003E-3</v>
      </c>
      <c r="AH135">
        <v>0</v>
      </c>
      <c r="AI135">
        <v>0</v>
      </c>
      <c r="AJ135">
        <v>0</v>
      </c>
      <c r="AK135">
        <v>0</v>
      </c>
      <c r="AL135">
        <v>0</v>
      </c>
      <c r="AM135">
        <v>0</v>
      </c>
      <c r="AN135">
        <v>0</v>
      </c>
      <c r="AO135">
        <v>0</v>
      </c>
      <c r="AP135">
        <v>0</v>
      </c>
      <c r="AQ135">
        <v>0</v>
      </c>
      <c r="AR135">
        <v>0</v>
      </c>
      <c r="AS135">
        <v>0</v>
      </c>
      <c r="AT135">
        <v>0</v>
      </c>
      <c r="AU135">
        <v>0</v>
      </c>
      <c r="AV135">
        <v>0</v>
      </c>
      <c r="AW135">
        <v>0</v>
      </c>
      <c r="AX135">
        <v>0</v>
      </c>
      <c r="AY135">
        <v>0</v>
      </c>
      <c r="BA135">
        <f t="shared" ca="1" si="17"/>
        <v>-2.3414816059958338E-2</v>
      </c>
      <c r="BC135">
        <f ca="1"/>
        <v>1.0585750430206927E-3</v>
      </c>
    </row>
    <row r="136" spans="2:55">
      <c r="B136" s="51" t="s">
        <v>40</v>
      </c>
      <c r="C136" s="77">
        <v>-0.33245011251292556</v>
      </c>
      <c r="D136" s="32">
        <v>0.15908856545711317</v>
      </c>
      <c r="F136" s="51" t="s">
        <v>40</v>
      </c>
      <c r="G136" s="52">
        <v>-1.9426775545910272E-2</v>
      </c>
      <c r="H136" s="54">
        <v>3.7574350349343642E-6</v>
      </c>
      <c r="I136" s="53">
        <v>-1.2533068961238473E-3</v>
      </c>
      <c r="J136" s="54">
        <v>-3.3081154624845036E-5</v>
      </c>
      <c r="K136" s="53">
        <v>2.5309171659202181E-2</v>
      </c>
      <c r="L136" s="53">
        <v>9.0175697684240544E-4</v>
      </c>
      <c r="M136" s="53">
        <v>1.1322014171514989E-3</v>
      </c>
      <c r="N136" s="53">
        <v>2.7171317250718917E-3</v>
      </c>
      <c r="O136" s="53">
        <v>3.5761871658236337E-3</v>
      </c>
      <c r="P136" s="53">
        <v>2.9203873351138247E-3</v>
      </c>
      <c r="Q136" s="53">
        <v>3.326769206423308E-3</v>
      </c>
      <c r="R136" s="53">
        <v>3.4072090094366199E-3</v>
      </c>
      <c r="S136" s="53">
        <v>7.4051743252075445E-3</v>
      </c>
      <c r="T136" s="53">
        <v>1.323558577980249E-4</v>
      </c>
      <c r="U136" s="54">
        <v>-6.1718330995108861E-6</v>
      </c>
      <c r="V136" s="53">
        <v>-3.2289514300218028E-3</v>
      </c>
      <c r="W136" s="53">
        <v>-1.5474317232442583E-3</v>
      </c>
      <c r="X136" s="53">
        <v>1.2022107017008773E-3</v>
      </c>
      <c r="Y136" s="53">
        <v>-1.5605175619642676E-3</v>
      </c>
      <c r="Z136" s="53">
        <v>5.3244493821249508E-4</v>
      </c>
      <c r="AA136" s="53">
        <v>-1.6114613541156733E-4</v>
      </c>
      <c r="AB136" s="31">
        <v>1.5263041077979054E-3</v>
      </c>
      <c r="AD136">
        <v>-2.9507599999999998E-2</v>
      </c>
      <c r="AE136">
        <v>-8.6631E-3</v>
      </c>
      <c r="AF136">
        <v>-2.68084E-2</v>
      </c>
      <c r="AG136">
        <v>-1.8765299999999999E-2</v>
      </c>
      <c r="AH136">
        <v>0.1526219</v>
      </c>
      <c r="AI136">
        <v>0</v>
      </c>
      <c r="AJ136">
        <v>0</v>
      </c>
      <c r="AK136">
        <v>0</v>
      </c>
      <c r="AL136">
        <v>0</v>
      </c>
      <c r="AM136">
        <v>0</v>
      </c>
      <c r="AN136">
        <v>0</v>
      </c>
      <c r="AO136">
        <v>0</v>
      </c>
      <c r="AP136">
        <v>0</v>
      </c>
      <c r="AQ136">
        <v>0</v>
      </c>
      <c r="AR136">
        <v>0</v>
      </c>
      <c r="AS136">
        <v>0</v>
      </c>
      <c r="AT136">
        <v>0</v>
      </c>
      <c r="AU136">
        <v>0</v>
      </c>
      <c r="AV136">
        <v>0</v>
      </c>
      <c r="AW136">
        <v>0</v>
      </c>
      <c r="AX136">
        <v>0</v>
      </c>
      <c r="AY136">
        <v>0</v>
      </c>
      <c r="BA136">
        <f t="shared" ca="1" si="17"/>
        <v>0.19065165710479773</v>
      </c>
      <c r="BC136">
        <f ca="1"/>
        <v>5.6020778707075114E-2</v>
      </c>
    </row>
    <row r="137" spans="2:55">
      <c r="B137" s="51" t="s">
        <v>81</v>
      </c>
      <c r="C137" s="77">
        <v>4.3195681037210228E-2</v>
      </c>
      <c r="D137" s="32">
        <v>0.16119778135003468</v>
      </c>
      <c r="F137" s="51" t="s">
        <v>81</v>
      </c>
      <c r="G137" s="52">
        <v>-7.2466407490045194E-3</v>
      </c>
      <c r="H137" s="54">
        <v>3.3203767541704612E-5</v>
      </c>
      <c r="I137" s="53">
        <v>5.0775758413841121E-4</v>
      </c>
      <c r="J137" s="53">
        <v>-1.8996663960897762E-4</v>
      </c>
      <c r="K137" s="53">
        <v>9.0175697684240544E-4</v>
      </c>
      <c r="L137" s="53">
        <v>2.5984724712173592E-2</v>
      </c>
      <c r="M137" s="53">
        <v>-2.4904428536862782E-3</v>
      </c>
      <c r="N137" s="53">
        <v>-5.3208757179230536E-3</v>
      </c>
      <c r="O137" s="53">
        <v>4.9882101256800305E-4</v>
      </c>
      <c r="P137" s="53">
        <v>8.9655807009774769E-4</v>
      </c>
      <c r="Q137" s="53">
        <v>-7.0373326591848028E-4</v>
      </c>
      <c r="R137" s="53">
        <v>-1.8229297607849716E-4</v>
      </c>
      <c r="S137" s="53">
        <v>2.914140671767959E-4</v>
      </c>
      <c r="T137" s="54">
        <v>6.0958498615482048E-5</v>
      </c>
      <c r="U137" s="54">
        <v>4.2402783499393324E-6</v>
      </c>
      <c r="V137" s="53">
        <v>3.2178565690486947E-3</v>
      </c>
      <c r="W137" s="53">
        <v>-1.6221861907754827E-3</v>
      </c>
      <c r="X137" s="53">
        <v>3.6310401622460098E-4</v>
      </c>
      <c r="Y137" s="53">
        <v>5.3313538144998944E-4</v>
      </c>
      <c r="Z137" s="53">
        <v>1.1617757908051764E-3</v>
      </c>
      <c r="AA137" s="53">
        <v>-4.4670547105366406E-3</v>
      </c>
      <c r="AB137" s="31">
        <v>-4.3365176878707922E-3</v>
      </c>
      <c r="AD137">
        <v>-1.1010300000000001E-2</v>
      </c>
      <c r="AE137">
        <v>-1.1314999999999999E-3</v>
      </c>
      <c r="AF137">
        <v>-2.8801999999999999E-3</v>
      </c>
      <c r="AG137">
        <v>-3.45279E-2</v>
      </c>
      <c r="AH137">
        <v>-1.0472000000000001E-3</v>
      </c>
      <c r="AI137">
        <v>0.1570221</v>
      </c>
      <c r="AJ137">
        <v>0</v>
      </c>
      <c r="AK137">
        <v>0</v>
      </c>
      <c r="AL137">
        <v>0</v>
      </c>
      <c r="AM137">
        <v>0</v>
      </c>
      <c r="AN137">
        <v>0</v>
      </c>
      <c r="AO137">
        <v>0</v>
      </c>
      <c r="AP137">
        <v>0</v>
      </c>
      <c r="AQ137">
        <v>0</v>
      </c>
      <c r="AR137">
        <v>0</v>
      </c>
      <c r="AS137">
        <v>0</v>
      </c>
      <c r="AT137">
        <v>0</v>
      </c>
      <c r="AU137">
        <v>0</v>
      </c>
      <c r="AV137">
        <v>0</v>
      </c>
      <c r="AW137">
        <v>0</v>
      </c>
      <c r="AX137">
        <v>0</v>
      </c>
      <c r="AY137">
        <v>0</v>
      </c>
      <c r="BA137">
        <f t="shared" ca="1" si="17"/>
        <v>-0.62910248798894242</v>
      </c>
      <c r="BC137">
        <f ca="1"/>
        <v>-9.3091647220303234E-2</v>
      </c>
    </row>
    <row r="138" spans="2:55">
      <c r="B138" s="51" t="s">
        <v>82</v>
      </c>
      <c r="C138" s="77">
        <v>1.2512976283737071E-2</v>
      </c>
      <c r="D138" s="32">
        <v>0.16395452587304682</v>
      </c>
      <c r="F138" s="51" t="s">
        <v>82</v>
      </c>
      <c r="G138" s="52">
        <v>-1.7160625166177709E-2</v>
      </c>
      <c r="H138" s="53">
        <v>1.063461941527026E-4</v>
      </c>
      <c r="I138" s="53">
        <v>-5.7269859129919099E-4</v>
      </c>
      <c r="J138" s="54">
        <v>1.3910165462698805E-5</v>
      </c>
      <c r="K138" s="53">
        <v>1.1322014171514989E-3</v>
      </c>
      <c r="L138" s="53">
        <v>-2.4904428536862782E-3</v>
      </c>
      <c r="M138" s="53">
        <v>2.6881086554255581E-2</v>
      </c>
      <c r="N138" s="53">
        <v>-3.8118967001688066E-3</v>
      </c>
      <c r="O138" s="53">
        <v>-1.2072722974252343E-3</v>
      </c>
      <c r="P138" s="53">
        <v>4.3461530537275955E-3</v>
      </c>
      <c r="Q138" s="53">
        <v>2.5321913951197967E-3</v>
      </c>
      <c r="R138" s="53">
        <v>-1.3821361329122786E-3</v>
      </c>
      <c r="S138" s="53">
        <v>-2.1207499728879979E-3</v>
      </c>
      <c r="T138" s="54">
        <v>2.6930643732457521E-5</v>
      </c>
      <c r="U138" s="54">
        <v>4.1160250313863511E-6</v>
      </c>
      <c r="V138" s="53">
        <v>2.3791399620658855E-3</v>
      </c>
      <c r="W138" s="53">
        <v>-8.478304764707262E-4</v>
      </c>
      <c r="X138" s="53">
        <v>-4.4024030823683043E-4</v>
      </c>
      <c r="Y138" s="53">
        <v>2.7983519030629418E-3</v>
      </c>
      <c r="Z138" s="53">
        <v>1.0209695107124236E-2</v>
      </c>
      <c r="AA138" s="53">
        <v>9.1706176649854493E-3</v>
      </c>
      <c r="AB138" s="31">
        <v>1.2848912065312537E-3</v>
      </c>
      <c r="AD138">
        <v>-2.6060199999999999E-2</v>
      </c>
      <c r="AE138">
        <v>-6.0289999999999996E-4</v>
      </c>
      <c r="AF138">
        <v>-1.9058700000000001E-2</v>
      </c>
      <c r="AG138">
        <v>-9.1064000000000006E-3</v>
      </c>
      <c r="AH138">
        <v>-2.1361000000000002E-3</v>
      </c>
      <c r="AI138">
        <v>-2.00556E-2</v>
      </c>
      <c r="AJ138">
        <v>0.15920909999999999</v>
      </c>
      <c r="AK138">
        <v>0</v>
      </c>
      <c r="AL138">
        <v>0</v>
      </c>
      <c r="AM138">
        <v>0</v>
      </c>
      <c r="AN138">
        <v>0</v>
      </c>
      <c r="AO138">
        <v>0</v>
      </c>
      <c r="AP138">
        <v>0</v>
      </c>
      <c r="AQ138">
        <v>0</v>
      </c>
      <c r="AR138">
        <v>0</v>
      </c>
      <c r="AS138">
        <v>0</v>
      </c>
      <c r="AT138">
        <v>0</v>
      </c>
      <c r="AU138">
        <v>0</v>
      </c>
      <c r="AV138">
        <v>0</v>
      </c>
      <c r="AW138">
        <v>0</v>
      </c>
      <c r="AX138">
        <v>0</v>
      </c>
      <c r="AY138">
        <v>0</v>
      </c>
      <c r="BA138">
        <f t="shared" ca="1" si="17"/>
        <v>-0.70266322201806708</v>
      </c>
      <c r="BC138">
        <f ca="1"/>
        <v>-7.9169721095454032E-2</v>
      </c>
    </row>
    <row r="139" spans="2:55">
      <c r="B139" s="51" t="s">
        <v>44</v>
      </c>
      <c r="C139" s="77">
        <v>3.9694359553762409E-2</v>
      </c>
      <c r="D139" s="32">
        <v>0.19140710926741117</v>
      </c>
      <c r="F139" s="51" t="s">
        <v>44</v>
      </c>
      <c r="G139" s="52">
        <v>-2.200057231276099E-2</v>
      </c>
      <c r="H139" s="53">
        <v>-1.8549523497165098E-4</v>
      </c>
      <c r="I139" s="53">
        <v>-9.9979065535084908E-4</v>
      </c>
      <c r="J139" s="54">
        <v>-6.3283359796194395E-5</v>
      </c>
      <c r="K139" s="53">
        <v>2.7171317250718917E-3</v>
      </c>
      <c r="L139" s="53">
        <v>-5.3208757179230536E-3</v>
      </c>
      <c r="M139" s="53">
        <v>-3.8118967001688066E-3</v>
      </c>
      <c r="N139" s="53">
        <v>3.6636681478106677E-2</v>
      </c>
      <c r="O139" s="53">
        <v>2.5879567241865433E-2</v>
      </c>
      <c r="P139" s="53">
        <v>-1.7428062259548546E-3</v>
      </c>
      <c r="Q139" s="53">
        <v>9.6720235394569037E-4</v>
      </c>
      <c r="R139" s="53">
        <v>-6.8238745182940496E-4</v>
      </c>
      <c r="S139" s="53">
        <v>-4.8511971814416978E-4</v>
      </c>
      <c r="T139" s="53">
        <v>2.0101014247177217E-4</v>
      </c>
      <c r="U139" s="54">
        <v>2.0473744412766389E-6</v>
      </c>
      <c r="V139" s="53">
        <v>9.8595223629084866E-4</v>
      </c>
      <c r="W139" s="53">
        <v>7.2271763745900409E-4</v>
      </c>
      <c r="X139" s="53">
        <v>1.9420935424445816E-3</v>
      </c>
      <c r="Y139" s="53">
        <v>-1.5372316498931415E-3</v>
      </c>
      <c r="Z139" s="53">
        <v>-3.0000809124284622E-4</v>
      </c>
      <c r="AA139" s="53">
        <v>3.7887576296624084E-4</v>
      </c>
      <c r="AB139" s="31">
        <v>1.1143088303569475E-3</v>
      </c>
      <c r="AD139">
        <v>-3.3410500000000003E-2</v>
      </c>
      <c r="AE139">
        <v>-2.2642700000000002E-2</v>
      </c>
      <c r="AF139">
        <v>-2.9005599999999999E-2</v>
      </c>
      <c r="AG139">
        <v>-2.49255E-2</v>
      </c>
      <c r="AH139">
        <v>1.9174999999999999E-3</v>
      </c>
      <c r="AI139">
        <v>-4.2386600000000003E-2</v>
      </c>
      <c r="AJ139">
        <v>-3.9697000000000003E-2</v>
      </c>
      <c r="AK139">
        <v>0.17370169999999999</v>
      </c>
      <c r="AL139">
        <v>0</v>
      </c>
      <c r="AM139">
        <v>0</v>
      </c>
      <c r="AN139">
        <v>0</v>
      </c>
      <c r="AO139">
        <v>0</v>
      </c>
      <c r="AP139">
        <v>0</v>
      </c>
      <c r="AQ139">
        <v>0</v>
      </c>
      <c r="AR139">
        <v>0</v>
      </c>
      <c r="AS139">
        <v>0</v>
      </c>
      <c r="AT139">
        <v>0</v>
      </c>
      <c r="AU139">
        <v>0</v>
      </c>
      <c r="AV139">
        <v>0</v>
      </c>
      <c r="AW139">
        <v>0</v>
      </c>
      <c r="AX139">
        <v>0</v>
      </c>
      <c r="AY139">
        <v>0</v>
      </c>
      <c r="BA139">
        <f t="shared" ca="1" si="17"/>
        <v>-0.3340962419407783</v>
      </c>
      <c r="BC139">
        <f ca="1"/>
        <v>2.6554608879325932E-2</v>
      </c>
    </row>
    <row r="140" spans="2:55">
      <c r="B140" s="51" t="s">
        <v>126</v>
      </c>
      <c r="C140" s="77">
        <v>0.58979743869903223</v>
      </c>
      <c r="D140" s="32">
        <v>0.27962956507438275</v>
      </c>
      <c r="F140" s="51" t="s">
        <v>126</v>
      </c>
      <c r="G140" s="52">
        <v>8.012547099978503E-3</v>
      </c>
      <c r="H140" s="54">
        <v>-9.109306261828471E-6</v>
      </c>
      <c r="I140" s="53">
        <v>-7.7654787297483645E-4</v>
      </c>
      <c r="J140" s="53">
        <v>-1.0065832344744174E-3</v>
      </c>
      <c r="K140" s="53">
        <v>3.5761871658236337E-3</v>
      </c>
      <c r="L140" s="53">
        <v>4.9882101256800305E-4</v>
      </c>
      <c r="M140" s="53">
        <v>-1.2072722974252343E-3</v>
      </c>
      <c r="N140" s="53">
        <v>2.5879567241865433E-2</v>
      </c>
      <c r="O140" s="53">
        <v>7.8192693663688459E-2</v>
      </c>
      <c r="P140" s="53">
        <v>1.0077826816261544E-3</v>
      </c>
      <c r="Q140" s="53">
        <v>-6.6748131724861869E-4</v>
      </c>
      <c r="R140" s="53">
        <v>-6.9547375399471741E-4</v>
      </c>
      <c r="S140" s="53">
        <v>1.2854375290285932E-3</v>
      </c>
      <c r="T140" s="53">
        <v>2.5086654146344904E-4</v>
      </c>
      <c r="U140" s="54">
        <v>-1.1286066232697815E-5</v>
      </c>
      <c r="V140" s="53">
        <v>3.259215303847574E-3</v>
      </c>
      <c r="W140" s="53">
        <v>2.8732446482606202E-3</v>
      </c>
      <c r="X140" s="54">
        <v>9.1096267747140834E-5</v>
      </c>
      <c r="Y140" s="53">
        <v>-4.7815221055816067E-3</v>
      </c>
      <c r="Z140" s="53">
        <v>-5.8368864207876652E-4</v>
      </c>
      <c r="AA140" s="53">
        <v>-1.8682368063554467E-4</v>
      </c>
      <c r="AB140" s="31">
        <v>2.9542164755857947E-3</v>
      </c>
      <c r="AD140">
        <v>1.21645E-2</v>
      </c>
      <c r="AE140">
        <v>3.0718999999999998E-3</v>
      </c>
      <c r="AF140">
        <v>1.8827E-3</v>
      </c>
      <c r="AG140">
        <v>-0.15806629999999999</v>
      </c>
      <c r="AH140">
        <v>6.8789000000000003E-3</v>
      </c>
      <c r="AI140">
        <v>-3.0617700000000001E-2</v>
      </c>
      <c r="AJ140">
        <v>-1.8177599999999999E-2</v>
      </c>
      <c r="AK140">
        <v>0.1176623</v>
      </c>
      <c r="AL140">
        <v>0.19463939999999999</v>
      </c>
      <c r="AM140">
        <v>0</v>
      </c>
      <c r="AN140">
        <v>0</v>
      </c>
      <c r="AO140">
        <v>0</v>
      </c>
      <c r="AP140">
        <v>0</v>
      </c>
      <c r="AQ140">
        <v>0</v>
      </c>
      <c r="AR140">
        <v>0</v>
      </c>
      <c r="AS140">
        <v>0</v>
      </c>
      <c r="AT140">
        <v>0</v>
      </c>
      <c r="AU140">
        <v>0</v>
      </c>
      <c r="AV140">
        <v>0</v>
      </c>
      <c r="AW140">
        <v>0</v>
      </c>
      <c r="AX140">
        <v>0</v>
      </c>
      <c r="AY140">
        <v>0</v>
      </c>
      <c r="BA140">
        <f t="shared" ca="1" si="17"/>
        <v>1.173751785853477E-2</v>
      </c>
      <c r="BC140">
        <f ca="1"/>
        <v>-4.7189780352038732E-3</v>
      </c>
    </row>
    <row r="141" spans="2:55">
      <c r="B141" s="51" t="s">
        <v>83</v>
      </c>
      <c r="C141" s="77">
        <v>0.27603591376317699</v>
      </c>
      <c r="D141" s="32">
        <v>0.17782948875981527</v>
      </c>
      <c r="F141" s="51" t="s">
        <v>83</v>
      </c>
      <c r="G141" s="52">
        <v>-2.5147943577280396E-2</v>
      </c>
      <c r="H141" s="54">
        <v>-5.4717357952689196E-5</v>
      </c>
      <c r="I141" s="53">
        <v>1.043880702201411E-3</v>
      </c>
      <c r="J141" s="54">
        <v>4.475540258541949E-5</v>
      </c>
      <c r="K141" s="53">
        <v>2.9203873351138247E-3</v>
      </c>
      <c r="L141" s="53">
        <v>8.9655807009774769E-4</v>
      </c>
      <c r="M141" s="53">
        <v>4.3461530537275955E-3</v>
      </c>
      <c r="N141" s="53">
        <v>-1.7428062259548546E-3</v>
      </c>
      <c r="O141" s="53">
        <v>1.0077826816261544E-3</v>
      </c>
      <c r="P141" s="53">
        <v>3.162332707257727E-2</v>
      </c>
      <c r="Q141" s="53">
        <v>1.6525368215961043E-2</v>
      </c>
      <c r="R141" s="53">
        <v>-2.6661868582764023E-3</v>
      </c>
      <c r="S141" s="53">
        <v>-5.8874634666818007E-3</v>
      </c>
      <c r="T141" s="53">
        <v>1.3023408298095207E-4</v>
      </c>
      <c r="U141" s="54">
        <v>-2.4978184232100765E-6</v>
      </c>
      <c r="V141" s="53">
        <v>-4.2293031365193604E-4</v>
      </c>
      <c r="W141" s="53">
        <v>-5.7118277813484112E-4</v>
      </c>
      <c r="X141" s="53">
        <v>-1.4640086108818581E-3</v>
      </c>
      <c r="Y141" s="53">
        <v>3.0878542465906274E-3</v>
      </c>
      <c r="Z141" s="53">
        <v>5.7240894841098233E-3</v>
      </c>
      <c r="AA141" s="53">
        <v>2.8058655147430319E-3</v>
      </c>
      <c r="AB141" s="31">
        <v>2.1741453403471535E-4</v>
      </c>
      <c r="AD141">
        <v>-3.81943E-2</v>
      </c>
      <c r="AE141">
        <v>-1.51498E-2</v>
      </c>
      <c r="AF141">
        <v>-1.64932E-2</v>
      </c>
      <c r="AG141">
        <v>-7.4301000000000002E-3</v>
      </c>
      <c r="AH141">
        <v>7.0772999999999999E-3</v>
      </c>
      <c r="AI141">
        <v>1.0552000000000001E-3</v>
      </c>
      <c r="AJ141">
        <v>1.8841900000000002E-2</v>
      </c>
      <c r="AK141">
        <v>-1.86734E-2</v>
      </c>
      <c r="AL141">
        <v>1.49046E-2</v>
      </c>
      <c r="AM141">
        <v>0.16919629999999999</v>
      </c>
      <c r="AN141">
        <v>0</v>
      </c>
      <c r="AO141">
        <v>0</v>
      </c>
      <c r="AP141">
        <v>0</v>
      </c>
      <c r="AQ141">
        <v>0</v>
      </c>
      <c r="AR141">
        <v>0</v>
      </c>
      <c r="AS141">
        <v>0</v>
      </c>
      <c r="AT141">
        <v>0</v>
      </c>
      <c r="AU141">
        <v>0</v>
      </c>
      <c r="AV141">
        <v>0</v>
      </c>
      <c r="AW141">
        <v>0</v>
      </c>
      <c r="AX141">
        <v>0</v>
      </c>
      <c r="AY141">
        <v>0</v>
      </c>
      <c r="BA141">
        <f t="shared" ca="1" si="17"/>
        <v>-0.75119638989915172</v>
      </c>
      <c r="BC141">
        <f ca="1"/>
        <v>-0.11105296201439152</v>
      </c>
    </row>
    <row r="142" spans="2:55">
      <c r="B142" s="51" t="s">
        <v>84</v>
      </c>
      <c r="C142" s="77">
        <v>4.1410579747642576E-2</v>
      </c>
      <c r="D142" s="32">
        <v>0.19939634608437815</v>
      </c>
      <c r="F142" s="51" t="s">
        <v>84</v>
      </c>
      <c r="G142" s="52">
        <v>-1.2532998920697274E-2</v>
      </c>
      <c r="H142" s="53">
        <v>2.5868604239214117E-4</v>
      </c>
      <c r="I142" s="54">
        <v>7.5946557272835809E-5</v>
      </c>
      <c r="J142" s="54">
        <v>-3.8989790087469728E-5</v>
      </c>
      <c r="K142" s="53">
        <v>3.326769206423308E-3</v>
      </c>
      <c r="L142" s="53">
        <v>-7.0373326591848028E-4</v>
      </c>
      <c r="M142" s="53">
        <v>2.5321913951197967E-3</v>
      </c>
      <c r="N142" s="53">
        <v>9.6720235394569037E-4</v>
      </c>
      <c r="O142" s="53">
        <v>-6.6748131724861869E-4</v>
      </c>
      <c r="P142" s="53">
        <v>1.6525368215961043E-2</v>
      </c>
      <c r="Q142" s="53">
        <v>3.9758902831801106E-2</v>
      </c>
      <c r="R142" s="53">
        <v>-2.1426047743756975E-3</v>
      </c>
      <c r="S142" s="53">
        <v>-5.4312486122492188E-3</v>
      </c>
      <c r="T142" s="53">
        <v>-1.9670654969252031E-4</v>
      </c>
      <c r="U142" s="54">
        <v>-6.6430751363483935E-6</v>
      </c>
      <c r="V142" s="53">
        <v>-6.1900186300691982E-4</v>
      </c>
      <c r="W142" s="53">
        <v>2.4595649309059318E-4</v>
      </c>
      <c r="X142" s="53">
        <v>-1.1349828579298132E-3</v>
      </c>
      <c r="Y142" s="53">
        <v>-2.5041707938318332E-3</v>
      </c>
      <c r="Z142" s="53">
        <v>2.7880831854370305E-3</v>
      </c>
      <c r="AA142" s="53">
        <v>-2.5669892941931449E-4</v>
      </c>
      <c r="AB142" s="31">
        <v>-7.1025087037925472E-4</v>
      </c>
      <c r="AD142">
        <v>-1.9028799999999998E-2</v>
      </c>
      <c r="AE142">
        <v>1.1430600000000001E-2</v>
      </c>
      <c r="AF142">
        <v>-9.0022000000000001E-3</v>
      </c>
      <c r="AG142">
        <v>-1.4064200000000001E-2</v>
      </c>
      <c r="AH142">
        <v>1.5478E-2</v>
      </c>
      <c r="AI142">
        <v>-8.8643999999999997E-3</v>
      </c>
      <c r="AJ142">
        <v>1.0028499999999999E-2</v>
      </c>
      <c r="AK142">
        <v>-1.4919999999999999E-4</v>
      </c>
      <c r="AL142">
        <v>-1.4682499999999999E-2</v>
      </c>
      <c r="AM142">
        <v>9.2497999999999997E-2</v>
      </c>
      <c r="AN142">
        <v>0.17262159999999999</v>
      </c>
      <c r="AO142">
        <v>0</v>
      </c>
      <c r="AP142">
        <v>0</v>
      </c>
      <c r="AQ142">
        <v>0</v>
      </c>
      <c r="AR142">
        <v>0</v>
      </c>
      <c r="AS142">
        <v>0</v>
      </c>
      <c r="AT142">
        <v>0</v>
      </c>
      <c r="AU142">
        <v>0</v>
      </c>
      <c r="AV142">
        <v>0</v>
      </c>
      <c r="AW142">
        <v>0</v>
      </c>
      <c r="AX142">
        <v>0</v>
      </c>
      <c r="AY142">
        <v>0</v>
      </c>
      <c r="BA142">
        <f t="shared" ca="1" si="17"/>
        <v>-0.24186906110172526</v>
      </c>
      <c r="BC142">
        <f ca="1"/>
        <v>-9.8054143729517096E-2</v>
      </c>
    </row>
    <row r="143" spans="2:55">
      <c r="B143" s="51" t="s">
        <v>85</v>
      </c>
      <c r="C143" s="77">
        <v>4.8131447379240778E-2</v>
      </c>
      <c r="D143" s="32">
        <v>0.17463416011893848</v>
      </c>
      <c r="F143" s="51" t="s">
        <v>85</v>
      </c>
      <c r="G143" s="52">
        <v>-2.4503320970123723E-2</v>
      </c>
      <c r="H143" s="53">
        <v>-1.0307904522366877E-4</v>
      </c>
      <c r="I143" s="53">
        <v>-2.9019036048520282E-3</v>
      </c>
      <c r="J143" s="54">
        <v>5.4489856413103567E-5</v>
      </c>
      <c r="K143" s="53">
        <v>3.4072090094366199E-3</v>
      </c>
      <c r="L143" s="53">
        <v>-1.8229297607849716E-4</v>
      </c>
      <c r="M143" s="53">
        <v>-1.3821361329122786E-3</v>
      </c>
      <c r="N143" s="53">
        <v>-6.8238745182940496E-4</v>
      </c>
      <c r="O143" s="53">
        <v>-6.9547375399471741E-4</v>
      </c>
      <c r="P143" s="53">
        <v>-2.6661868582764023E-3</v>
      </c>
      <c r="Q143" s="53">
        <v>-2.1426047743756975E-3</v>
      </c>
      <c r="R143" s="53">
        <v>3.0497089880447043E-2</v>
      </c>
      <c r="S143" s="53">
        <v>2.166093055150585E-2</v>
      </c>
      <c r="T143" s="53">
        <v>1.8274823025453261E-4</v>
      </c>
      <c r="U143" s="54">
        <v>2.0987162903666265E-7</v>
      </c>
      <c r="V143" s="53">
        <v>6.1843721678509151E-4</v>
      </c>
      <c r="W143" s="53">
        <v>1.3350536748332397E-3</v>
      </c>
      <c r="X143" s="53">
        <v>6.0620316803006917E-4</v>
      </c>
      <c r="Y143" s="53">
        <v>2.4694458205685556E-3</v>
      </c>
      <c r="Z143" s="53">
        <v>8.1858273830300423E-4</v>
      </c>
      <c r="AA143" s="53">
        <v>4.5952075717789053E-4</v>
      </c>
      <c r="AB143" s="31">
        <v>1.7034849885018948E-3</v>
      </c>
      <c r="AD143">
        <v>-3.7207200000000003E-2</v>
      </c>
      <c r="AE143">
        <v>-1.7843299999999999E-2</v>
      </c>
      <c r="AF143">
        <v>-4.3959499999999999E-2</v>
      </c>
      <c r="AG143">
        <v>-9.5709999999999996E-3</v>
      </c>
      <c r="AH143">
        <v>5.2380999999999999E-3</v>
      </c>
      <c r="AI143">
        <v>-6.7597999999999998E-3</v>
      </c>
      <c r="AJ143">
        <v>-2.14167E-2</v>
      </c>
      <c r="AK143">
        <v>-2.8713099999999998E-2</v>
      </c>
      <c r="AL143">
        <v>5.7720999999999996E-3</v>
      </c>
      <c r="AM143">
        <v>-3.1952099999999997E-2</v>
      </c>
      <c r="AN143">
        <v>-3.7439999999999999E-4</v>
      </c>
      <c r="AO143">
        <v>0.1560851</v>
      </c>
      <c r="AP143">
        <v>0</v>
      </c>
      <c r="AQ143">
        <v>0</v>
      </c>
      <c r="AR143">
        <v>0</v>
      </c>
      <c r="AS143">
        <v>0</v>
      </c>
      <c r="AT143">
        <v>0</v>
      </c>
      <c r="AU143">
        <v>0</v>
      </c>
      <c r="AV143">
        <v>0</v>
      </c>
      <c r="AW143">
        <v>0</v>
      </c>
      <c r="AX143">
        <v>0</v>
      </c>
      <c r="AY143">
        <v>0</v>
      </c>
      <c r="BA143">
        <f t="shared" ca="1" si="17"/>
        <v>-0.74495248362098043</v>
      </c>
      <c r="BC143">
        <f ca="1"/>
        <v>-2.1760537766319643E-2</v>
      </c>
    </row>
    <row r="144" spans="2:55">
      <c r="B144" s="51" t="s">
        <v>86</v>
      </c>
      <c r="C144" s="77">
        <v>-0.1541693398093347</v>
      </c>
      <c r="D144" s="32">
        <v>0.28643234995479661</v>
      </c>
      <c r="F144" s="51" t="s">
        <v>86</v>
      </c>
      <c r="G144" s="52">
        <v>-1.4764077884829705E-2</v>
      </c>
      <c r="H144" s="54">
        <v>4.1186097804821379E-5</v>
      </c>
      <c r="I144" s="53">
        <v>-1.3932371100220441E-3</v>
      </c>
      <c r="J144" s="53">
        <v>-1.9394399182843175E-4</v>
      </c>
      <c r="K144" s="53">
        <v>7.4051743252075445E-3</v>
      </c>
      <c r="L144" s="53">
        <v>2.914140671767959E-4</v>
      </c>
      <c r="M144" s="53">
        <v>-2.1207499728879979E-3</v>
      </c>
      <c r="N144" s="53">
        <v>-4.8511971814416978E-4</v>
      </c>
      <c r="O144" s="53">
        <v>1.2854375290285932E-3</v>
      </c>
      <c r="P144" s="53">
        <v>-5.8874634666818007E-3</v>
      </c>
      <c r="Q144" s="53">
        <v>-5.4312486122492188E-3</v>
      </c>
      <c r="R144" s="53">
        <v>2.166093055150585E-2</v>
      </c>
      <c r="S144" s="53">
        <v>8.2043491100627058E-2</v>
      </c>
      <c r="T144" s="53">
        <v>2.0546090528233954E-4</v>
      </c>
      <c r="U144" s="54">
        <v>-5.5220774696226079E-7</v>
      </c>
      <c r="V144" s="54">
        <v>-4.1119341212832793E-5</v>
      </c>
      <c r="W144" s="53">
        <v>-2.0658041581715476E-3</v>
      </c>
      <c r="X144" s="53">
        <v>1.051178853718937E-3</v>
      </c>
      <c r="Y144" s="54">
        <v>-8.3840638131095285E-5</v>
      </c>
      <c r="Z144" s="53">
        <v>3.6048005738766406E-4</v>
      </c>
      <c r="AA144" s="53">
        <v>-3.2502809335452909E-3</v>
      </c>
      <c r="AB144" s="31">
        <v>1.2210395350391776E-4</v>
      </c>
      <c r="AD144">
        <v>-2.2415399999999999E-2</v>
      </c>
      <c r="AE144">
        <v>-4.0485E-3</v>
      </c>
      <c r="AF144">
        <v>-2.31518E-2</v>
      </c>
      <c r="AG144">
        <v>-4.12094E-2</v>
      </c>
      <c r="AH144">
        <v>3.4854299999999998E-2</v>
      </c>
      <c r="AI144">
        <v>-9.0078999999999992E-3</v>
      </c>
      <c r="AJ144">
        <v>-2.2795900000000001E-2</v>
      </c>
      <c r="AK144">
        <v>-2.52321E-2</v>
      </c>
      <c r="AL144">
        <v>-1.4674299999999999E-2</v>
      </c>
      <c r="AM144">
        <v>-4.4655899999999998E-2</v>
      </c>
      <c r="AN144">
        <v>-1.7828699999999999E-2</v>
      </c>
      <c r="AO144">
        <v>0.1059461</v>
      </c>
      <c r="AP144">
        <v>0.25116280000000002</v>
      </c>
      <c r="AQ144">
        <v>0</v>
      </c>
      <c r="AR144">
        <v>0</v>
      </c>
      <c r="AS144">
        <v>0</v>
      </c>
      <c r="AT144">
        <v>0</v>
      </c>
      <c r="AU144">
        <v>0</v>
      </c>
      <c r="AV144">
        <v>0</v>
      </c>
      <c r="AW144">
        <v>0</v>
      </c>
      <c r="AX144">
        <v>0</v>
      </c>
      <c r="AY144">
        <v>0</v>
      </c>
      <c r="BA144">
        <f t="shared" ca="1" si="17"/>
        <v>-1.3803648408667823</v>
      </c>
      <c r="BC144">
        <f ca="1"/>
        <v>-0.3282153686957614</v>
      </c>
    </row>
    <row r="145" spans="2:55">
      <c r="B145" s="51" t="s">
        <v>87</v>
      </c>
      <c r="C145" s="77">
        <v>-3.2275371307262095E-2</v>
      </c>
      <c r="D145" s="32">
        <v>1.379456930158432E-2</v>
      </c>
      <c r="F145" s="51" t="s">
        <v>87</v>
      </c>
      <c r="G145" s="52">
        <v>-4.2561346443398453E-3</v>
      </c>
      <c r="H145" s="54">
        <v>-1.3451323871073244E-5</v>
      </c>
      <c r="I145" s="54">
        <v>-3.9472512325205701E-5</v>
      </c>
      <c r="J145" s="54">
        <v>-1.3735177335631709E-5</v>
      </c>
      <c r="K145" s="53">
        <v>1.323558577980249E-4</v>
      </c>
      <c r="L145" s="54">
        <v>6.0958498615482048E-5</v>
      </c>
      <c r="M145" s="54">
        <v>2.6930643732457521E-5</v>
      </c>
      <c r="N145" s="53">
        <v>2.0101014247177217E-4</v>
      </c>
      <c r="O145" s="53">
        <v>2.5086654146344904E-4</v>
      </c>
      <c r="P145" s="53">
        <v>1.3023408298095207E-4</v>
      </c>
      <c r="Q145" s="53">
        <v>-1.9670654969252031E-4</v>
      </c>
      <c r="R145" s="53">
        <v>1.8274823025453261E-4</v>
      </c>
      <c r="S145" s="53">
        <v>2.0546090528233954E-4</v>
      </c>
      <c r="T145" s="53">
        <v>1.9029014221621249E-4</v>
      </c>
      <c r="U145" s="54">
        <v>-2.1083786595557216E-7</v>
      </c>
      <c r="V145" s="53">
        <v>-1.0305223476832396E-4</v>
      </c>
      <c r="W145" s="53">
        <v>-1.5803505759178871E-4</v>
      </c>
      <c r="X145" s="54">
        <v>-9.2663852946982077E-5</v>
      </c>
      <c r="Y145" s="53">
        <v>2.6982401346391553E-4</v>
      </c>
      <c r="Z145" s="54">
        <v>-4.8316577219756777E-5</v>
      </c>
      <c r="AA145" s="53">
        <v>4.3155436889071795E-4</v>
      </c>
      <c r="AB145" s="31">
        <v>1.0410537035070692E-4</v>
      </c>
      <c r="AD145">
        <v>-6.4695000000000004E-3</v>
      </c>
      <c r="AE145">
        <v>-2.8425E-3</v>
      </c>
      <c r="AF145">
        <v>-4.3436999999999998E-3</v>
      </c>
      <c r="AG145">
        <v>-4.9077000000000001E-3</v>
      </c>
      <c r="AH145">
        <v>-1.9268E-3</v>
      </c>
      <c r="AI145">
        <v>-1.2576E-3</v>
      </c>
      <c r="AJ145">
        <v>-1.8855E-3</v>
      </c>
      <c r="AK145">
        <v>-2.6096000000000001E-3</v>
      </c>
      <c r="AL145">
        <v>-9.3820000000000004E-4</v>
      </c>
      <c r="AM145">
        <v>-1.4924999999999999E-3</v>
      </c>
      <c r="AN145">
        <v>-1.3745000000000001E-3</v>
      </c>
      <c r="AO145">
        <v>-3.2409000000000001E-3</v>
      </c>
      <c r="AP145">
        <v>-2.544E-4</v>
      </c>
      <c r="AQ145">
        <v>8.1171999999999998E-3</v>
      </c>
      <c r="AR145">
        <v>0</v>
      </c>
      <c r="AS145">
        <v>0</v>
      </c>
      <c r="AT145">
        <v>0</v>
      </c>
      <c r="AU145">
        <v>0</v>
      </c>
      <c r="AV145">
        <v>0</v>
      </c>
      <c r="AW145">
        <v>0</v>
      </c>
      <c r="AX145">
        <v>0</v>
      </c>
      <c r="AY145">
        <v>0</v>
      </c>
      <c r="BA145">
        <f t="shared" ca="1" si="17"/>
        <v>1.8746066715768936</v>
      </c>
      <c r="BC145">
        <f ca="1"/>
        <v>2.6933145754324001E-2</v>
      </c>
    </row>
    <row r="146" spans="2:55">
      <c r="B146" s="51" t="s">
        <v>38</v>
      </c>
      <c r="C146" s="77">
        <v>-1.4358665783661747E-3</v>
      </c>
      <c r="D146" s="32">
        <v>6.3469967084095209E-4</v>
      </c>
      <c r="F146" s="51" t="s">
        <v>38</v>
      </c>
      <c r="G146" s="56">
        <v>-1.151381091424435E-5</v>
      </c>
      <c r="H146" s="54">
        <v>-3.9623014058136794E-6</v>
      </c>
      <c r="I146" s="54">
        <v>1.7102715340452116E-5</v>
      </c>
      <c r="J146" s="54">
        <v>-7.3132809189136902E-7</v>
      </c>
      <c r="K146" s="54">
        <v>-6.1718330995108861E-6</v>
      </c>
      <c r="L146" s="54">
        <v>4.2402783499393324E-6</v>
      </c>
      <c r="M146" s="54">
        <v>4.1160250313863511E-6</v>
      </c>
      <c r="N146" s="54">
        <v>2.0473744412766389E-6</v>
      </c>
      <c r="O146" s="54">
        <v>-1.1286066232697815E-5</v>
      </c>
      <c r="P146" s="54">
        <v>-2.4978184232100765E-6</v>
      </c>
      <c r="Q146" s="54">
        <v>-6.6430751363483935E-6</v>
      </c>
      <c r="R146" s="54">
        <v>2.0987162903666265E-7</v>
      </c>
      <c r="S146" s="54">
        <v>-5.5220774696226079E-7</v>
      </c>
      <c r="T146" s="54">
        <v>-2.1083786595557216E-7</v>
      </c>
      <c r="U146" s="54">
        <v>4.0284367216561289E-7</v>
      </c>
      <c r="V146" s="54">
        <v>-6.956272550279251E-6</v>
      </c>
      <c r="W146" s="54">
        <v>-3.2655871669452354E-6</v>
      </c>
      <c r="X146" s="54">
        <v>3.1360544312306571E-6</v>
      </c>
      <c r="Y146" s="54">
        <v>6.5463737884744493E-6</v>
      </c>
      <c r="Z146" s="54">
        <v>1.3246688139453787E-5</v>
      </c>
      <c r="AA146" s="54">
        <v>1.1223339032158105E-5</v>
      </c>
      <c r="AB146" s="55">
        <v>1.0272167197255818E-6</v>
      </c>
      <c r="AD146">
        <v>-1.7499999999999998E-5</v>
      </c>
      <c r="AE146">
        <v>-2.6709999999999999E-4</v>
      </c>
      <c r="AF146">
        <v>7.75E-5</v>
      </c>
      <c r="AG146">
        <v>-1.061E-4</v>
      </c>
      <c r="AH146">
        <v>-5.8400000000000003E-5</v>
      </c>
      <c r="AI146" s="67">
        <v>1.57E-6</v>
      </c>
      <c r="AJ146">
        <v>2.4600000000000002E-5</v>
      </c>
      <c r="AK146">
        <v>-2.1999999999999999E-5</v>
      </c>
      <c r="AL146">
        <v>-1.216E-4</v>
      </c>
      <c r="AM146">
        <v>-3.1699999999999998E-5</v>
      </c>
      <c r="AN146">
        <v>-1.6799999999999998E-5</v>
      </c>
      <c r="AO146">
        <v>-1.8700000000000001E-5</v>
      </c>
      <c r="AP146">
        <v>-1.6200000000000001E-5</v>
      </c>
      <c r="AQ146">
        <v>-2.018E-4</v>
      </c>
      <c r="AR146">
        <v>5.0199999999999995E-4</v>
      </c>
      <c r="AS146">
        <v>0</v>
      </c>
      <c r="AT146">
        <v>0</v>
      </c>
      <c r="AU146">
        <v>0</v>
      </c>
      <c r="AV146">
        <v>0</v>
      </c>
      <c r="AW146">
        <v>0</v>
      </c>
      <c r="AX146">
        <v>0</v>
      </c>
      <c r="AY146">
        <v>0</v>
      </c>
      <c r="BA146">
        <f t="shared" ca="1" si="17"/>
        <v>-1.540907650052912</v>
      </c>
      <c r="BC146">
        <f ca="1"/>
        <v>-1.1558584405527875E-3</v>
      </c>
    </row>
    <row r="147" spans="2:55">
      <c r="B147" s="51" t="s">
        <v>45</v>
      </c>
      <c r="C147" s="77">
        <v>0.17203597551465549</v>
      </c>
      <c r="D147" s="32">
        <v>0.16487122990424979</v>
      </c>
      <c r="F147" s="51" t="s">
        <v>45</v>
      </c>
      <c r="G147" s="52">
        <v>-2.307139515927055E-2</v>
      </c>
      <c r="H147" s="53">
        <v>-1.6655093805716554E-4</v>
      </c>
      <c r="I147" s="53">
        <v>3.5062734872331174E-3</v>
      </c>
      <c r="J147" s="54">
        <v>8.1185301195307562E-5</v>
      </c>
      <c r="K147" s="53">
        <v>-3.2289514300218028E-3</v>
      </c>
      <c r="L147" s="53">
        <v>3.2178565690486947E-3</v>
      </c>
      <c r="M147" s="53">
        <v>2.3791399620658855E-3</v>
      </c>
      <c r="N147" s="53">
        <v>9.8595223629084866E-4</v>
      </c>
      <c r="O147" s="53">
        <v>3.259215303847574E-3</v>
      </c>
      <c r="P147" s="53">
        <v>-4.2293031365193604E-4</v>
      </c>
      <c r="Q147" s="53">
        <v>-6.1900186300691982E-4</v>
      </c>
      <c r="R147" s="53">
        <v>6.1843721678509151E-4</v>
      </c>
      <c r="S147" s="54">
        <v>-4.1119341212832793E-5</v>
      </c>
      <c r="T147" s="53">
        <v>-1.0305223476832396E-4</v>
      </c>
      <c r="U147" s="54">
        <v>-6.956272550279251E-6</v>
      </c>
      <c r="V147" s="53">
        <v>2.7182522450139995E-2</v>
      </c>
      <c r="W147" s="53">
        <v>-1.375784601290145E-3</v>
      </c>
      <c r="X147" s="53">
        <v>-1.2895755700617834E-3</v>
      </c>
      <c r="Y147" s="53">
        <v>1.7205270341842226E-3</v>
      </c>
      <c r="Z147" s="53">
        <v>4.2368238463977789E-3</v>
      </c>
      <c r="AA147" s="54">
        <v>7.9890458697796281E-5</v>
      </c>
      <c r="AB147" s="31">
        <v>1.7068288692901727E-3</v>
      </c>
      <c r="AD147">
        <v>-3.5035499999999997E-2</v>
      </c>
      <c r="AE147">
        <v>-2.1812100000000001E-2</v>
      </c>
      <c r="AF147">
        <v>1.8739E-3</v>
      </c>
      <c r="AG147">
        <v>2.3267000000000001E-3</v>
      </c>
      <c r="AH147">
        <v>-2.8559999999999999E-2</v>
      </c>
      <c r="AI147">
        <v>1.8248400000000001E-2</v>
      </c>
      <c r="AJ147">
        <v>1.14045E-2</v>
      </c>
      <c r="AK147">
        <v>4.1386000000000001E-3</v>
      </c>
      <c r="AL147">
        <v>2.3597300000000002E-2</v>
      </c>
      <c r="AM147">
        <v>-1.38706E-2</v>
      </c>
      <c r="AN147">
        <v>6.5563000000000001E-3</v>
      </c>
      <c r="AO147">
        <v>-5.8240000000000002E-3</v>
      </c>
      <c r="AP147">
        <v>4.8157E-3</v>
      </c>
      <c r="AQ147">
        <v>-4.6331400000000002E-2</v>
      </c>
      <c r="AR147">
        <v>-4.3857E-2</v>
      </c>
      <c r="AS147">
        <v>0.13875370000000001</v>
      </c>
      <c r="AT147">
        <v>0</v>
      </c>
      <c r="AU147">
        <v>0</v>
      </c>
      <c r="AV147">
        <v>0</v>
      </c>
      <c r="AW147">
        <v>0</v>
      </c>
      <c r="AX147">
        <v>0</v>
      </c>
      <c r="AY147">
        <v>0</v>
      </c>
      <c r="BA147">
        <f t="shared" ca="1" si="17"/>
        <v>-2.1896024532767164E-2</v>
      </c>
      <c r="BC147">
        <f ca="1"/>
        <v>-3.3148465797258851E-2</v>
      </c>
    </row>
    <row r="148" spans="2:55">
      <c r="B148" s="51" t="s">
        <v>88</v>
      </c>
      <c r="C148" s="77">
        <v>0.50533399765882303</v>
      </c>
      <c r="D148" s="32">
        <v>0.16680867457325832</v>
      </c>
      <c r="F148" s="51" t="s">
        <v>88</v>
      </c>
      <c r="G148" s="52">
        <v>-8.4197748033978774E-3</v>
      </c>
      <c r="H148" s="53">
        <v>-2.0199237051946121E-4</v>
      </c>
      <c r="I148" s="53">
        <v>3.2525971963504637E-4</v>
      </c>
      <c r="J148" s="54">
        <v>-3.7534859614223983E-5</v>
      </c>
      <c r="K148" s="53">
        <v>-1.5474317232442583E-3</v>
      </c>
      <c r="L148" s="53">
        <v>-1.6221861907754827E-3</v>
      </c>
      <c r="M148" s="53">
        <v>-8.478304764707262E-4</v>
      </c>
      <c r="N148" s="53">
        <v>7.2271763745900409E-4</v>
      </c>
      <c r="O148" s="53">
        <v>2.8732446482606202E-3</v>
      </c>
      <c r="P148" s="53">
        <v>-5.7118277813484112E-4</v>
      </c>
      <c r="Q148" s="53">
        <v>2.4595649309059318E-4</v>
      </c>
      <c r="R148" s="53">
        <v>1.3350536748332397E-3</v>
      </c>
      <c r="S148" s="53">
        <v>-2.0658041581715476E-3</v>
      </c>
      <c r="T148" s="53">
        <v>-1.5803505759178871E-4</v>
      </c>
      <c r="U148" s="54">
        <v>-3.2655871669452354E-6</v>
      </c>
      <c r="V148" s="53">
        <v>-1.375784601290145E-3</v>
      </c>
      <c r="W148" s="53">
        <v>2.7825133912887195E-2</v>
      </c>
      <c r="X148" s="53">
        <v>-2.0234604908352508E-3</v>
      </c>
      <c r="Y148" s="53">
        <v>-7.1585645717529649E-4</v>
      </c>
      <c r="Z148" s="53">
        <v>9.5622999158534124E-4</v>
      </c>
      <c r="AA148" s="53">
        <v>-3.8343134791349879E-4</v>
      </c>
      <c r="AB148" s="31">
        <v>1.159962759553441E-3</v>
      </c>
      <c r="AD148">
        <v>-1.2787099999999999E-2</v>
      </c>
      <c r="AE148">
        <v>-1.7075099999999999E-2</v>
      </c>
      <c r="AF148">
        <v>-7.1196000000000002E-3</v>
      </c>
      <c r="AG148">
        <v>-1.0909500000000001E-2</v>
      </c>
      <c r="AH148">
        <v>-1.6189200000000001E-2</v>
      </c>
      <c r="AI148">
        <v>-1.39741E-2</v>
      </c>
      <c r="AJ148">
        <v>-1.0950400000000001E-2</v>
      </c>
      <c r="AK148">
        <v>-9.0284000000000007E-3</v>
      </c>
      <c r="AL148">
        <v>9.8323000000000004E-3</v>
      </c>
      <c r="AM148">
        <v>-8.8362000000000007E-3</v>
      </c>
      <c r="AN148">
        <v>6.8427000000000002E-3</v>
      </c>
      <c r="AO148">
        <v>-4.4704999999999996E-3</v>
      </c>
      <c r="AP148">
        <v>-1.0884899999999999E-2</v>
      </c>
      <c r="AQ148">
        <v>-5.9197399999999997E-2</v>
      </c>
      <c r="AR148">
        <v>-4.1194799999999997E-2</v>
      </c>
      <c r="AS148">
        <v>-5.1380700000000001E-2</v>
      </c>
      <c r="AT148">
        <v>0.13544400000000001</v>
      </c>
      <c r="AU148">
        <v>0</v>
      </c>
      <c r="AV148">
        <v>0</v>
      </c>
      <c r="AW148">
        <v>0</v>
      </c>
      <c r="AX148">
        <v>0</v>
      </c>
      <c r="AY148">
        <v>0</v>
      </c>
      <c r="BA148">
        <f t="shared" ca="1" si="17"/>
        <v>0.5613910648512902</v>
      </c>
      <c r="BC148">
        <f ca="1"/>
        <v>7.8239661583035483E-2</v>
      </c>
    </row>
    <row r="149" spans="2:55">
      <c r="B149" s="51" t="s">
        <v>89</v>
      </c>
      <c r="C149" s="77">
        <v>0.27692255452466058</v>
      </c>
      <c r="D149" s="32">
        <v>9.8375784141670017E-2</v>
      </c>
      <c r="F149" s="51" t="s">
        <v>89</v>
      </c>
      <c r="G149" s="52">
        <v>5.9001985012838119E-3</v>
      </c>
      <c r="H149" s="53">
        <v>-1.7699561247175676E-4</v>
      </c>
      <c r="I149" s="54">
        <v>-8.74222523743047E-5</v>
      </c>
      <c r="J149" s="53">
        <v>-1.056273475547656E-4</v>
      </c>
      <c r="K149" s="53">
        <v>1.2022107017008773E-3</v>
      </c>
      <c r="L149" s="53">
        <v>3.6310401622460098E-4</v>
      </c>
      <c r="M149" s="53">
        <v>-4.4024030823683043E-4</v>
      </c>
      <c r="N149" s="53">
        <v>1.9420935424445816E-3</v>
      </c>
      <c r="O149" s="54">
        <v>9.1096267747140834E-5</v>
      </c>
      <c r="P149" s="53">
        <v>-1.4640086108818581E-3</v>
      </c>
      <c r="Q149" s="53">
        <v>-1.1349828579298132E-3</v>
      </c>
      <c r="R149" s="53">
        <v>6.0620316803006917E-4</v>
      </c>
      <c r="S149" s="53">
        <v>1.051178853718937E-3</v>
      </c>
      <c r="T149" s="54">
        <v>-9.2663852946982077E-5</v>
      </c>
      <c r="U149" s="54">
        <v>3.1360544312306571E-6</v>
      </c>
      <c r="V149" s="53">
        <v>-1.2895755700617834E-3</v>
      </c>
      <c r="W149" s="53">
        <v>-2.0234604908352508E-3</v>
      </c>
      <c r="X149" s="53">
        <v>9.6777949054884533E-3</v>
      </c>
      <c r="Y149" s="53">
        <v>1.0941506671594005E-3</v>
      </c>
      <c r="Z149" s="53">
        <v>-2.0859892040391956E-3</v>
      </c>
      <c r="AA149" s="53">
        <v>-8.9513385047307542E-4</v>
      </c>
      <c r="AB149" s="31">
        <v>-1.7758853830545898E-3</v>
      </c>
      <c r="AD149">
        <v>8.9601000000000004E-3</v>
      </c>
      <c r="AE149">
        <v>-9.1861000000000009E-3</v>
      </c>
      <c r="AF149">
        <v>3.4098000000000002E-3</v>
      </c>
      <c r="AG149">
        <v>-1.40419E-2</v>
      </c>
      <c r="AH149">
        <v>7.9459000000000005E-3</v>
      </c>
      <c r="AI149">
        <v>-1.1739999999999999E-4</v>
      </c>
      <c r="AJ149">
        <v>-1.635E-3</v>
      </c>
      <c r="AK149">
        <v>9.7590000000000003E-3</v>
      </c>
      <c r="AL149">
        <v>-1.7734699999999999E-2</v>
      </c>
      <c r="AM149">
        <v>-5.2233999999999996E-3</v>
      </c>
      <c r="AN149">
        <v>-5.241E-3</v>
      </c>
      <c r="AO149">
        <v>5.9662999999999999E-3</v>
      </c>
      <c r="AP149">
        <v>-2.2859999999999998E-3</v>
      </c>
      <c r="AQ149">
        <v>-1.11179E-2</v>
      </c>
      <c r="AR149">
        <v>-9.5098000000000005E-3</v>
      </c>
      <c r="AS149">
        <v>-1.04419E-2</v>
      </c>
      <c r="AT149">
        <v>-2.52099E-2</v>
      </c>
      <c r="AU149">
        <v>8.8185899999999998E-2</v>
      </c>
      <c r="AV149">
        <v>0</v>
      </c>
      <c r="AW149">
        <v>0</v>
      </c>
      <c r="AX149">
        <v>0</v>
      </c>
      <c r="AY149">
        <v>0</v>
      </c>
      <c r="BA149">
        <f t="shared" ca="1" si="17"/>
        <v>0.57104745328687279</v>
      </c>
      <c r="BC149">
        <f ca="1"/>
        <v>2.8893267390086668E-2</v>
      </c>
    </row>
    <row r="150" spans="2:55">
      <c r="B150" s="51" t="s">
        <v>67</v>
      </c>
      <c r="C150" s="77">
        <v>-4.7673135581480154E-2</v>
      </c>
      <c r="D150" s="32">
        <v>0.22421371862570752</v>
      </c>
      <c r="F150" s="51" t="s">
        <v>67</v>
      </c>
      <c r="G150" s="52">
        <v>-4.844509511037267E-2</v>
      </c>
      <c r="H150" s="54">
        <v>2.3304611068168572E-5</v>
      </c>
      <c r="I150" s="53">
        <v>4.6094989589934264E-3</v>
      </c>
      <c r="J150" s="54">
        <v>-6.1992021293723365E-6</v>
      </c>
      <c r="K150" s="53">
        <v>-1.5605175619642676E-3</v>
      </c>
      <c r="L150" s="53">
        <v>5.3313538144998944E-4</v>
      </c>
      <c r="M150" s="53">
        <v>2.7983519030629418E-3</v>
      </c>
      <c r="N150" s="53">
        <v>-1.5372316498931415E-3</v>
      </c>
      <c r="O150" s="53">
        <v>-4.7815221055816067E-3</v>
      </c>
      <c r="P150" s="53">
        <v>3.0878542465906274E-3</v>
      </c>
      <c r="Q150" s="53">
        <v>-2.5041707938318332E-3</v>
      </c>
      <c r="R150" s="53">
        <v>2.4694458205685556E-3</v>
      </c>
      <c r="S150" s="54">
        <v>-8.3840638131095285E-5</v>
      </c>
      <c r="T150" s="53">
        <v>2.6982401346391553E-4</v>
      </c>
      <c r="U150" s="54">
        <v>6.5463737884744493E-6</v>
      </c>
      <c r="V150" s="53">
        <v>1.7205270341842226E-3</v>
      </c>
      <c r="W150" s="53">
        <v>-7.1585645717529649E-4</v>
      </c>
      <c r="X150" s="53">
        <v>1.0941506671594005E-3</v>
      </c>
      <c r="Y150" s="53">
        <v>5.0271791619967941E-2</v>
      </c>
      <c r="Z150" s="53">
        <v>3.0693938931336873E-2</v>
      </c>
      <c r="AA150" s="53">
        <v>3.2094435571497146E-2</v>
      </c>
      <c r="AB150" s="31">
        <v>2.9507415633357899E-2</v>
      </c>
      <c r="AD150">
        <v>-7.3579099999999995E-2</v>
      </c>
      <c r="AE150">
        <v>-2.0681399999999999E-2</v>
      </c>
      <c r="AF150">
        <v>-1.24043E-2</v>
      </c>
      <c r="AG150">
        <v>-2.6459699999999999E-2</v>
      </c>
      <c r="AH150">
        <v>-3.1053000000000001E-2</v>
      </c>
      <c r="AI150">
        <v>-8.1858999999999994E-3</v>
      </c>
      <c r="AJ150">
        <v>1.0185999999999999E-3</v>
      </c>
      <c r="AK150">
        <v>-3.30043E-2</v>
      </c>
      <c r="AL150">
        <v>-2.1144799999999998E-2</v>
      </c>
      <c r="AM150">
        <v>-3.1131000000000002E-3</v>
      </c>
      <c r="AN150">
        <v>-2.1880699999999999E-2</v>
      </c>
      <c r="AO150">
        <v>-1.4347E-2</v>
      </c>
      <c r="AP150">
        <v>-9.2163000000000002E-3</v>
      </c>
      <c r="AQ150">
        <v>-8.7009699999999995E-2</v>
      </c>
      <c r="AR150">
        <v>-5.1137200000000001E-2</v>
      </c>
      <c r="AS150">
        <v>-5.4417599999999997E-2</v>
      </c>
      <c r="AT150">
        <v>-9.7328799999999993E-2</v>
      </c>
      <c r="AU150">
        <v>-3.5349899999999997E-2</v>
      </c>
      <c r="AV150">
        <v>0.12789439999999999</v>
      </c>
      <c r="AW150">
        <v>0</v>
      </c>
      <c r="AX150">
        <v>0</v>
      </c>
      <c r="AY150">
        <v>0</v>
      </c>
      <c r="BA150">
        <f t="shared" ca="1" si="17"/>
        <v>-0.1264734999801839</v>
      </c>
      <c r="BC150">
        <f ca="1"/>
        <v>-0.10381297152321473</v>
      </c>
    </row>
    <row r="151" spans="2:55">
      <c r="B151" s="51" t="s">
        <v>68</v>
      </c>
      <c r="C151" s="77">
        <v>0.14777564100307769</v>
      </c>
      <c r="D151" s="32">
        <v>0.23771104084522465</v>
      </c>
      <c r="F151" s="51" t="s">
        <v>68</v>
      </c>
      <c r="G151" s="52">
        <v>-4.611662772728603E-2</v>
      </c>
      <c r="H151" s="53">
        <v>1.2695758563850251E-4</v>
      </c>
      <c r="I151" s="53">
        <v>2.0670753397009933E-3</v>
      </c>
      <c r="J151" s="54">
        <v>-6.4919384336066614E-5</v>
      </c>
      <c r="K151" s="53">
        <v>5.3244493821249508E-4</v>
      </c>
      <c r="L151" s="53">
        <v>1.1617757908051764E-3</v>
      </c>
      <c r="M151" s="53">
        <v>1.0209695107124236E-2</v>
      </c>
      <c r="N151" s="53">
        <v>-3.0000809124284622E-4</v>
      </c>
      <c r="O151" s="53">
        <v>-5.8368864207876652E-4</v>
      </c>
      <c r="P151" s="53">
        <v>5.7240894841098233E-3</v>
      </c>
      <c r="Q151" s="53">
        <v>2.7880831854370305E-3</v>
      </c>
      <c r="R151" s="53">
        <v>8.1858273830300423E-4</v>
      </c>
      <c r="S151" s="53">
        <v>3.6048005738766406E-4</v>
      </c>
      <c r="T151" s="54">
        <v>-4.8316577219756777E-5</v>
      </c>
      <c r="U151" s="54">
        <v>1.3246688139453787E-5</v>
      </c>
      <c r="V151" s="53">
        <v>4.2368238463977789E-3</v>
      </c>
      <c r="W151" s="53">
        <v>9.5622999158534124E-4</v>
      </c>
      <c r="X151" s="53">
        <v>-2.0859892040391956E-3</v>
      </c>
      <c r="Y151" s="53">
        <v>3.0693938931336873E-2</v>
      </c>
      <c r="Z151" s="53">
        <v>5.6506538939720061E-2</v>
      </c>
      <c r="AA151" s="53">
        <v>3.3791283955587233E-2</v>
      </c>
      <c r="AB151" s="31">
        <v>2.9841396724826264E-2</v>
      </c>
      <c r="AD151">
        <v>-7.0040599999999995E-2</v>
      </c>
      <c r="AE151">
        <v>-1.2563700000000001E-2</v>
      </c>
      <c r="AF151">
        <v>-2.7236400000000001E-2</v>
      </c>
      <c r="AG151">
        <v>-3.7113E-2</v>
      </c>
      <c r="AH151">
        <v>-2.0129299999999999E-2</v>
      </c>
      <c r="AI151">
        <v>-6.4089000000000004E-3</v>
      </c>
      <c r="AJ151">
        <v>4.6156700000000002E-2</v>
      </c>
      <c r="AK151">
        <v>-1.7503600000000001E-2</v>
      </c>
      <c r="AL151">
        <v>-1.36851E-2</v>
      </c>
      <c r="AM151">
        <v>7.6019E-3</v>
      </c>
      <c r="AN151">
        <v>-1.6287999999999999E-3</v>
      </c>
      <c r="AO151">
        <v>-1.7255699999999999E-2</v>
      </c>
      <c r="AP151">
        <v>-9.1040000000000001E-4</v>
      </c>
      <c r="AQ151">
        <v>-0.1112428</v>
      </c>
      <c r="AR151">
        <v>-3.9995700000000002E-2</v>
      </c>
      <c r="AS151">
        <v>-4.1999799999999997E-2</v>
      </c>
      <c r="AT151">
        <v>-8.1820000000000004E-2</v>
      </c>
      <c r="AU151">
        <v>-6.6106499999999999E-2</v>
      </c>
      <c r="AV151">
        <v>-1.7303800000000001E-2</v>
      </c>
      <c r="AW151">
        <v>0.13709589999999999</v>
      </c>
      <c r="AX151">
        <v>0</v>
      </c>
      <c r="AY151">
        <v>0</v>
      </c>
      <c r="BA151">
        <f t="shared" ca="1" si="17"/>
        <v>-2.0118157403788537</v>
      </c>
      <c r="BC151">
        <f ca="1"/>
        <v>-0.48184204505417438</v>
      </c>
    </row>
    <row r="152" spans="2:55">
      <c r="B152" s="51" t="s">
        <v>69</v>
      </c>
      <c r="C152" s="77">
        <v>-0.42389599114389009</v>
      </c>
      <c r="D152" s="32">
        <v>0.27708634600082077</v>
      </c>
      <c r="F152" s="51" t="s">
        <v>69</v>
      </c>
      <c r="G152" s="52">
        <v>-5.4938934138856005E-2</v>
      </c>
      <c r="H152" s="53">
        <v>4.5886856589226558E-4</v>
      </c>
      <c r="I152" s="53">
        <v>5.1958251274885677E-3</v>
      </c>
      <c r="J152" s="53">
        <v>-1.658176737306042E-4</v>
      </c>
      <c r="K152" s="53">
        <v>-1.6114613541156733E-4</v>
      </c>
      <c r="L152" s="53">
        <v>-4.4670547105366406E-3</v>
      </c>
      <c r="M152" s="53">
        <v>9.1706176649854493E-3</v>
      </c>
      <c r="N152" s="53">
        <v>3.7887576296624084E-4</v>
      </c>
      <c r="O152" s="53">
        <v>-1.8682368063554467E-4</v>
      </c>
      <c r="P152" s="53">
        <v>2.8058655147430319E-3</v>
      </c>
      <c r="Q152" s="53">
        <v>-2.5669892941931449E-4</v>
      </c>
      <c r="R152" s="53">
        <v>4.5952075717789053E-4</v>
      </c>
      <c r="S152" s="53">
        <v>-3.2502809335452909E-3</v>
      </c>
      <c r="T152" s="53">
        <v>4.3155436889071795E-4</v>
      </c>
      <c r="U152" s="54">
        <v>1.1223339032158105E-5</v>
      </c>
      <c r="V152" s="54">
        <v>7.9890458697796281E-5</v>
      </c>
      <c r="W152" s="53">
        <v>-3.8343134791349879E-4</v>
      </c>
      <c r="X152" s="53">
        <v>-8.9513385047307542E-4</v>
      </c>
      <c r="Y152" s="53">
        <v>3.2094435571497146E-2</v>
      </c>
      <c r="Z152" s="53">
        <v>3.3791283955587233E-2</v>
      </c>
      <c r="AA152" s="53">
        <v>7.6776843140086579E-2</v>
      </c>
      <c r="AB152" s="31">
        <v>3.1988158483406255E-2</v>
      </c>
      <c r="AD152">
        <v>-8.3435099999999998E-2</v>
      </c>
      <c r="AE152">
        <v>5.1931E-3</v>
      </c>
      <c r="AF152">
        <v>-1.0751500000000001E-2</v>
      </c>
      <c r="AG152">
        <v>-5.6296199999999998E-2</v>
      </c>
      <c r="AH152">
        <v>-2.5694999999999999E-2</v>
      </c>
      <c r="AI152">
        <v>-4.7028E-2</v>
      </c>
      <c r="AJ152">
        <v>3.3183799999999999E-2</v>
      </c>
      <c r="AK152">
        <v>-2.6665700000000001E-2</v>
      </c>
      <c r="AL152">
        <v>-2.8728400000000001E-2</v>
      </c>
      <c r="AM152">
        <v>-8.0215000000000009E-3</v>
      </c>
      <c r="AN152">
        <v>-1.6402099999999999E-2</v>
      </c>
      <c r="AO152">
        <v>-2.49739E-2</v>
      </c>
      <c r="AP152">
        <v>-2.2052599999999999E-2</v>
      </c>
      <c r="AQ152">
        <v>-8.3980799999999994E-2</v>
      </c>
      <c r="AR152">
        <v>-3.70703E-2</v>
      </c>
      <c r="AS152">
        <v>-5.4805399999999997E-2</v>
      </c>
      <c r="AT152">
        <v>-9.1121099999999997E-2</v>
      </c>
      <c r="AU152">
        <v>-5.7150100000000002E-2</v>
      </c>
      <c r="AV152">
        <v>-1.78929E-2</v>
      </c>
      <c r="AW152">
        <v>-1.9457499999999999E-2</v>
      </c>
      <c r="AX152">
        <v>0.1893552</v>
      </c>
      <c r="AY152">
        <v>0</v>
      </c>
      <c r="BA152">
        <f t="shared" ca="1" si="17"/>
        <v>-0.25450719613385114</v>
      </c>
      <c r="BC152">
        <f ca="1"/>
        <v>-8.8334151804620953E-2</v>
      </c>
    </row>
    <row r="153" spans="2:55" ht="17" thickBot="1">
      <c r="B153" s="51" t="s">
        <v>70</v>
      </c>
      <c r="C153" s="77">
        <v>-0.18300348649013398</v>
      </c>
      <c r="D153" s="32">
        <v>0.26867540756971736</v>
      </c>
      <c r="F153" s="57" t="s">
        <v>70</v>
      </c>
      <c r="G153" s="58">
        <v>-5.3902422584669714E-2</v>
      </c>
      <c r="H153" s="59">
        <v>4.6736750803284469E-4</v>
      </c>
      <c r="I153" s="59">
        <v>5.8392498764280052E-3</v>
      </c>
      <c r="J153" s="60">
        <v>4.8635468530020436E-5</v>
      </c>
      <c r="K153" s="59">
        <v>1.5263041077979054E-3</v>
      </c>
      <c r="L153" s="59">
        <v>-4.3365176878707922E-3</v>
      </c>
      <c r="M153" s="59">
        <v>1.2848912065312537E-3</v>
      </c>
      <c r="N153" s="59">
        <v>1.1143088303569475E-3</v>
      </c>
      <c r="O153" s="59">
        <v>2.9542164755857947E-3</v>
      </c>
      <c r="P153" s="59">
        <v>2.1741453403471535E-4</v>
      </c>
      <c r="Q153" s="59">
        <v>-7.1025087037925472E-4</v>
      </c>
      <c r="R153" s="59">
        <v>1.7034849885018948E-3</v>
      </c>
      <c r="S153" s="59">
        <v>1.2210395350391776E-4</v>
      </c>
      <c r="T153" s="59">
        <v>1.0410537035070692E-4</v>
      </c>
      <c r="U153" s="60">
        <v>1.0272167197255818E-6</v>
      </c>
      <c r="V153" s="59">
        <v>1.7068288692901727E-3</v>
      </c>
      <c r="W153" s="59">
        <v>1.159962759553441E-3</v>
      </c>
      <c r="X153" s="59">
        <v>-1.7758853830545898E-3</v>
      </c>
      <c r="Y153" s="59">
        <v>2.9507415633357899E-2</v>
      </c>
      <c r="Z153" s="59">
        <v>2.9841396724826264E-2</v>
      </c>
      <c r="AA153" s="59">
        <v>3.1988158483406255E-2</v>
      </c>
      <c r="AB153" s="37">
        <v>7.2186474632753739E-2</v>
      </c>
      <c r="AD153">
        <v>-8.1855700000000003E-2</v>
      </c>
      <c r="AE153">
        <v>6.3308000000000001E-3</v>
      </c>
      <c r="AF153">
        <v>-5.2043999999999997E-3</v>
      </c>
      <c r="AG153">
        <v>-1.9854699999999999E-2</v>
      </c>
      <c r="AH153">
        <v>-8.7969999999999993E-3</v>
      </c>
      <c r="AI153">
        <v>-3.7853499999999998E-2</v>
      </c>
      <c r="AJ153">
        <v>-1.1979999999999999E-2</v>
      </c>
      <c r="AK153">
        <v>-2.4124799999999998E-2</v>
      </c>
      <c r="AL153">
        <v>1.1919799999999999E-2</v>
      </c>
      <c r="AM153">
        <v>-1.97646E-2</v>
      </c>
      <c r="AN153">
        <v>-4.3200000000000001E-3</v>
      </c>
      <c r="AO153">
        <v>-2.2503599999999999E-2</v>
      </c>
      <c r="AP153">
        <v>-7.7424E-3</v>
      </c>
      <c r="AQ153">
        <v>-9.6199400000000004E-2</v>
      </c>
      <c r="AR153">
        <v>-4.04628E-2</v>
      </c>
      <c r="AS153">
        <v>-5.1460400000000003E-2</v>
      </c>
      <c r="AT153">
        <v>-8.4946400000000005E-2</v>
      </c>
      <c r="AU153">
        <v>-5.5555899999999998E-2</v>
      </c>
      <c r="AV153">
        <v>-1.6486600000000001E-2</v>
      </c>
      <c r="AW153">
        <v>-1.79413E-2</v>
      </c>
      <c r="AX153">
        <v>-1.51916E-2</v>
      </c>
      <c r="AY153">
        <v>0.19237509999999999</v>
      </c>
      <c r="BA153">
        <f t="shared" ca="1" si="17"/>
        <v>2.7278405773264357E-2</v>
      </c>
      <c r="BC153">
        <f ca="1"/>
        <v>-3.95529642295483E-2</v>
      </c>
    </row>
    <row r="154" spans="2:55" ht="17" thickTop="1">
      <c r="B154" s="51" t="s">
        <v>90</v>
      </c>
      <c r="C154" s="78" t="s">
        <v>130</v>
      </c>
      <c r="D154" s="79"/>
    </row>
    <row r="155" spans="2:55" ht="17" thickBot="1">
      <c r="B155" s="57" t="s">
        <v>92</v>
      </c>
      <c r="C155" s="80">
        <v>4.4405263238357744</v>
      </c>
      <c r="D155" s="36">
        <v>0.5568674285128935</v>
      </c>
    </row>
    <row r="156" spans="2:55" ht="17" thickTop="1"/>
    <row r="157" spans="2:55">
      <c r="B157" s="81" t="s">
        <v>133</v>
      </c>
    </row>
    <row r="158" spans="2:55" ht="17" thickBot="1"/>
    <row r="159" spans="2:55" ht="18" thickTop="1" thickBot="1">
      <c r="B159" s="274" t="s">
        <v>36</v>
      </c>
      <c r="C159" s="276" t="s">
        <v>76</v>
      </c>
      <c r="D159" s="278" t="s">
        <v>77</v>
      </c>
    </row>
    <row r="160" spans="2:55" ht="18" thickTop="1" thickBot="1">
      <c r="B160" s="275"/>
      <c r="C160" s="277"/>
      <c r="D160" s="279"/>
      <c r="F160" s="45"/>
      <c r="G160" s="17" t="s">
        <v>78</v>
      </c>
      <c r="H160" s="18" t="s">
        <v>37</v>
      </c>
      <c r="I160" s="18" t="s">
        <v>79</v>
      </c>
      <c r="J160" s="18" t="s">
        <v>80</v>
      </c>
      <c r="K160" s="18" t="s">
        <v>40</v>
      </c>
      <c r="L160" s="18" t="s">
        <v>81</v>
      </c>
      <c r="M160" s="18" t="s">
        <v>82</v>
      </c>
      <c r="N160" s="18" t="s">
        <v>44</v>
      </c>
      <c r="O160" s="18" t="s">
        <v>126</v>
      </c>
      <c r="P160" s="18" t="s">
        <v>83</v>
      </c>
      <c r="Q160" s="18" t="s">
        <v>84</v>
      </c>
      <c r="R160" s="18" t="s">
        <v>85</v>
      </c>
      <c r="S160" s="18" t="s">
        <v>86</v>
      </c>
      <c r="T160" s="18" t="s">
        <v>87</v>
      </c>
      <c r="U160" s="18" t="s">
        <v>38</v>
      </c>
      <c r="V160" s="18" t="s">
        <v>45</v>
      </c>
      <c r="W160" s="18" t="s">
        <v>88</v>
      </c>
      <c r="X160" s="18" t="s">
        <v>89</v>
      </c>
      <c r="Y160" s="18" t="s">
        <v>67</v>
      </c>
      <c r="Z160" s="18" t="s">
        <v>68</v>
      </c>
      <c r="AA160" s="18" t="s">
        <v>69</v>
      </c>
      <c r="AB160" s="19" t="s">
        <v>70</v>
      </c>
      <c r="AD160" t="s">
        <v>97</v>
      </c>
      <c r="AE160" t="s">
        <v>98</v>
      </c>
      <c r="AF160" t="s">
        <v>99</v>
      </c>
      <c r="AG160" t="s">
        <v>100</v>
      </c>
      <c r="AH160" t="s">
        <v>101</v>
      </c>
      <c r="AI160" t="s">
        <v>102</v>
      </c>
      <c r="AJ160" t="s">
        <v>103</v>
      </c>
      <c r="AK160" t="s">
        <v>104</v>
      </c>
      <c r="AL160" t="s">
        <v>105</v>
      </c>
      <c r="AM160" t="s">
        <v>106</v>
      </c>
      <c r="AN160" t="s">
        <v>107</v>
      </c>
      <c r="AO160" t="s">
        <v>108</v>
      </c>
      <c r="AP160" t="s">
        <v>109</v>
      </c>
      <c r="AQ160" t="s">
        <v>110</v>
      </c>
      <c r="AR160" t="s">
        <v>111</v>
      </c>
      <c r="AS160" t="s">
        <v>112</v>
      </c>
      <c r="AT160" t="s">
        <v>113</v>
      </c>
      <c r="AU160" t="s">
        <v>114</v>
      </c>
      <c r="AV160" t="s">
        <v>115</v>
      </c>
      <c r="AW160" t="s">
        <v>116</v>
      </c>
      <c r="AX160" t="s">
        <v>131</v>
      </c>
      <c r="AY160" t="s">
        <v>132</v>
      </c>
      <c r="BA160" t="s">
        <v>24</v>
      </c>
      <c r="BC160" t="s">
        <v>25</v>
      </c>
    </row>
    <row r="161" spans="2:55" ht="17" thickTop="1">
      <c r="B161" s="38" t="s">
        <v>78</v>
      </c>
      <c r="C161" s="40">
        <v>0.749</v>
      </c>
      <c r="D161" s="15">
        <v>0.54400000000000004</v>
      </c>
      <c r="F161" s="46" t="s">
        <v>78</v>
      </c>
      <c r="G161" s="47">
        <v>0.29598426969199149</v>
      </c>
      <c r="H161" s="48">
        <v>-1.8421177491350388E-3</v>
      </c>
      <c r="I161" s="48">
        <v>-3.7283377477429422E-2</v>
      </c>
      <c r="J161" s="48">
        <v>-8.9377114655300998E-4</v>
      </c>
      <c r="K161" s="48">
        <v>-1.3765167176292186E-2</v>
      </c>
      <c r="L161" s="48">
        <v>-4.7534268095947123E-3</v>
      </c>
      <c r="M161" s="48">
        <v>-1.1333796243672145E-2</v>
      </c>
      <c r="N161" s="48">
        <v>-1.4616413041029938E-2</v>
      </c>
      <c r="O161" s="48">
        <v>6.1950449702036069E-3</v>
      </c>
      <c r="P161" s="48">
        <v>-1.1632513677948583E-2</v>
      </c>
      <c r="Q161" s="48">
        <v>-4.5873157589978271E-3</v>
      </c>
      <c r="R161" s="48">
        <v>-1.9003366355800473E-2</v>
      </c>
      <c r="S161" s="48">
        <v>-6.1699288225940153E-3</v>
      </c>
      <c r="T161" s="48">
        <v>-3.0051226440706369E-3</v>
      </c>
      <c r="U161" s="49">
        <v>-2.3056967670667951E-5</v>
      </c>
      <c r="V161" s="48">
        <v>-1.6400105563565016E-2</v>
      </c>
      <c r="W161" s="48">
        <v>-4.6033663967148539E-3</v>
      </c>
      <c r="X161" s="48">
        <v>3.4783635757133502E-3</v>
      </c>
      <c r="Y161" s="48">
        <v>-3.5722286592077261E-2</v>
      </c>
      <c r="Z161" s="48">
        <v>-3.1411653366021357E-2</v>
      </c>
      <c r="AA161" s="48">
        <v>-3.6399137666225073E-2</v>
      </c>
      <c r="AB161" s="50">
        <v>-3.3503984191605801E-2</v>
      </c>
      <c r="AD161">
        <v>0.54404039999999998</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BA161">
        <f ca="1">_xlfn.NORM.INV(RAND(),0,1)</f>
        <v>-1.1487011685413031</v>
      </c>
      <c r="BC161">
        <f t="array" aca="1" ref="BC161:BC182" ca="1">MMULT(AD161:AY182,BA161:BA182)</f>
        <v>-0.6249398432136779</v>
      </c>
    </row>
    <row r="162" spans="2:55">
      <c r="B162" s="38" t="s">
        <v>37</v>
      </c>
      <c r="C162" s="40">
        <v>3.2000000000000001E-2</v>
      </c>
      <c r="D162" s="15">
        <v>1.3100000000000001E-2</v>
      </c>
      <c r="F162" s="51" t="s">
        <v>37</v>
      </c>
      <c r="G162" s="52">
        <v>-1.8421177491350388E-3</v>
      </c>
      <c r="H162" s="53">
        <v>1.7091118448349913E-4</v>
      </c>
      <c r="I162" s="54">
        <v>7.79340904475121E-5</v>
      </c>
      <c r="J162" s="54">
        <v>3.3868374761410076E-6</v>
      </c>
      <c r="K162" s="54">
        <v>-7.317987802784116E-5</v>
      </c>
      <c r="L162" s="54">
        <v>2.1038683894350484E-5</v>
      </c>
      <c r="M162" s="54">
        <v>5.3701560062179969E-5</v>
      </c>
      <c r="N162" s="53">
        <v>-1.3428679594741899E-4</v>
      </c>
      <c r="O162" s="53">
        <v>1.4904138417860607E-4</v>
      </c>
      <c r="P162" s="54">
        <v>-8.6368492662492979E-5</v>
      </c>
      <c r="Q162" s="54">
        <v>5.3239972084543641E-5</v>
      </c>
      <c r="R162" s="54">
        <v>1.5156047658276817E-5</v>
      </c>
      <c r="S162" s="54">
        <v>1.0824005144546779E-5</v>
      </c>
      <c r="T162" s="54">
        <v>-9.0566598215949626E-6</v>
      </c>
      <c r="U162" s="54">
        <v>-2.7654592715670985E-6</v>
      </c>
      <c r="V162" s="53">
        <v>-1.3379785904212292E-4</v>
      </c>
      <c r="W162" s="54">
        <v>-7.0536531849780528E-5</v>
      </c>
      <c r="X162" s="53">
        <v>-1.0601239821539847E-4</v>
      </c>
      <c r="Y162" s="54">
        <v>5.9494564260471995E-5</v>
      </c>
      <c r="Z162" s="54">
        <v>4.6120181005434219E-5</v>
      </c>
      <c r="AA162" s="53">
        <v>3.3238289537932883E-4</v>
      </c>
      <c r="AB162" s="31">
        <v>3.0122736190198358E-4</v>
      </c>
      <c r="AD162">
        <v>-3.3820999999999999E-3</v>
      </c>
      <c r="AE162">
        <v>1.25921E-2</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BA162">
        <f t="shared" ref="BA162:BA182" ca="1" si="18">_xlfn.NORM.INV(RAND(),0,1)</f>
        <v>0.94864180977656942</v>
      </c>
      <c r="BC162">
        <f ca="1"/>
        <v>1.5830414755011082E-2</v>
      </c>
    </row>
    <row r="163" spans="2:55">
      <c r="B163" s="38" t="s">
        <v>79</v>
      </c>
      <c r="C163" s="40">
        <v>-0.19700000000000001</v>
      </c>
      <c r="D163" s="15">
        <v>0.1331</v>
      </c>
      <c r="F163" s="51" t="s">
        <v>79</v>
      </c>
      <c r="G163" s="52">
        <v>-3.7283377477429422E-2</v>
      </c>
      <c r="H163" s="54">
        <v>7.79340904475121E-5</v>
      </c>
      <c r="I163" s="53">
        <v>1.7702710989119269E-2</v>
      </c>
      <c r="J163" s="54">
        <v>1.7413740870105279E-5</v>
      </c>
      <c r="K163" s="53">
        <v>-1.2977777354310255E-3</v>
      </c>
      <c r="L163" s="53">
        <v>1.3940292100817733E-3</v>
      </c>
      <c r="M163" s="53">
        <v>-7.1324229927202426E-4</v>
      </c>
      <c r="N163" s="53">
        <v>-8.4607201418564312E-4</v>
      </c>
      <c r="O163" s="53">
        <v>-1.2670619635876349E-3</v>
      </c>
      <c r="P163" s="53">
        <v>-1.9408706479096837E-4</v>
      </c>
      <c r="Q163" s="53">
        <v>-7.5110671281738756E-4</v>
      </c>
      <c r="R163" s="53">
        <v>-1.3581467656267514E-3</v>
      </c>
      <c r="S163" s="53">
        <v>-1.6378256134036101E-3</v>
      </c>
      <c r="T163" s="54">
        <v>9.5037853847483811E-5</v>
      </c>
      <c r="U163" s="54">
        <v>1.0448467367349209E-5</v>
      </c>
      <c r="V163" s="53">
        <v>2.3591759897335701E-3</v>
      </c>
      <c r="W163" s="54">
        <v>3.3259040914228625E-6</v>
      </c>
      <c r="X163" s="53">
        <v>-2.5144646364676281E-4</v>
      </c>
      <c r="Y163" s="53">
        <v>3.5629860562524508E-3</v>
      </c>
      <c r="Z163" s="53">
        <v>1.3848029615341102E-3</v>
      </c>
      <c r="AA163" s="53">
        <v>3.1556587418653747E-3</v>
      </c>
      <c r="AB163" s="31">
        <v>4.5481245847494647E-3</v>
      </c>
      <c r="AD163">
        <v>-6.8524299999999996E-2</v>
      </c>
      <c r="AE163">
        <v>-1.2215699999999999E-2</v>
      </c>
      <c r="AF163">
        <v>0.1133807</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BA163">
        <f t="shared" ca="1" si="18"/>
        <v>-3.1003522926343203</v>
      </c>
      <c r="BC163">
        <f ca="1"/>
        <v>-0.28439449345769691</v>
      </c>
    </row>
    <row r="164" spans="2:55">
      <c r="B164" s="38" t="s">
        <v>80</v>
      </c>
      <c r="C164" s="40">
        <v>-3.9E-2</v>
      </c>
      <c r="D164" s="15">
        <v>5.4999999999999997E-3</v>
      </c>
      <c r="F164" s="51" t="s">
        <v>80</v>
      </c>
      <c r="G164" s="52">
        <v>-8.9377114655300998E-4</v>
      </c>
      <c r="H164" s="54">
        <v>3.3868374761410076E-6</v>
      </c>
      <c r="I164" s="54">
        <v>1.7413740870105279E-5</v>
      </c>
      <c r="J164" s="54">
        <v>3.0610933148107369E-5</v>
      </c>
      <c r="K164" s="54">
        <v>4.0448787964001491E-5</v>
      </c>
      <c r="L164" s="53">
        <v>-1.2967846480146502E-4</v>
      </c>
      <c r="M164" s="54">
        <v>5.4405990092017507E-6</v>
      </c>
      <c r="N164" s="54">
        <v>-5.7800925266000993E-5</v>
      </c>
      <c r="O164" s="53">
        <v>-7.497778744461074E-4</v>
      </c>
      <c r="P164" s="54">
        <v>1.3225591109534809E-5</v>
      </c>
      <c r="Q164" s="54">
        <v>-2.7546377491683159E-5</v>
      </c>
      <c r="R164" s="54">
        <v>4.7937107039005052E-5</v>
      </c>
      <c r="S164" s="53">
        <v>-1.1021010016136236E-4</v>
      </c>
      <c r="T164" s="54">
        <v>-9.3749726966330242E-6</v>
      </c>
      <c r="U164" s="54">
        <v>-4.3708636862661132E-7</v>
      </c>
      <c r="V164" s="54">
        <v>6.0873604848851239E-5</v>
      </c>
      <c r="W164" s="54">
        <v>7.7956774170671124E-7</v>
      </c>
      <c r="X164" s="54">
        <v>-7.2475048440693703E-5</v>
      </c>
      <c r="Y164" s="54">
        <v>-9.9656099292189155E-6</v>
      </c>
      <c r="Z164" s="54">
        <v>-1.2495554786371738E-5</v>
      </c>
      <c r="AA164" s="53">
        <v>-1.7553403366014905E-4</v>
      </c>
      <c r="AB164" s="55">
        <v>-4.9834967742414474E-5</v>
      </c>
      <c r="AD164">
        <v>-1.6359E-3</v>
      </c>
      <c r="AE164">
        <v>-1.7039999999999999E-4</v>
      </c>
      <c r="AF164">
        <v>-8.5349999999999998E-4</v>
      </c>
      <c r="AG164">
        <v>5.2132000000000003E-3</v>
      </c>
      <c r="AH164">
        <v>0</v>
      </c>
      <c r="AI164">
        <v>0</v>
      </c>
      <c r="AJ164">
        <v>0</v>
      </c>
      <c r="AK164">
        <v>0</v>
      </c>
      <c r="AL164">
        <v>0</v>
      </c>
      <c r="AM164">
        <v>0</v>
      </c>
      <c r="AN164">
        <v>0</v>
      </c>
      <c r="AO164">
        <v>0</v>
      </c>
      <c r="AP164">
        <v>0</v>
      </c>
      <c r="AQ164">
        <v>0</v>
      </c>
      <c r="AR164">
        <v>0</v>
      </c>
      <c r="AS164">
        <v>0</v>
      </c>
      <c r="AT164">
        <v>0</v>
      </c>
      <c r="AU164">
        <v>0</v>
      </c>
      <c r="AV164">
        <v>0</v>
      </c>
      <c r="AW164">
        <v>0</v>
      </c>
      <c r="AX164">
        <v>0</v>
      </c>
      <c r="AY164">
        <v>0</v>
      </c>
      <c r="BA164">
        <f t="shared" ca="1" si="18"/>
        <v>0.20995027774725813</v>
      </c>
      <c r="BC164">
        <f ca="1"/>
        <v>5.4581751469461887E-3</v>
      </c>
    </row>
    <row r="165" spans="2:55">
      <c r="B165" s="38" t="s">
        <v>40</v>
      </c>
      <c r="C165" s="40">
        <v>-0.17399999999999999</v>
      </c>
      <c r="D165" s="15">
        <v>0.13300000000000001</v>
      </c>
      <c r="F165" s="51" t="s">
        <v>40</v>
      </c>
      <c r="G165" s="52">
        <v>-1.3765167176292186E-2</v>
      </c>
      <c r="H165" s="54">
        <v>-7.317987802784116E-5</v>
      </c>
      <c r="I165" s="53">
        <v>-1.2977777354310255E-3</v>
      </c>
      <c r="J165" s="54">
        <v>4.0448787964001491E-5</v>
      </c>
      <c r="K165" s="53">
        <v>1.7686330034760701E-2</v>
      </c>
      <c r="L165" s="53">
        <v>-1.7024123547649858E-4</v>
      </c>
      <c r="M165" s="53">
        <v>1.830892121344274E-3</v>
      </c>
      <c r="N165" s="53">
        <v>2.4956289795164755E-3</v>
      </c>
      <c r="O165" s="53">
        <v>1.6171590048233112E-3</v>
      </c>
      <c r="P165" s="53">
        <v>2.0765108540589201E-3</v>
      </c>
      <c r="Q165" s="53">
        <v>1.1037044701407001E-3</v>
      </c>
      <c r="R165" s="53">
        <v>2.7627271089188097E-3</v>
      </c>
      <c r="S165" s="53">
        <v>5.2734949600452873E-3</v>
      </c>
      <c r="T165" s="54">
        <v>-5.659045013000593E-6</v>
      </c>
      <c r="U165" s="54">
        <v>-2.4745081747014525E-6</v>
      </c>
      <c r="V165" s="53">
        <v>-1.4839151286723589E-3</v>
      </c>
      <c r="W165" s="53">
        <v>-1.0127848915540195E-3</v>
      </c>
      <c r="X165" s="53">
        <v>6.5469172702334539E-4</v>
      </c>
      <c r="Y165" s="53">
        <v>-2.5337083819478744E-4</v>
      </c>
      <c r="Z165" s="53">
        <v>1.5197438062683406E-3</v>
      </c>
      <c r="AA165" s="53">
        <v>-4.8879785773706325E-4</v>
      </c>
      <c r="AB165" s="31">
        <v>2.9407158092499037E-4</v>
      </c>
      <c r="AD165">
        <v>-2.5310599999999999E-2</v>
      </c>
      <c r="AE165">
        <v>-1.26097E-2</v>
      </c>
      <c r="AF165">
        <v>-2.8121400000000001E-2</v>
      </c>
      <c r="AG165">
        <v>-5.1996999999999998E-3</v>
      </c>
      <c r="AH165">
        <v>0.12677740000000001</v>
      </c>
      <c r="AI165">
        <v>0</v>
      </c>
      <c r="AJ165">
        <v>0</v>
      </c>
      <c r="AK165">
        <v>0</v>
      </c>
      <c r="AL165">
        <v>0</v>
      </c>
      <c r="AM165">
        <v>0</v>
      </c>
      <c r="AN165">
        <v>0</v>
      </c>
      <c r="AO165">
        <v>0</v>
      </c>
      <c r="AP165">
        <v>0</v>
      </c>
      <c r="AQ165">
        <v>0</v>
      </c>
      <c r="AR165">
        <v>0</v>
      </c>
      <c r="AS165">
        <v>0</v>
      </c>
      <c r="AT165">
        <v>0</v>
      </c>
      <c r="AU165">
        <v>0</v>
      </c>
      <c r="AV165">
        <v>0</v>
      </c>
      <c r="AW165">
        <v>0</v>
      </c>
      <c r="AX165">
        <v>0</v>
      </c>
      <c r="AY165">
        <v>0</v>
      </c>
      <c r="BA165">
        <f t="shared" ca="1" si="18"/>
        <v>-0.65664448751482762</v>
      </c>
      <c r="BC165">
        <f ca="1"/>
        <v>1.9959114819163931E-2</v>
      </c>
    </row>
    <row r="166" spans="2:55">
      <c r="B166" s="38" t="s">
        <v>81</v>
      </c>
      <c r="C166" s="40">
        <v>0.13200000000000001</v>
      </c>
      <c r="D166" s="15">
        <v>0.13159999999999999</v>
      </c>
      <c r="F166" s="51" t="s">
        <v>81</v>
      </c>
      <c r="G166" s="52">
        <v>-4.7534268095947123E-3</v>
      </c>
      <c r="H166" s="54">
        <v>2.1038683894350484E-5</v>
      </c>
      <c r="I166" s="53">
        <v>1.3940292100817733E-3</v>
      </c>
      <c r="J166" s="53">
        <v>-1.2967846480146502E-4</v>
      </c>
      <c r="K166" s="53">
        <v>-1.7024123547649858E-4</v>
      </c>
      <c r="L166" s="53">
        <v>1.7308281392456663E-2</v>
      </c>
      <c r="M166" s="53">
        <v>-1.7520105743310318E-3</v>
      </c>
      <c r="N166" s="53">
        <v>-1.8536548471873853E-3</v>
      </c>
      <c r="O166" s="53">
        <v>2.2294436898552309E-3</v>
      </c>
      <c r="P166" s="53">
        <v>-1.1023051535602307E-4</v>
      </c>
      <c r="Q166" s="53">
        <v>-5.6482937084901793E-4</v>
      </c>
      <c r="R166" s="53">
        <v>6.2270095535752845E-4</v>
      </c>
      <c r="S166" s="53">
        <v>7.4636197604690971E-4</v>
      </c>
      <c r="T166" s="54">
        <v>-8.092727420501829E-5</v>
      </c>
      <c r="U166" s="54">
        <v>2.3111623082010573E-6</v>
      </c>
      <c r="V166" s="53">
        <v>2.5702423075658815E-3</v>
      </c>
      <c r="W166" s="53">
        <v>-1.6555142711939879E-3</v>
      </c>
      <c r="X166" s="53">
        <v>6.4091170588931995E-4</v>
      </c>
      <c r="Y166" s="53">
        <v>5.8069875885485627E-4</v>
      </c>
      <c r="Z166" s="53">
        <v>3.6784920009811235E-4</v>
      </c>
      <c r="AA166" s="53">
        <v>-1.6775360317280753E-3</v>
      </c>
      <c r="AB166" s="31">
        <v>-1.8438302242883612E-3</v>
      </c>
      <c r="AD166">
        <v>-8.7309999999999992E-3</v>
      </c>
      <c r="AE166">
        <v>-6.7429999999999996E-4</v>
      </c>
      <c r="AF166">
        <v>6.9102E-3</v>
      </c>
      <c r="AG166">
        <v>-2.6567299999999999E-2</v>
      </c>
      <c r="AH166">
        <v>-2.7079000000000001E-3</v>
      </c>
      <c r="AI166">
        <v>0.12834490000000001</v>
      </c>
      <c r="AJ166">
        <v>0</v>
      </c>
      <c r="AK166">
        <v>0</v>
      </c>
      <c r="AL166">
        <v>0</v>
      </c>
      <c r="AM166">
        <v>0</v>
      </c>
      <c r="AN166">
        <v>0</v>
      </c>
      <c r="AO166">
        <v>0</v>
      </c>
      <c r="AP166">
        <v>0</v>
      </c>
      <c r="AQ166">
        <v>0</v>
      </c>
      <c r="AR166">
        <v>0</v>
      </c>
      <c r="AS166">
        <v>0</v>
      </c>
      <c r="AT166">
        <v>0</v>
      </c>
      <c r="AU166">
        <v>0</v>
      </c>
      <c r="AV166">
        <v>0</v>
      </c>
      <c r="AW166">
        <v>0</v>
      </c>
      <c r="AX166">
        <v>0</v>
      </c>
      <c r="AY166">
        <v>0</v>
      </c>
      <c r="BA166">
        <f t="shared" ca="1" si="18"/>
        <v>0.95046269709809594</v>
      </c>
      <c r="BC166">
        <f ca="1"/>
        <v>0.1061529417241722</v>
      </c>
    </row>
    <row r="167" spans="2:55">
      <c r="B167" s="38" t="s">
        <v>82</v>
      </c>
      <c r="C167" s="40">
        <v>6.5000000000000002E-2</v>
      </c>
      <c r="D167" s="15">
        <v>0.1305</v>
      </c>
      <c r="F167" s="51" t="s">
        <v>82</v>
      </c>
      <c r="G167" s="52">
        <v>-1.1333796243672145E-2</v>
      </c>
      <c r="H167" s="54">
        <v>5.3701560062179969E-5</v>
      </c>
      <c r="I167" s="53">
        <v>-7.1324229927202426E-4</v>
      </c>
      <c r="J167" s="54">
        <v>5.4405990092017507E-6</v>
      </c>
      <c r="K167" s="53">
        <v>1.830892121344274E-3</v>
      </c>
      <c r="L167" s="53">
        <v>-1.7520105743310318E-3</v>
      </c>
      <c r="M167" s="53">
        <v>1.7030281131776404E-2</v>
      </c>
      <c r="N167" s="53">
        <v>-1.7525513802975836E-3</v>
      </c>
      <c r="O167" s="53">
        <v>3.4238230061729187E-4</v>
      </c>
      <c r="P167" s="53">
        <v>3.6104678842335293E-3</v>
      </c>
      <c r="Q167" s="53">
        <v>1.6304175411272904E-3</v>
      </c>
      <c r="R167" s="53">
        <v>-8.6131501695098042E-4</v>
      </c>
      <c r="S167" s="53">
        <v>-8.5422052765991613E-4</v>
      </c>
      <c r="T167" s="54">
        <v>5.768480562609116E-5</v>
      </c>
      <c r="U167" s="54">
        <v>-1.0967668585825279E-7</v>
      </c>
      <c r="V167" s="53">
        <v>7.34139107527997E-4</v>
      </c>
      <c r="W167" s="53">
        <v>4.0070881682636875E-4</v>
      </c>
      <c r="X167" s="53">
        <v>-3.2509537751536859E-4</v>
      </c>
      <c r="Y167" s="53">
        <v>1.1949408695446011E-3</v>
      </c>
      <c r="Z167" s="53">
        <v>5.169429939579564E-3</v>
      </c>
      <c r="AA167" s="53">
        <v>3.1078413008746798E-3</v>
      </c>
      <c r="AB167" s="31">
        <v>7.8680829058459551E-4</v>
      </c>
      <c r="AD167">
        <v>-2.0825699999999999E-2</v>
      </c>
      <c r="AE167">
        <v>-1.3288E-3</v>
      </c>
      <c r="AF167">
        <v>-1.89917E-2</v>
      </c>
      <c r="AG167">
        <v>-8.6441999999999995E-3</v>
      </c>
      <c r="AH167">
        <v>5.5776000000000003E-3</v>
      </c>
      <c r="AI167">
        <v>-1.5708E-2</v>
      </c>
      <c r="AJ167">
        <v>0.12602089999999999</v>
      </c>
      <c r="AK167">
        <v>0</v>
      </c>
      <c r="AL167">
        <v>0</v>
      </c>
      <c r="AM167">
        <v>0</v>
      </c>
      <c r="AN167">
        <v>0</v>
      </c>
      <c r="AO167">
        <v>0</v>
      </c>
      <c r="AP167">
        <v>0</v>
      </c>
      <c r="AQ167">
        <v>0</v>
      </c>
      <c r="AR167">
        <v>0</v>
      </c>
      <c r="AS167">
        <v>0</v>
      </c>
      <c r="AT167">
        <v>0</v>
      </c>
      <c r="AU167">
        <v>0</v>
      </c>
      <c r="AV167">
        <v>0</v>
      </c>
      <c r="AW167">
        <v>0</v>
      </c>
      <c r="AX167">
        <v>0</v>
      </c>
      <c r="AY167">
        <v>0</v>
      </c>
      <c r="BA167">
        <f t="shared" ca="1" si="18"/>
        <v>-0.36490185976613887</v>
      </c>
      <c r="BC167">
        <f ca="1"/>
        <v>1.5150430014997676E-2</v>
      </c>
    </row>
    <row r="168" spans="2:55">
      <c r="B168" s="38" t="s">
        <v>44</v>
      </c>
      <c r="C168" s="40">
        <v>8.7999999999999995E-2</v>
      </c>
      <c r="D168" s="15">
        <v>0.1517</v>
      </c>
      <c r="F168" s="51" t="s">
        <v>44</v>
      </c>
      <c r="G168" s="52">
        <v>-1.4616413041029938E-2</v>
      </c>
      <c r="H168" s="53">
        <v>-1.3428679594741899E-4</v>
      </c>
      <c r="I168" s="53">
        <v>-8.4607201418564312E-4</v>
      </c>
      <c r="J168" s="54">
        <v>-5.7800925266000993E-5</v>
      </c>
      <c r="K168" s="53">
        <v>2.4956289795164755E-3</v>
      </c>
      <c r="L168" s="53">
        <v>-1.8536548471873853E-3</v>
      </c>
      <c r="M168" s="53">
        <v>-1.7525513802975836E-3</v>
      </c>
      <c r="N168" s="53">
        <v>2.3009170215279741E-2</v>
      </c>
      <c r="O168" s="53">
        <v>1.685990563315316E-2</v>
      </c>
      <c r="P168" s="53">
        <v>6.2587066355182291E-4</v>
      </c>
      <c r="Q168" s="53">
        <v>7.3287551212344816E-4</v>
      </c>
      <c r="R168" s="53">
        <v>-1.7761492215019601E-3</v>
      </c>
      <c r="S168" s="53">
        <v>-2.726943568313918E-3</v>
      </c>
      <c r="T168" s="53">
        <v>1.6609495464997234E-4</v>
      </c>
      <c r="U168" s="54">
        <v>4.577755744103349E-6</v>
      </c>
      <c r="V168" s="53">
        <v>1.2195731000311104E-4</v>
      </c>
      <c r="W168" s="53">
        <v>-2.1898914973654638E-4</v>
      </c>
      <c r="X168" s="53">
        <v>9.7166917592811201E-4</v>
      </c>
      <c r="Y168" s="53">
        <v>-7.3871840433533027E-4</v>
      </c>
      <c r="Z168" s="53">
        <v>-9.3187688118373448E-4</v>
      </c>
      <c r="AA168" s="53">
        <v>1.7565509546338797E-4</v>
      </c>
      <c r="AB168" s="31">
        <v>1.1678372362364585E-3</v>
      </c>
      <c r="AD168">
        <v>-2.6873000000000001E-2</v>
      </c>
      <c r="AE168">
        <v>-1.75417E-2</v>
      </c>
      <c r="AF168">
        <v>-2.56282E-2</v>
      </c>
      <c r="AG168">
        <v>-2.4289399999999999E-2</v>
      </c>
      <c r="AH168">
        <v>5.9287999999999997E-3</v>
      </c>
      <c r="AI168">
        <v>-1.98575E-2</v>
      </c>
      <c r="AJ168">
        <v>-2.6778400000000001E-2</v>
      </c>
      <c r="AK168">
        <v>0.13995289999999999</v>
      </c>
      <c r="AL168">
        <v>0</v>
      </c>
      <c r="AM168">
        <v>0</v>
      </c>
      <c r="AN168">
        <v>0</v>
      </c>
      <c r="AO168">
        <v>0</v>
      </c>
      <c r="AP168">
        <v>0</v>
      </c>
      <c r="AQ168">
        <v>0</v>
      </c>
      <c r="AR168">
        <v>0</v>
      </c>
      <c r="AS168">
        <v>0</v>
      </c>
      <c r="AT168">
        <v>0</v>
      </c>
      <c r="AU168">
        <v>0</v>
      </c>
      <c r="AV168">
        <v>0</v>
      </c>
      <c r="AW168">
        <v>0</v>
      </c>
      <c r="AX168">
        <v>0</v>
      </c>
      <c r="AY168">
        <v>0</v>
      </c>
      <c r="BA168">
        <f t="shared" ca="1" si="18"/>
        <v>1.7585544243943685</v>
      </c>
      <c r="BC168">
        <f ca="1"/>
        <v>0.32170449143561025</v>
      </c>
    </row>
    <row r="169" spans="2:55">
      <c r="B169" s="38" t="s">
        <v>126</v>
      </c>
      <c r="C169" s="40">
        <v>0.627</v>
      </c>
      <c r="D169" s="15">
        <v>0.2417</v>
      </c>
      <c r="F169" s="51" t="s">
        <v>126</v>
      </c>
      <c r="G169" s="52">
        <v>6.1950449702036069E-3</v>
      </c>
      <c r="H169" s="53">
        <v>1.4904138417860607E-4</v>
      </c>
      <c r="I169" s="53">
        <v>-1.2670619635876349E-3</v>
      </c>
      <c r="J169" s="53">
        <v>-7.497778744461074E-4</v>
      </c>
      <c r="K169" s="53">
        <v>1.6171590048233112E-3</v>
      </c>
      <c r="L169" s="53">
        <v>2.2294436898552309E-3</v>
      </c>
      <c r="M169" s="53">
        <v>3.4238230061729187E-4</v>
      </c>
      <c r="N169" s="53">
        <v>1.685990563315316E-2</v>
      </c>
      <c r="O169" s="53">
        <v>5.8428154027352637E-2</v>
      </c>
      <c r="P169" s="53">
        <v>1.9337536178496378E-3</v>
      </c>
      <c r="Q169" s="53">
        <v>-5.0733716822793631E-4</v>
      </c>
      <c r="R169" s="53">
        <v>-1.2855367886111515E-3</v>
      </c>
      <c r="S169" s="53">
        <v>-6.6685436072255874E-4</v>
      </c>
      <c r="T169" s="53">
        <v>1.9983027394179827E-4</v>
      </c>
      <c r="U169" s="54">
        <v>-6.3742769736140103E-6</v>
      </c>
      <c r="V169" s="53">
        <v>1.6201355796724428E-3</v>
      </c>
      <c r="W169" s="53">
        <v>1.1141700232967953E-3</v>
      </c>
      <c r="X169" s="54">
        <v>-5.8007470928704644E-5</v>
      </c>
      <c r="Y169" s="53">
        <v>-2.9361162949161543E-3</v>
      </c>
      <c r="Z169" s="53">
        <v>-2.5987061739162105E-3</v>
      </c>
      <c r="AA169" s="53">
        <v>7.0345413355018291E-4</v>
      </c>
      <c r="AB169" s="31">
        <v>2.8451527782106189E-3</v>
      </c>
      <c r="AD169">
        <v>1.13962E-2</v>
      </c>
      <c r="AE169">
        <v>1.49731E-2</v>
      </c>
      <c r="AF169">
        <v>-2.7003999999999999E-3</v>
      </c>
      <c r="AG169">
        <v>-0.1402426</v>
      </c>
      <c r="AH169">
        <v>1.0191800000000001E-2</v>
      </c>
      <c r="AI169">
        <v>-1.04408E-2</v>
      </c>
      <c r="AJ169">
        <v>-7.0400000000000003E-3</v>
      </c>
      <c r="AK169">
        <v>9.6439700000000003E-2</v>
      </c>
      <c r="AL169">
        <v>0.1698163</v>
      </c>
      <c r="AM169">
        <v>0</v>
      </c>
      <c r="AN169">
        <v>0</v>
      </c>
      <c r="AO169">
        <v>0</v>
      </c>
      <c r="AP169">
        <v>0</v>
      </c>
      <c r="AQ169">
        <v>0</v>
      </c>
      <c r="AR169">
        <v>0</v>
      </c>
      <c r="AS169">
        <v>0</v>
      </c>
      <c r="AT169">
        <v>0</v>
      </c>
      <c r="AU169">
        <v>0</v>
      </c>
      <c r="AV169">
        <v>0</v>
      </c>
      <c r="AW169">
        <v>0</v>
      </c>
      <c r="AX169">
        <v>0</v>
      </c>
      <c r="AY169">
        <v>0</v>
      </c>
      <c r="BA169">
        <f t="shared" ca="1" si="18"/>
        <v>-0.10292798297441073</v>
      </c>
      <c r="BC169">
        <f ca="1"/>
        <v>0.11811003969819361</v>
      </c>
    </row>
    <row r="170" spans="2:55">
      <c r="B170" s="38" t="s">
        <v>83</v>
      </c>
      <c r="C170" s="40">
        <v>0.47599999999999998</v>
      </c>
      <c r="D170" s="15">
        <v>0.1472</v>
      </c>
      <c r="F170" s="51" t="s">
        <v>83</v>
      </c>
      <c r="G170" s="52">
        <v>-1.1632513677948583E-2</v>
      </c>
      <c r="H170" s="54">
        <v>-8.6368492662492979E-5</v>
      </c>
      <c r="I170" s="53">
        <v>-1.9408706479096837E-4</v>
      </c>
      <c r="J170" s="54">
        <v>1.3225591109534809E-5</v>
      </c>
      <c r="K170" s="53">
        <v>2.0765108540589201E-3</v>
      </c>
      <c r="L170" s="53">
        <v>-1.1023051535602307E-4</v>
      </c>
      <c r="M170" s="53">
        <v>3.6104678842335293E-3</v>
      </c>
      <c r="N170" s="53">
        <v>6.2587066355182291E-4</v>
      </c>
      <c r="O170" s="53">
        <v>1.9337536178496378E-3</v>
      </c>
      <c r="P170" s="53">
        <v>2.1669190294708953E-2</v>
      </c>
      <c r="Q170" s="53">
        <v>1.2290483457345741E-2</v>
      </c>
      <c r="R170" s="53">
        <v>-2.3268909146170269E-3</v>
      </c>
      <c r="S170" s="53">
        <v>-4.1825993174199449E-3</v>
      </c>
      <c r="T170" s="54">
        <v>-3.9224449097988238E-5</v>
      </c>
      <c r="U170" s="54">
        <v>1.8840094592142059E-6</v>
      </c>
      <c r="V170" s="54">
        <v>9.049822851849601E-5</v>
      </c>
      <c r="W170" s="53">
        <v>-6.8757093957837233E-4</v>
      </c>
      <c r="X170" s="53">
        <v>-9.9640592191727029E-4</v>
      </c>
      <c r="Y170" s="54">
        <v>-2.9644579488762358E-5</v>
      </c>
      <c r="Z170" s="53">
        <v>2.3802706330536766E-3</v>
      </c>
      <c r="AA170" s="53">
        <v>3.7308557756329601E-4</v>
      </c>
      <c r="AB170" s="31">
        <v>-1.4950725823306107E-3</v>
      </c>
      <c r="AD170">
        <v>-2.13771E-2</v>
      </c>
      <c r="AE170">
        <v>-1.26006E-2</v>
      </c>
      <c r="AF170">
        <v>-1.5953100000000001E-2</v>
      </c>
      <c r="AG170">
        <v>-7.1948999999999997E-3</v>
      </c>
      <c r="AH170">
        <v>7.0518000000000004E-3</v>
      </c>
      <c r="AI170">
        <v>-2.8590999999999998E-3</v>
      </c>
      <c r="AJ170">
        <v>2.1414300000000001E-2</v>
      </c>
      <c r="AK170">
        <v>-1.9596000000000001E-3</v>
      </c>
      <c r="AL170">
        <v>9.1169000000000007E-3</v>
      </c>
      <c r="AM170">
        <v>0.14193149999999999</v>
      </c>
      <c r="AN170">
        <v>0</v>
      </c>
      <c r="AO170">
        <v>0</v>
      </c>
      <c r="AP170">
        <v>0</v>
      </c>
      <c r="AQ170">
        <v>0</v>
      </c>
      <c r="AR170">
        <v>0</v>
      </c>
      <c r="AS170">
        <v>0</v>
      </c>
      <c r="AT170">
        <v>0</v>
      </c>
      <c r="AU170">
        <v>0</v>
      </c>
      <c r="AV170">
        <v>0</v>
      </c>
      <c r="AW170">
        <v>0</v>
      </c>
      <c r="AX170">
        <v>0</v>
      </c>
      <c r="AY170">
        <v>0</v>
      </c>
      <c r="BA170">
        <f t="shared" ca="1" si="18"/>
        <v>0.84578697769710631</v>
      </c>
      <c r="BC170">
        <f ca="1"/>
        <v>0.16104935832508846</v>
      </c>
    </row>
    <row r="171" spans="2:55">
      <c r="B171" s="38" t="s">
        <v>84</v>
      </c>
      <c r="C171" s="40">
        <v>0.13600000000000001</v>
      </c>
      <c r="D171" s="15">
        <v>0.16539999999999999</v>
      </c>
      <c r="F171" s="51" t="s">
        <v>84</v>
      </c>
      <c r="G171" s="52">
        <v>-4.5873157589978271E-3</v>
      </c>
      <c r="H171" s="54">
        <v>5.3239972084543641E-5</v>
      </c>
      <c r="I171" s="53">
        <v>-7.5110671281738756E-4</v>
      </c>
      <c r="J171" s="54">
        <v>-2.7546377491683159E-5</v>
      </c>
      <c r="K171" s="53">
        <v>1.1037044701407001E-3</v>
      </c>
      <c r="L171" s="53">
        <v>-5.6482937084901793E-4</v>
      </c>
      <c r="M171" s="53">
        <v>1.6304175411272904E-3</v>
      </c>
      <c r="N171" s="53">
        <v>7.3287551212344816E-4</v>
      </c>
      <c r="O171" s="53">
        <v>-5.0733716822793631E-4</v>
      </c>
      <c r="P171" s="53">
        <v>1.2290483457345741E-2</v>
      </c>
      <c r="Q171" s="53">
        <v>2.7360697245957136E-2</v>
      </c>
      <c r="R171" s="53">
        <v>-1.4882479404418388E-3</v>
      </c>
      <c r="S171" s="53">
        <v>-4.0646725121169843E-3</v>
      </c>
      <c r="T171" s="53">
        <v>-1.7724998627000816E-4</v>
      </c>
      <c r="U171" s="54">
        <v>-2.5076588864341885E-6</v>
      </c>
      <c r="V171" s="53">
        <v>2.6445744482243708E-4</v>
      </c>
      <c r="W171" s="53">
        <v>-5.0803047277353714E-4</v>
      </c>
      <c r="X171" s="53">
        <v>-3.0972912381407565E-4</v>
      </c>
      <c r="Y171" s="53">
        <v>-1.7929227483691054E-3</v>
      </c>
      <c r="Z171" s="53">
        <v>1.5061196436573149E-3</v>
      </c>
      <c r="AA171" s="53">
        <v>4.0031093521042876E-4</v>
      </c>
      <c r="AB171" s="31">
        <v>-1.4202276986905172E-3</v>
      </c>
      <c r="AD171">
        <v>-8.4369000000000006E-3</v>
      </c>
      <c r="AE171">
        <v>1.9620000000000002E-3</v>
      </c>
      <c r="AF171">
        <v>-1.1502500000000001E-2</v>
      </c>
      <c r="AG171">
        <v>-9.7505000000000005E-3</v>
      </c>
      <c r="AH171">
        <v>4.2360000000000002E-3</v>
      </c>
      <c r="AI171">
        <v>-6.2364999999999999E-3</v>
      </c>
      <c r="AJ171">
        <v>8.1936999999999999E-3</v>
      </c>
      <c r="AK171">
        <v>5.4679999999999996E-4</v>
      </c>
      <c r="AL171">
        <v>-1.1453899999999999E-2</v>
      </c>
      <c r="AM171">
        <v>8.2878300000000002E-2</v>
      </c>
      <c r="AN171">
        <v>0.14118539999999999</v>
      </c>
      <c r="AO171">
        <v>0</v>
      </c>
      <c r="AP171">
        <v>0</v>
      </c>
      <c r="AQ171">
        <v>0</v>
      </c>
      <c r="AR171">
        <v>0</v>
      </c>
      <c r="AS171">
        <v>0</v>
      </c>
      <c r="AT171">
        <v>0</v>
      </c>
      <c r="AU171">
        <v>0</v>
      </c>
      <c r="AV171">
        <v>0</v>
      </c>
      <c r="AW171">
        <v>0</v>
      </c>
      <c r="AX171">
        <v>0</v>
      </c>
      <c r="AY171">
        <v>0</v>
      </c>
      <c r="BA171">
        <f t="shared" ca="1" si="18"/>
        <v>-0.55139401789428999</v>
      </c>
      <c r="BC171">
        <f ca="1"/>
        <v>2.7857497437679526E-2</v>
      </c>
    </row>
    <row r="172" spans="2:55">
      <c r="B172" s="38" t="s">
        <v>85</v>
      </c>
      <c r="C172" s="40">
        <v>-9.5000000000000001E-2</v>
      </c>
      <c r="D172" s="15">
        <v>0.14319999999999999</v>
      </c>
      <c r="F172" s="51" t="s">
        <v>85</v>
      </c>
      <c r="G172" s="52">
        <v>-1.9003366355800473E-2</v>
      </c>
      <c r="H172" s="54">
        <v>1.5156047658276817E-5</v>
      </c>
      <c r="I172" s="53">
        <v>-1.3581467656267514E-3</v>
      </c>
      <c r="J172" s="54">
        <v>4.7937107039005052E-5</v>
      </c>
      <c r="K172" s="53">
        <v>2.7627271089188097E-3</v>
      </c>
      <c r="L172" s="53">
        <v>6.2270095535752845E-4</v>
      </c>
      <c r="M172" s="53">
        <v>-8.6131501695098042E-4</v>
      </c>
      <c r="N172" s="53">
        <v>-1.7761492215019601E-3</v>
      </c>
      <c r="O172" s="53">
        <v>-1.2855367886111515E-3</v>
      </c>
      <c r="P172" s="53">
        <v>-2.3268909146170269E-3</v>
      </c>
      <c r="Q172" s="53">
        <v>-1.4882479404418388E-3</v>
      </c>
      <c r="R172" s="53">
        <v>2.0493157281355159E-2</v>
      </c>
      <c r="S172" s="53">
        <v>1.4566229768209676E-2</v>
      </c>
      <c r="T172" s="53">
        <v>1.491808373180664E-4</v>
      </c>
      <c r="U172" s="54">
        <v>-8.4831403213154725E-7</v>
      </c>
      <c r="V172" s="53">
        <v>1.0331469950680856E-3</v>
      </c>
      <c r="W172" s="53">
        <v>3.476798720808885E-4</v>
      </c>
      <c r="X172" s="53">
        <v>1.4540304037923273E-4</v>
      </c>
      <c r="Y172" s="53">
        <v>1.5810366035022472E-3</v>
      </c>
      <c r="Z172" s="53">
        <v>9.8924459016146941E-4</v>
      </c>
      <c r="AA172" s="53">
        <v>3.429782011127009E-4</v>
      </c>
      <c r="AB172" s="31">
        <v>1.6891164374729787E-3</v>
      </c>
      <c r="AD172">
        <v>-3.4923900000000001E-2</v>
      </c>
      <c r="AE172">
        <v>-8.1765999999999991E-3</v>
      </c>
      <c r="AF172">
        <v>-3.3982999999999999E-2</v>
      </c>
      <c r="AG172">
        <v>-7.5946E-3</v>
      </c>
      <c r="AH172">
        <v>6.1352000000000004E-3</v>
      </c>
      <c r="AI172">
        <v>2.7989999999999998E-3</v>
      </c>
      <c r="AJ172">
        <v>-1.8246800000000001E-2</v>
      </c>
      <c r="AK172">
        <v>-3.1344400000000001E-2</v>
      </c>
      <c r="AL172">
        <v>5.5038999999999999E-3</v>
      </c>
      <c r="AM172">
        <v>-2.4888799999999999E-2</v>
      </c>
      <c r="AN172">
        <v>3.5659999999999999E-4</v>
      </c>
      <c r="AO172">
        <v>0.12641269999999999</v>
      </c>
      <c r="AP172">
        <v>0</v>
      </c>
      <c r="AQ172">
        <v>0</v>
      </c>
      <c r="AR172">
        <v>0</v>
      </c>
      <c r="AS172">
        <v>0</v>
      </c>
      <c r="AT172">
        <v>0</v>
      </c>
      <c r="AU172">
        <v>0</v>
      </c>
      <c r="AV172">
        <v>0</v>
      </c>
      <c r="AW172">
        <v>0</v>
      </c>
      <c r="AX172">
        <v>0</v>
      </c>
      <c r="AY172">
        <v>0</v>
      </c>
      <c r="BA172">
        <f t="shared" ca="1" si="18"/>
        <v>1.365946548829474</v>
      </c>
      <c r="BC172">
        <f ca="1"/>
        <v>0.23715363741401774</v>
      </c>
    </row>
    <row r="173" spans="2:55">
      <c r="B173" s="38" t="s">
        <v>86</v>
      </c>
      <c r="C173" s="40">
        <v>7.1999999999999995E-2</v>
      </c>
      <c r="D173" s="15">
        <v>0.2273</v>
      </c>
      <c r="F173" s="51" t="s">
        <v>86</v>
      </c>
      <c r="G173" s="52">
        <v>-6.1699288225940153E-3</v>
      </c>
      <c r="H173" s="54">
        <v>1.0824005144546779E-5</v>
      </c>
      <c r="I173" s="53">
        <v>-1.6378256134036101E-3</v>
      </c>
      <c r="J173" s="53">
        <v>-1.1021010016136236E-4</v>
      </c>
      <c r="K173" s="53">
        <v>5.2734949600452873E-3</v>
      </c>
      <c r="L173" s="53">
        <v>7.4636197604690971E-4</v>
      </c>
      <c r="M173" s="53">
        <v>-8.5422052765991613E-4</v>
      </c>
      <c r="N173" s="53">
        <v>-2.726943568313918E-3</v>
      </c>
      <c r="O173" s="53">
        <v>-6.6685436072255874E-4</v>
      </c>
      <c r="P173" s="53">
        <v>-4.1825993174199449E-3</v>
      </c>
      <c r="Q173" s="53">
        <v>-4.0646725121169843E-3</v>
      </c>
      <c r="R173" s="53">
        <v>1.4566229768209676E-2</v>
      </c>
      <c r="S173" s="53">
        <v>5.1646682843056624E-2</v>
      </c>
      <c r="T173" s="54">
        <v>4.4163266648229556E-5</v>
      </c>
      <c r="U173" s="54">
        <v>-2.0889216265064638E-6</v>
      </c>
      <c r="V173" s="53">
        <v>5.9947644120775636E-4</v>
      </c>
      <c r="W173" s="53">
        <v>-1.0633575734677559E-3</v>
      </c>
      <c r="X173" s="53">
        <v>8.7687305302555239E-4</v>
      </c>
      <c r="Y173" s="53">
        <v>3.2276544067937751E-4</v>
      </c>
      <c r="Z173" s="53">
        <v>8.7152418629998871E-4</v>
      </c>
      <c r="AA173" s="53">
        <v>-3.5935341507659442E-3</v>
      </c>
      <c r="AB173" s="31">
        <v>-4.8135294779301258E-4</v>
      </c>
      <c r="AD173">
        <v>-1.13411E-2</v>
      </c>
      <c r="AE173">
        <v>-2.1865000000000001E-3</v>
      </c>
      <c r="AF173">
        <v>-2.1554400000000001E-2</v>
      </c>
      <c r="AG173">
        <v>-2.82595E-2</v>
      </c>
      <c r="AH173">
        <v>3.3147099999999999E-2</v>
      </c>
      <c r="AI173">
        <v>1.0708E-3</v>
      </c>
      <c r="AJ173">
        <v>-1.5162399999999999E-2</v>
      </c>
      <c r="AK173">
        <v>-3.4963300000000003E-2</v>
      </c>
      <c r="AL173">
        <v>-9.3685999999999995E-3</v>
      </c>
      <c r="AM173">
        <v>-3.4426900000000003E-2</v>
      </c>
      <c r="AN173">
        <v>-1.3594200000000001E-2</v>
      </c>
      <c r="AO173">
        <v>8.5668400000000006E-2</v>
      </c>
      <c r="AP173">
        <v>0.19724179999999999</v>
      </c>
      <c r="AQ173">
        <v>0</v>
      </c>
      <c r="AR173">
        <v>0</v>
      </c>
      <c r="AS173">
        <v>0</v>
      </c>
      <c r="AT173">
        <v>0</v>
      </c>
      <c r="AU173">
        <v>0</v>
      </c>
      <c r="AV173">
        <v>0</v>
      </c>
      <c r="AW173">
        <v>0</v>
      </c>
      <c r="AX173">
        <v>0</v>
      </c>
      <c r="AY173">
        <v>0</v>
      </c>
      <c r="BA173">
        <f t="shared" ca="1" si="18"/>
        <v>0.80921394562277338</v>
      </c>
      <c r="BC173">
        <f ca="1"/>
        <v>0.25111778860421918</v>
      </c>
    </row>
    <row r="174" spans="2:55">
      <c r="B174" s="38" t="s">
        <v>87</v>
      </c>
      <c r="C174" s="40">
        <v>-1.6E-2</v>
      </c>
      <c r="D174" s="15">
        <v>1.12E-2</v>
      </c>
      <c r="F174" s="51" t="s">
        <v>87</v>
      </c>
      <c r="G174" s="52">
        <v>-3.0051226440706369E-3</v>
      </c>
      <c r="H174" s="54">
        <v>-9.0566598215949626E-6</v>
      </c>
      <c r="I174" s="54">
        <v>9.5037853847483811E-5</v>
      </c>
      <c r="J174" s="54">
        <v>-9.3749726966330242E-6</v>
      </c>
      <c r="K174" s="54">
        <v>-5.659045013000593E-6</v>
      </c>
      <c r="L174" s="54">
        <v>-8.092727420501829E-5</v>
      </c>
      <c r="M174" s="54">
        <v>5.768480562609116E-5</v>
      </c>
      <c r="N174" s="53">
        <v>1.6609495464997234E-4</v>
      </c>
      <c r="O174" s="53">
        <v>1.9983027394179827E-4</v>
      </c>
      <c r="P174" s="54">
        <v>-3.9224449097988238E-5</v>
      </c>
      <c r="Q174" s="53">
        <v>-1.7724998627000816E-4</v>
      </c>
      <c r="R174" s="53">
        <v>1.491808373180664E-4</v>
      </c>
      <c r="S174" s="54">
        <v>4.4163266648229556E-5</v>
      </c>
      <c r="T174" s="53">
        <v>1.2568132575886288E-4</v>
      </c>
      <c r="U174" s="54">
        <v>1.980173544282619E-7</v>
      </c>
      <c r="V174" s="54">
        <v>-7.6454518128086575E-5</v>
      </c>
      <c r="W174" s="53">
        <v>-1.2336115778548577E-4</v>
      </c>
      <c r="X174" s="54">
        <v>-2.3289368874568369E-5</v>
      </c>
      <c r="Y174" s="53">
        <v>2.4835150131511643E-4</v>
      </c>
      <c r="Z174" s="54">
        <v>4.0744475556393061E-5</v>
      </c>
      <c r="AA174" s="53">
        <v>3.9701732774607669E-4</v>
      </c>
      <c r="AB174" s="55">
        <v>4.2711300845269193E-5</v>
      </c>
      <c r="AD174">
        <v>-5.5326999999999998E-3</v>
      </c>
      <c r="AE174">
        <v>-2.2052E-3</v>
      </c>
      <c r="AF174">
        <v>-2.7431999999999999E-3</v>
      </c>
      <c r="AG174">
        <v>-4.0556999999999998E-3</v>
      </c>
      <c r="AH174">
        <v>-2.1434000000000002E-3</v>
      </c>
      <c r="AI174">
        <v>-1.7556E-3</v>
      </c>
      <c r="AJ174">
        <v>-1.2953999999999999E-3</v>
      </c>
      <c r="AK174">
        <v>-1.7363999999999999E-3</v>
      </c>
      <c r="AL174">
        <v>-6.9640000000000001E-4</v>
      </c>
      <c r="AM174">
        <v>-1.5319999999999999E-3</v>
      </c>
      <c r="AN174">
        <v>-1.1670000000000001E-3</v>
      </c>
      <c r="AO174">
        <v>-2.2082999999999998E-3</v>
      </c>
      <c r="AP174">
        <v>-4.5889999999999999E-4</v>
      </c>
      <c r="AQ174">
        <v>6.9930000000000001E-3</v>
      </c>
      <c r="AR174">
        <v>0</v>
      </c>
      <c r="AS174">
        <v>0</v>
      </c>
      <c r="AT174">
        <v>0</v>
      </c>
      <c r="AU174">
        <v>0</v>
      </c>
      <c r="AV174">
        <v>0</v>
      </c>
      <c r="AW174">
        <v>0</v>
      </c>
      <c r="AX174">
        <v>0</v>
      </c>
      <c r="AY174">
        <v>0</v>
      </c>
      <c r="BA174">
        <f t="shared" ca="1" si="18"/>
        <v>-1.0308628568723286</v>
      </c>
      <c r="BC174">
        <f ca="1"/>
        <v>-2.1023572310399355E-3</v>
      </c>
    </row>
    <row r="175" spans="2:55">
      <c r="B175" s="38" t="s">
        <v>38</v>
      </c>
      <c r="C175" s="40">
        <v>-1E-3</v>
      </c>
      <c r="D175" s="15">
        <v>5.0000000000000001E-4</v>
      </c>
      <c r="F175" s="51" t="s">
        <v>38</v>
      </c>
      <c r="G175" s="56">
        <v>-2.3056967670667951E-5</v>
      </c>
      <c r="H175" s="54">
        <v>-2.7654592715670985E-6</v>
      </c>
      <c r="I175" s="54">
        <v>1.0448467367349209E-5</v>
      </c>
      <c r="J175" s="54">
        <v>-4.3708636862661132E-7</v>
      </c>
      <c r="K175" s="54">
        <v>-2.4745081747014525E-6</v>
      </c>
      <c r="L175" s="54">
        <v>2.3111623082010573E-6</v>
      </c>
      <c r="M175" s="54">
        <v>-1.0967668585825279E-7</v>
      </c>
      <c r="N175" s="54">
        <v>4.577755744103349E-6</v>
      </c>
      <c r="O175" s="54">
        <v>-6.3742769736140103E-6</v>
      </c>
      <c r="P175" s="54">
        <v>1.8840094592142059E-6</v>
      </c>
      <c r="Q175" s="54">
        <v>-2.5076588864341885E-6</v>
      </c>
      <c r="R175" s="54">
        <v>-8.4831403213154725E-7</v>
      </c>
      <c r="S175" s="54">
        <v>-2.0889216265064638E-6</v>
      </c>
      <c r="T175" s="54">
        <v>1.980173544282619E-7</v>
      </c>
      <c r="U175" s="54">
        <v>2.7417469732794301E-7</v>
      </c>
      <c r="V175" s="54">
        <v>-3.5932823147062277E-6</v>
      </c>
      <c r="W175" s="54">
        <v>-2.3754718446986131E-7</v>
      </c>
      <c r="X175" s="54">
        <v>1.3210118197080574E-6</v>
      </c>
      <c r="Y175" s="54">
        <v>6.3834336649318335E-6</v>
      </c>
      <c r="Z175" s="54">
        <v>1.0704456250637385E-5</v>
      </c>
      <c r="AA175" s="54">
        <v>8.0449462395134963E-6</v>
      </c>
      <c r="AB175" s="55">
        <v>4.8531110645482612E-6</v>
      </c>
      <c r="AD175">
        <v>-4.2400000000000001E-5</v>
      </c>
      <c r="AE175">
        <v>-2.31E-4</v>
      </c>
      <c r="AF175">
        <v>4.1699999999999997E-5</v>
      </c>
      <c r="AG175">
        <v>-9.7899999999999994E-5</v>
      </c>
      <c r="AH175">
        <v>-4.57E-5</v>
      </c>
      <c r="AI175" s="67">
        <v>-9.5599999999999999E-6</v>
      </c>
      <c r="AJ175" s="67">
        <v>-9.91E-6</v>
      </c>
      <c r="AK175">
        <v>-1.5099999999999999E-5</v>
      </c>
      <c r="AL175">
        <v>-8.42E-5</v>
      </c>
      <c r="AM175" s="67">
        <v>-5.1200000000000001E-6</v>
      </c>
      <c r="AN175">
        <v>-2.27E-5</v>
      </c>
      <c r="AO175">
        <v>-2.8099999999999999E-5</v>
      </c>
      <c r="AP175">
        <v>-1.5E-5</v>
      </c>
      <c r="AQ175">
        <v>-1.6359999999999999E-4</v>
      </c>
      <c r="AR175">
        <v>4.1199999999999999E-4</v>
      </c>
      <c r="AS175">
        <v>0</v>
      </c>
      <c r="AT175">
        <v>0</v>
      </c>
      <c r="AU175">
        <v>0</v>
      </c>
      <c r="AV175">
        <v>0</v>
      </c>
      <c r="AW175">
        <v>0</v>
      </c>
      <c r="AX175">
        <v>0</v>
      </c>
      <c r="AY175">
        <v>0</v>
      </c>
      <c r="BA175">
        <f t="shared" ca="1" si="18"/>
        <v>-0.29873791897339363</v>
      </c>
      <c r="BC175">
        <f ca="1"/>
        <v>-3.1038533138178512E-4</v>
      </c>
    </row>
    <row r="176" spans="2:55">
      <c r="B176" s="38" t="s">
        <v>45</v>
      </c>
      <c r="C176" s="40">
        <v>0.152</v>
      </c>
      <c r="D176" s="15">
        <v>0.13750000000000001</v>
      </c>
      <c r="F176" s="51" t="s">
        <v>45</v>
      </c>
      <c r="G176" s="52">
        <v>-1.6400105563565016E-2</v>
      </c>
      <c r="H176" s="53">
        <v>-1.3379785904212292E-4</v>
      </c>
      <c r="I176" s="53">
        <v>2.3591759897335701E-3</v>
      </c>
      <c r="J176" s="54">
        <v>6.0873604848851239E-5</v>
      </c>
      <c r="K176" s="53">
        <v>-1.4839151286723589E-3</v>
      </c>
      <c r="L176" s="53">
        <v>2.5702423075658815E-3</v>
      </c>
      <c r="M176" s="53">
        <v>7.34139107527997E-4</v>
      </c>
      <c r="N176" s="53">
        <v>1.2195731000311104E-4</v>
      </c>
      <c r="O176" s="53">
        <v>1.6201355796724428E-3</v>
      </c>
      <c r="P176" s="54">
        <v>9.049822851849601E-5</v>
      </c>
      <c r="Q176" s="53">
        <v>2.6445744482243708E-4</v>
      </c>
      <c r="R176" s="53">
        <v>1.0331469950680856E-3</v>
      </c>
      <c r="S176" s="53">
        <v>5.9947644120775636E-4</v>
      </c>
      <c r="T176" s="54">
        <v>-7.6454518128086575E-5</v>
      </c>
      <c r="U176" s="54">
        <v>-3.5932823147062277E-6</v>
      </c>
      <c r="V176" s="53">
        <v>1.8896999177265623E-2</v>
      </c>
      <c r="W176" s="53">
        <v>-1.7864483973085723E-3</v>
      </c>
      <c r="X176" s="53">
        <v>-8.490047519803854E-4</v>
      </c>
      <c r="Y176" s="53">
        <v>1.5701688760820448E-3</v>
      </c>
      <c r="Z176" s="53">
        <v>3.3078905384372839E-3</v>
      </c>
      <c r="AA176" s="53">
        <v>1.5751915093501761E-3</v>
      </c>
      <c r="AB176" s="31">
        <v>6.3557667911316262E-4</v>
      </c>
      <c r="AD176">
        <v>-3.0144799999999999E-2</v>
      </c>
      <c r="AE176">
        <v>-1.8420499999999999E-2</v>
      </c>
      <c r="AF176">
        <v>6.1149999999999996E-4</v>
      </c>
      <c r="AG176">
        <v>1.7152999999999999E-3</v>
      </c>
      <c r="AH176">
        <v>-1.9318499999999999E-2</v>
      </c>
      <c r="AI176">
        <v>1.7791299999999999E-2</v>
      </c>
      <c r="AJ176">
        <v>3.8993000000000001E-3</v>
      </c>
      <c r="AK176">
        <v>-2.7412000000000001E-3</v>
      </c>
      <c r="AL176">
        <v>1.8584799999999999E-2</v>
      </c>
      <c r="AM176">
        <v>-5.8840999999999997E-3</v>
      </c>
      <c r="AN176">
        <v>6.5760000000000002E-3</v>
      </c>
      <c r="AO176">
        <v>-2.6635999999999999E-3</v>
      </c>
      <c r="AP176">
        <v>5.8466999999999998E-3</v>
      </c>
      <c r="AQ176">
        <v>-3.9568399999999997E-2</v>
      </c>
      <c r="AR176">
        <v>-3.5133499999999998E-2</v>
      </c>
      <c r="AS176">
        <v>0.1169258</v>
      </c>
      <c r="AT176">
        <v>0</v>
      </c>
      <c r="AU176">
        <v>0</v>
      </c>
      <c r="AV176">
        <v>0</v>
      </c>
      <c r="AW176">
        <v>0</v>
      </c>
      <c r="AX176">
        <v>0</v>
      </c>
      <c r="AY176">
        <v>0</v>
      </c>
      <c r="BA176">
        <f t="shared" ca="1" si="18"/>
        <v>0.48085555644197797</v>
      </c>
      <c r="BC176">
        <f ca="1"/>
        <v>0.13705617603475861</v>
      </c>
    </row>
    <row r="177" spans="2:55">
      <c r="B177" s="38" t="s">
        <v>88</v>
      </c>
      <c r="C177" s="40">
        <v>0.32800000000000001</v>
      </c>
      <c r="D177" s="15">
        <v>0.1348</v>
      </c>
      <c r="F177" s="51" t="s">
        <v>88</v>
      </c>
      <c r="G177" s="52">
        <v>-4.6033663967148539E-3</v>
      </c>
      <c r="H177" s="54">
        <v>-7.0536531849780528E-5</v>
      </c>
      <c r="I177" s="54">
        <v>3.3259040914228625E-6</v>
      </c>
      <c r="J177" s="54">
        <v>7.7956774170671124E-7</v>
      </c>
      <c r="K177" s="53">
        <v>-1.0127848915540195E-3</v>
      </c>
      <c r="L177" s="53">
        <v>-1.6555142711939879E-3</v>
      </c>
      <c r="M177" s="53">
        <v>4.0070881682636875E-4</v>
      </c>
      <c r="N177" s="53">
        <v>-2.1898914973654638E-4</v>
      </c>
      <c r="O177" s="53">
        <v>1.1141700232967953E-3</v>
      </c>
      <c r="P177" s="53">
        <v>-6.8757093957837233E-4</v>
      </c>
      <c r="Q177" s="53">
        <v>-5.0803047277353714E-4</v>
      </c>
      <c r="R177" s="53">
        <v>3.476798720808885E-4</v>
      </c>
      <c r="S177" s="53">
        <v>-1.0633575734677559E-3</v>
      </c>
      <c r="T177" s="53">
        <v>-1.2336115778548577E-4</v>
      </c>
      <c r="U177" s="54">
        <v>-2.3754718446986131E-7</v>
      </c>
      <c r="V177" s="53">
        <v>-1.7864483973085723E-3</v>
      </c>
      <c r="W177" s="53">
        <v>1.8163929583078067E-2</v>
      </c>
      <c r="X177" s="53">
        <v>-1.0620708598794125E-3</v>
      </c>
      <c r="Y177" s="53">
        <v>-4.8816125311589519E-4</v>
      </c>
      <c r="Z177" s="53">
        <v>-1.2408193901964147E-3</v>
      </c>
      <c r="AA177" s="53">
        <v>-5.8831557483582419E-4</v>
      </c>
      <c r="AB177" s="31">
        <v>1.8211722541873143E-4</v>
      </c>
      <c r="AD177">
        <v>-8.4553000000000007E-3</v>
      </c>
      <c r="AE177">
        <v>-7.8726000000000004E-3</v>
      </c>
      <c r="AF177">
        <v>-5.9290000000000002E-3</v>
      </c>
      <c r="AG177">
        <v>-3.7318E-3</v>
      </c>
      <c r="AH177">
        <v>-1.1906E-2</v>
      </c>
      <c r="AI177">
        <v>-1.4254899999999999E-2</v>
      </c>
      <c r="AJ177">
        <v>-7.0560000000000002E-4</v>
      </c>
      <c r="AK177">
        <v>-7.5688999999999999E-3</v>
      </c>
      <c r="AL177">
        <v>8.7291999999999995E-3</v>
      </c>
      <c r="AM177">
        <v>-7.9439000000000003E-3</v>
      </c>
      <c r="AN177">
        <v>4.2030000000000002E-4</v>
      </c>
      <c r="AO177">
        <v>-4.9249000000000003E-3</v>
      </c>
      <c r="AP177">
        <v>-5.2516999999999998E-3</v>
      </c>
      <c r="AQ177">
        <v>-4.2760899999999998E-2</v>
      </c>
      <c r="AR177">
        <v>-2.3890499999999999E-2</v>
      </c>
      <c r="AS177">
        <v>-4.1904799999999999E-2</v>
      </c>
      <c r="AT177">
        <v>0.11501359999999999</v>
      </c>
      <c r="AU177">
        <v>0</v>
      </c>
      <c r="AV177">
        <v>0</v>
      </c>
      <c r="AW177">
        <v>0</v>
      </c>
      <c r="AX177">
        <v>0</v>
      </c>
      <c r="AY177">
        <v>0</v>
      </c>
      <c r="BA177">
        <f t="shared" ca="1" si="18"/>
        <v>-0.34675857046235503</v>
      </c>
      <c r="BC177">
        <f ca="1"/>
        <v>-2.6581219202847454E-2</v>
      </c>
    </row>
    <row r="178" spans="2:55">
      <c r="B178" s="38" t="s">
        <v>89</v>
      </c>
      <c r="C178" s="40">
        <v>0.245</v>
      </c>
      <c r="D178" s="15">
        <v>7.5800000000000006E-2</v>
      </c>
      <c r="F178" s="51" t="s">
        <v>89</v>
      </c>
      <c r="G178" s="52">
        <v>3.4783635757133502E-3</v>
      </c>
      <c r="H178" s="53">
        <v>-1.0601239821539847E-4</v>
      </c>
      <c r="I178" s="53">
        <v>-2.5144646364676281E-4</v>
      </c>
      <c r="J178" s="54">
        <v>-7.2475048440693703E-5</v>
      </c>
      <c r="K178" s="53">
        <v>6.5469172702334539E-4</v>
      </c>
      <c r="L178" s="53">
        <v>6.4091170588931995E-4</v>
      </c>
      <c r="M178" s="53">
        <v>-3.2509537751536859E-4</v>
      </c>
      <c r="N178" s="53">
        <v>9.7166917592811201E-4</v>
      </c>
      <c r="O178" s="54">
        <v>-5.8007470928704644E-5</v>
      </c>
      <c r="P178" s="53">
        <v>-9.9640592191727029E-4</v>
      </c>
      <c r="Q178" s="53">
        <v>-3.0972912381407565E-4</v>
      </c>
      <c r="R178" s="53">
        <v>1.4540304037923273E-4</v>
      </c>
      <c r="S178" s="53">
        <v>8.7687305302555239E-4</v>
      </c>
      <c r="T178" s="54">
        <v>-2.3289368874568369E-5</v>
      </c>
      <c r="U178" s="54">
        <v>1.3210118197080574E-6</v>
      </c>
      <c r="V178" s="53">
        <v>-8.490047519803854E-4</v>
      </c>
      <c r="W178" s="53">
        <v>-1.0620708598794125E-3</v>
      </c>
      <c r="X178" s="53">
        <v>5.7481360311622777E-3</v>
      </c>
      <c r="Y178" s="53">
        <v>4.7102225832163798E-4</v>
      </c>
      <c r="Z178" s="53">
        <v>-1.6444174164704077E-3</v>
      </c>
      <c r="AA178" s="53">
        <v>-4.2721393825355635E-4</v>
      </c>
      <c r="AB178" s="55">
        <v>4.9998477771132869E-5</v>
      </c>
      <c r="AD178">
        <v>6.3965999999999997E-3</v>
      </c>
      <c r="AE178">
        <v>-7.0175999999999997E-3</v>
      </c>
      <c r="AF178">
        <v>9.0490000000000004E-4</v>
      </c>
      <c r="AG178">
        <v>-1.19763E-2</v>
      </c>
      <c r="AH178">
        <v>5.4156999999999999E-3</v>
      </c>
      <c r="AI178">
        <v>2.9713000000000001E-3</v>
      </c>
      <c r="AJ178">
        <v>-2.1900000000000001E-3</v>
      </c>
      <c r="AK178">
        <v>5.1399000000000002E-3</v>
      </c>
      <c r="AL178">
        <v>-1.31804E-2</v>
      </c>
      <c r="AM178">
        <v>-6.1717999999999999E-3</v>
      </c>
      <c r="AN178">
        <v>1.6029999999999999E-4</v>
      </c>
      <c r="AO178">
        <v>2.0116000000000001E-3</v>
      </c>
      <c r="AP178">
        <v>3.8509999999999998E-4</v>
      </c>
      <c r="AQ178">
        <v>-5.7743999999999998E-3</v>
      </c>
      <c r="AR178">
        <v>-7.1043E-3</v>
      </c>
      <c r="AS178">
        <v>-8.2056999999999998E-3</v>
      </c>
      <c r="AT178">
        <v>-1.4249700000000001E-2</v>
      </c>
      <c r="AU178">
        <v>6.9828200000000007E-2</v>
      </c>
      <c r="AV178">
        <v>0</v>
      </c>
      <c r="AW178">
        <v>0</v>
      </c>
      <c r="AX178">
        <v>0</v>
      </c>
      <c r="AY178">
        <v>0</v>
      </c>
      <c r="BA178">
        <f t="shared" ca="1" si="18"/>
        <v>-0.47636809617628167</v>
      </c>
      <c r="BC178">
        <f ca="1"/>
        <v>-3.5305015168330386E-2</v>
      </c>
    </row>
    <row r="179" spans="2:55">
      <c r="B179" s="38" t="s">
        <v>67</v>
      </c>
      <c r="C179" s="40">
        <v>-0.254</v>
      </c>
      <c r="D179" s="15">
        <v>0.18690000000000001</v>
      </c>
      <c r="F179" s="51" t="s">
        <v>67</v>
      </c>
      <c r="G179" s="52">
        <v>-3.5722286592077261E-2</v>
      </c>
      <c r="H179" s="54">
        <v>5.9494564260471995E-5</v>
      </c>
      <c r="I179" s="53">
        <v>3.5629860562524508E-3</v>
      </c>
      <c r="J179" s="54">
        <v>-9.9656099292189155E-6</v>
      </c>
      <c r="K179" s="53">
        <v>-2.5337083819478744E-4</v>
      </c>
      <c r="L179" s="53">
        <v>5.8069875885485627E-4</v>
      </c>
      <c r="M179" s="53">
        <v>1.1949408695446011E-3</v>
      </c>
      <c r="N179" s="53">
        <v>-7.3871840433533027E-4</v>
      </c>
      <c r="O179" s="53">
        <v>-2.9361162949161543E-3</v>
      </c>
      <c r="P179" s="54">
        <v>-2.9644579488762358E-5</v>
      </c>
      <c r="Q179" s="53">
        <v>-1.7929227483691054E-3</v>
      </c>
      <c r="R179" s="53">
        <v>1.5810366035022472E-3</v>
      </c>
      <c r="S179" s="53">
        <v>3.2276544067937751E-4</v>
      </c>
      <c r="T179" s="53">
        <v>2.4835150131511643E-4</v>
      </c>
      <c r="U179" s="54">
        <v>6.3834336649318335E-6</v>
      </c>
      <c r="V179" s="53">
        <v>1.5701688760820448E-3</v>
      </c>
      <c r="W179" s="53">
        <v>-4.8816125311589519E-4</v>
      </c>
      <c r="X179" s="53">
        <v>4.7102225832163798E-4</v>
      </c>
      <c r="Y179" s="53">
        <v>3.491442580872911E-2</v>
      </c>
      <c r="Z179" s="53">
        <v>2.0518014658340786E-2</v>
      </c>
      <c r="AA179" s="53">
        <v>2.1548042800156712E-2</v>
      </c>
      <c r="AB179" s="31">
        <v>2.0525019031166741E-2</v>
      </c>
      <c r="AD179">
        <v>-6.5656900000000004E-2</v>
      </c>
      <c r="AE179">
        <v>-1.291E-2</v>
      </c>
      <c r="AF179">
        <v>-9.6735999999999992E-3</v>
      </c>
      <c r="AG179">
        <v>-2.45206E-2</v>
      </c>
      <c r="AH179">
        <v>-1.9515600000000001E-2</v>
      </c>
      <c r="AI179">
        <v>-4.9819E-3</v>
      </c>
      <c r="AJ179">
        <v>-4.4403999999999997E-3</v>
      </c>
      <c r="AK179">
        <v>-2.6269600000000001E-2</v>
      </c>
      <c r="AL179">
        <v>-1.6573000000000001E-2</v>
      </c>
      <c r="AM179">
        <v>-1.13332E-2</v>
      </c>
      <c r="AN179">
        <v>-1.28708E-2</v>
      </c>
      <c r="AO179">
        <v>-1.8119400000000001E-2</v>
      </c>
      <c r="AP179">
        <v>-4.3398999999999998E-3</v>
      </c>
      <c r="AQ179">
        <v>-6.5148300000000006E-2</v>
      </c>
      <c r="AR179">
        <v>-3.8190399999999999E-2</v>
      </c>
      <c r="AS179">
        <v>-3.8987399999999998E-2</v>
      </c>
      <c r="AT179">
        <v>-6.2469999999999998E-2</v>
      </c>
      <c r="AU179">
        <v>-1.92693E-2</v>
      </c>
      <c r="AV179">
        <v>0.12731709999999999</v>
      </c>
      <c r="AW179">
        <v>0</v>
      </c>
      <c r="AX179">
        <v>0</v>
      </c>
      <c r="AY179">
        <v>0</v>
      </c>
      <c r="BA179">
        <f t="shared" ca="1" si="18"/>
        <v>-1.5815804080277953</v>
      </c>
      <c r="BC179">
        <f ca="1"/>
        <v>-8.8225029737340213E-2</v>
      </c>
    </row>
    <row r="180" spans="2:55">
      <c r="B180" s="38" t="s">
        <v>68</v>
      </c>
      <c r="C180" s="40">
        <v>-0.52</v>
      </c>
      <c r="D180" s="15">
        <v>0.20760000000000001</v>
      </c>
      <c r="F180" s="51" t="s">
        <v>68</v>
      </c>
      <c r="G180" s="52">
        <v>-3.1411653366021357E-2</v>
      </c>
      <c r="H180" s="54">
        <v>4.6120181005434219E-5</v>
      </c>
      <c r="I180" s="53">
        <v>1.3848029615341102E-3</v>
      </c>
      <c r="J180" s="54">
        <v>-1.2495554786371738E-5</v>
      </c>
      <c r="K180" s="53">
        <v>1.5197438062683406E-3</v>
      </c>
      <c r="L180" s="53">
        <v>3.6784920009811235E-4</v>
      </c>
      <c r="M180" s="53">
        <v>5.169429939579564E-3</v>
      </c>
      <c r="N180" s="53">
        <v>-9.3187688118373448E-4</v>
      </c>
      <c r="O180" s="53">
        <v>-2.5987061739162105E-3</v>
      </c>
      <c r="P180" s="53">
        <v>2.3802706330536766E-3</v>
      </c>
      <c r="Q180" s="53">
        <v>1.5061196436573149E-3</v>
      </c>
      <c r="R180" s="53">
        <v>9.8924459016146941E-4</v>
      </c>
      <c r="S180" s="53">
        <v>8.7152418629998871E-4</v>
      </c>
      <c r="T180" s="54">
        <v>4.0744475556393061E-5</v>
      </c>
      <c r="U180" s="54">
        <v>1.0704456250637385E-5</v>
      </c>
      <c r="V180" s="53">
        <v>3.3078905384372839E-3</v>
      </c>
      <c r="W180" s="53">
        <v>-1.2408193901964147E-3</v>
      </c>
      <c r="X180" s="53">
        <v>-1.6444174164704077E-3</v>
      </c>
      <c r="Y180" s="53">
        <v>2.0518014658340786E-2</v>
      </c>
      <c r="Z180" s="53">
        <v>4.311360233478774E-2</v>
      </c>
      <c r="AA180" s="53">
        <v>2.1921666277752955E-2</v>
      </c>
      <c r="AB180" s="31">
        <v>2.0115402323096034E-2</v>
      </c>
      <c r="AD180">
        <v>-5.77347E-2</v>
      </c>
      <c r="AE180">
        <v>-1.18443E-2</v>
      </c>
      <c r="AF180">
        <v>-2.3997999999999998E-2</v>
      </c>
      <c r="AG180">
        <v>-2.48302E-2</v>
      </c>
      <c r="AH180">
        <v>-7.0565999999999997E-3</v>
      </c>
      <c r="AI180">
        <v>-5.1035999999999998E-3</v>
      </c>
      <c r="AJ180">
        <v>2.5715499999999999E-2</v>
      </c>
      <c r="AK180">
        <v>-2.3424299999999999E-2</v>
      </c>
      <c r="AL180">
        <v>-1.6800800000000001E-2</v>
      </c>
      <c r="AM180">
        <v>1.8900000000000001E-4</v>
      </c>
      <c r="AN180">
        <v>8.5039999999999996E-4</v>
      </c>
      <c r="AO180">
        <v>-1.77024E-2</v>
      </c>
      <c r="AP180">
        <v>8.0040000000000005E-4</v>
      </c>
      <c r="AQ180">
        <v>-7.8925499999999996E-2</v>
      </c>
      <c r="AR180">
        <v>-2.7109899999999999E-2</v>
      </c>
      <c r="AS180">
        <v>-2.2414300000000002E-2</v>
      </c>
      <c r="AT180">
        <v>-6.3203899999999993E-2</v>
      </c>
      <c r="AU180">
        <v>-4.7507899999999999E-2</v>
      </c>
      <c r="AV180">
        <v>2.0214099999999999E-2</v>
      </c>
      <c r="AW180">
        <v>0.14978040000000001</v>
      </c>
      <c r="AX180">
        <v>0</v>
      </c>
      <c r="AY180">
        <v>0</v>
      </c>
      <c r="BA180">
        <f t="shared" ca="1" si="18"/>
        <v>-0.36081312279520489</v>
      </c>
      <c r="BC180">
        <f ca="1"/>
        <v>8.858366969534065E-2</v>
      </c>
    </row>
    <row r="181" spans="2:55">
      <c r="B181" s="38" t="s">
        <v>69</v>
      </c>
      <c r="C181" s="40">
        <v>-7.8E-2</v>
      </c>
      <c r="D181" s="15">
        <v>0.22020000000000001</v>
      </c>
      <c r="F181" s="51" t="s">
        <v>69</v>
      </c>
      <c r="G181" s="52">
        <v>-3.6399137666225073E-2</v>
      </c>
      <c r="H181" s="53">
        <v>3.3238289537932883E-4</v>
      </c>
      <c r="I181" s="53">
        <v>3.1556587418653747E-3</v>
      </c>
      <c r="J181" s="53">
        <v>-1.7553403366014905E-4</v>
      </c>
      <c r="K181" s="53">
        <v>-4.8879785773706325E-4</v>
      </c>
      <c r="L181" s="53">
        <v>-1.6775360317280753E-3</v>
      </c>
      <c r="M181" s="53">
        <v>3.1078413008746798E-3</v>
      </c>
      <c r="N181" s="53">
        <v>1.7565509546338797E-4</v>
      </c>
      <c r="O181" s="53">
        <v>7.0345413355018291E-4</v>
      </c>
      <c r="P181" s="53">
        <v>3.7308557756329601E-4</v>
      </c>
      <c r="Q181" s="53">
        <v>4.0031093521042876E-4</v>
      </c>
      <c r="R181" s="53">
        <v>3.429782011127009E-4</v>
      </c>
      <c r="S181" s="53">
        <v>-3.5935341507659442E-3</v>
      </c>
      <c r="T181" s="53">
        <v>3.9701732774607669E-4</v>
      </c>
      <c r="U181" s="54">
        <v>8.0449462395134963E-6</v>
      </c>
      <c r="V181" s="53">
        <v>1.5751915093501761E-3</v>
      </c>
      <c r="W181" s="53">
        <v>-5.8831557483582419E-4</v>
      </c>
      <c r="X181" s="53">
        <v>-4.2721393825355635E-4</v>
      </c>
      <c r="Y181" s="53">
        <v>2.1548042800156712E-2</v>
      </c>
      <c r="Z181" s="53">
        <v>2.1921666277752955E-2</v>
      </c>
      <c r="AA181" s="53">
        <v>4.8504806521386765E-2</v>
      </c>
      <c r="AB181" s="31">
        <v>2.1871224030869295E-2</v>
      </c>
      <c r="AD181">
        <v>-6.6906800000000002E-2</v>
      </c>
      <c r="AE181">
        <v>8.2365000000000008E-3</v>
      </c>
      <c r="AF181">
        <v>-1.1678600000000001E-2</v>
      </c>
      <c r="AG181">
        <v>-5.7166099999999997E-2</v>
      </c>
      <c r="AH181">
        <v>-2.1338599999999999E-2</v>
      </c>
      <c r="AI181">
        <v>-2.9252799999999999E-2</v>
      </c>
      <c r="AJ181">
        <v>5.3255999999999998E-3</v>
      </c>
      <c r="AK181">
        <v>-2.48162E-2</v>
      </c>
      <c r="AL181">
        <v>-2.57141E-2</v>
      </c>
      <c r="AM181">
        <v>-9.9731999999999998E-3</v>
      </c>
      <c r="AN181">
        <v>-3.2755000000000002E-3</v>
      </c>
      <c r="AO181">
        <v>-2.6371800000000001E-2</v>
      </c>
      <c r="AP181">
        <v>-2.34018E-2</v>
      </c>
      <c r="AQ181">
        <v>-6.5088300000000002E-2</v>
      </c>
      <c r="AR181">
        <v>-3.3015999999999997E-2</v>
      </c>
      <c r="AS181">
        <v>-2.8981099999999999E-2</v>
      </c>
      <c r="AT181">
        <v>-6.1915999999999999E-2</v>
      </c>
      <c r="AU181">
        <v>-3.3582099999999997E-2</v>
      </c>
      <c r="AV181">
        <v>1.7683000000000001E-2</v>
      </c>
      <c r="AW181">
        <v>1.3442600000000001E-2</v>
      </c>
      <c r="AX181">
        <v>0.1579883</v>
      </c>
      <c r="AY181">
        <v>0</v>
      </c>
      <c r="BA181">
        <f t="shared" ca="1" si="18"/>
        <v>-2.2557653175384971</v>
      </c>
      <c r="BC181">
        <f ca="1"/>
        <v>-0.29815259750842049</v>
      </c>
    </row>
    <row r="182" spans="2:55" ht="17" thickBot="1">
      <c r="B182" s="38" t="s">
        <v>70</v>
      </c>
      <c r="C182" s="39">
        <v>1.1339999999999999</v>
      </c>
      <c r="D182" s="15">
        <v>0.1973</v>
      </c>
      <c r="F182" s="57" t="s">
        <v>70</v>
      </c>
      <c r="G182" s="58">
        <v>-3.3503984191605801E-2</v>
      </c>
      <c r="H182" s="59">
        <v>3.0122736190198358E-4</v>
      </c>
      <c r="I182" s="59">
        <v>4.5481245847494647E-3</v>
      </c>
      <c r="J182" s="60">
        <v>-4.9834967742414474E-5</v>
      </c>
      <c r="K182" s="59">
        <v>2.9407158092499037E-4</v>
      </c>
      <c r="L182" s="59">
        <v>-1.8438302242883612E-3</v>
      </c>
      <c r="M182" s="59">
        <v>7.8680829058459551E-4</v>
      </c>
      <c r="N182" s="59">
        <v>1.1678372362364585E-3</v>
      </c>
      <c r="O182" s="59">
        <v>2.8451527782106189E-3</v>
      </c>
      <c r="P182" s="59">
        <v>-1.4950725823306107E-3</v>
      </c>
      <c r="Q182" s="59">
        <v>-1.4202276986905172E-3</v>
      </c>
      <c r="R182" s="59">
        <v>1.6891164374729787E-3</v>
      </c>
      <c r="S182" s="59">
        <v>-4.8135294779301258E-4</v>
      </c>
      <c r="T182" s="60">
        <v>4.2711300845269193E-5</v>
      </c>
      <c r="U182" s="60">
        <v>4.8531110645482612E-6</v>
      </c>
      <c r="V182" s="59">
        <v>6.3557667911316262E-4</v>
      </c>
      <c r="W182" s="59">
        <v>1.8211722541873143E-4</v>
      </c>
      <c r="X182" s="60">
        <v>4.9998477771132869E-5</v>
      </c>
      <c r="Y182" s="59">
        <v>2.0525019031166741E-2</v>
      </c>
      <c r="Z182" s="59">
        <v>2.0115402323096034E-2</v>
      </c>
      <c r="AA182" s="59">
        <v>2.1871224030869295E-2</v>
      </c>
      <c r="AB182" s="37">
        <v>3.8911471978280168E-2</v>
      </c>
      <c r="AD182">
        <v>-6.15763E-2</v>
      </c>
      <c r="AE182">
        <v>7.2857E-3</v>
      </c>
      <c r="AF182">
        <v>3.7001999999999998E-3</v>
      </c>
      <c r="AG182">
        <v>-2.8038299999999999E-2</v>
      </c>
      <c r="AH182">
        <v>-9.6104999999999993E-3</v>
      </c>
      <c r="AI182">
        <v>-2.46929E-2</v>
      </c>
      <c r="AJ182">
        <v>-7.8483000000000008E-3</v>
      </c>
      <c r="AK182">
        <v>-1.13372E-2</v>
      </c>
      <c r="AL182">
        <v>2.3479E-3</v>
      </c>
      <c r="AM182">
        <v>-1.93446E-2</v>
      </c>
      <c r="AN182">
        <v>-4.2303999999999996E-3</v>
      </c>
      <c r="AO182">
        <v>-1.06909E-2</v>
      </c>
      <c r="AP182">
        <v>-9.2829999999999996E-3</v>
      </c>
      <c r="AQ182">
        <v>-7.7230800000000002E-2</v>
      </c>
      <c r="AR182">
        <v>-3.1473899999999999E-2</v>
      </c>
      <c r="AS182">
        <v>-4.3177100000000003E-2</v>
      </c>
      <c r="AT182">
        <v>-6.1394900000000002E-2</v>
      </c>
      <c r="AU182">
        <v>-2.3472400000000001E-2</v>
      </c>
      <c r="AV182">
        <v>2.0523199999999998E-2</v>
      </c>
      <c r="AW182">
        <v>1.5517400000000001E-2</v>
      </c>
      <c r="AX182">
        <v>1.1643799999999999E-2</v>
      </c>
      <c r="AY182">
        <v>0.13725090000000001</v>
      </c>
      <c r="BA182">
        <f t="shared" ca="1" si="18"/>
        <v>0.64978159294501059</v>
      </c>
      <c r="BC182">
        <f ca="1"/>
        <v>0.11525293136514853</v>
      </c>
    </row>
    <row r="183" spans="2:55" ht="17" thickTop="1">
      <c r="B183" s="38" t="s">
        <v>90</v>
      </c>
      <c r="C183" s="41" t="s">
        <v>134</v>
      </c>
      <c r="D183" s="42"/>
    </row>
    <row r="184" spans="2:55" ht="17" thickBot="1">
      <c r="B184" s="43" t="s">
        <v>92</v>
      </c>
      <c r="C184" s="44">
        <v>2.5720000000000001</v>
      </c>
      <c r="D184" s="16">
        <v>0.26679999999999998</v>
      </c>
    </row>
    <row r="185" spans="2:55" ht="17" thickTop="1"/>
    <row r="186" spans="2:55">
      <c r="B186" s="64" t="s">
        <v>139</v>
      </c>
    </row>
    <row r="187" spans="2:55" ht="17" thickBot="1"/>
    <row r="188" spans="2:55" ht="18" thickTop="1" thickBot="1">
      <c r="B188" s="274" t="s">
        <v>36</v>
      </c>
      <c r="C188" s="276" t="s">
        <v>76</v>
      </c>
      <c r="D188" s="278" t="s">
        <v>77</v>
      </c>
    </row>
    <row r="189" spans="2:55" ht="18" thickTop="1" thickBot="1">
      <c r="B189" s="275"/>
      <c r="C189" s="277"/>
      <c r="D189" s="279"/>
      <c r="F189" s="45"/>
      <c r="G189" s="17" t="s">
        <v>78</v>
      </c>
      <c r="H189" s="18" t="s">
        <v>37</v>
      </c>
      <c r="I189" s="18" t="s">
        <v>79</v>
      </c>
      <c r="J189" s="18" t="s">
        <v>80</v>
      </c>
      <c r="K189" s="18" t="s">
        <v>40</v>
      </c>
      <c r="L189" s="18" t="s">
        <v>81</v>
      </c>
      <c r="M189" s="18" t="s">
        <v>82</v>
      </c>
      <c r="N189" s="18" t="s">
        <v>44</v>
      </c>
      <c r="O189" s="18" t="s">
        <v>126</v>
      </c>
      <c r="P189" s="18" t="s">
        <v>83</v>
      </c>
      <c r="Q189" s="18" t="s">
        <v>84</v>
      </c>
      <c r="R189" s="18" t="s">
        <v>85</v>
      </c>
      <c r="S189" s="18" t="s">
        <v>86</v>
      </c>
      <c r="T189" s="18" t="s">
        <v>87</v>
      </c>
      <c r="U189" s="18" t="s">
        <v>38</v>
      </c>
      <c r="V189" s="18" t="s">
        <v>45</v>
      </c>
      <c r="W189" s="18" t="s">
        <v>88</v>
      </c>
      <c r="X189" s="18" t="s">
        <v>89</v>
      </c>
      <c r="Y189" s="18" t="s">
        <v>67</v>
      </c>
      <c r="Z189" s="18" t="s">
        <v>68</v>
      </c>
      <c r="AA189" s="18" t="s">
        <v>69</v>
      </c>
      <c r="AB189" s="19" t="s">
        <v>70</v>
      </c>
      <c r="AD189" t="s">
        <v>97</v>
      </c>
      <c r="AE189" t="s">
        <v>98</v>
      </c>
      <c r="AF189" t="s">
        <v>99</v>
      </c>
      <c r="AG189" t="s">
        <v>100</v>
      </c>
      <c r="AH189" t="s">
        <v>101</v>
      </c>
      <c r="AI189" t="s">
        <v>102</v>
      </c>
      <c r="AJ189" t="s">
        <v>103</v>
      </c>
      <c r="AK189" t="s">
        <v>104</v>
      </c>
      <c r="AL189" t="s">
        <v>105</v>
      </c>
      <c r="AM189" t="s">
        <v>106</v>
      </c>
      <c r="AN189" t="s">
        <v>107</v>
      </c>
      <c r="AO189" t="s">
        <v>108</v>
      </c>
      <c r="AP189" t="s">
        <v>109</v>
      </c>
      <c r="AQ189" t="s">
        <v>110</v>
      </c>
      <c r="AR189" t="s">
        <v>111</v>
      </c>
      <c r="AS189" t="s">
        <v>112</v>
      </c>
      <c r="AT189" t="s">
        <v>113</v>
      </c>
      <c r="AU189" t="s">
        <v>114</v>
      </c>
      <c r="AV189" t="s">
        <v>115</v>
      </c>
      <c r="AW189" t="s">
        <v>116</v>
      </c>
      <c r="AX189" t="s">
        <v>131</v>
      </c>
      <c r="AY189" t="s">
        <v>132</v>
      </c>
      <c r="BA189" t="s">
        <v>24</v>
      </c>
      <c r="BC189" t="s">
        <v>25</v>
      </c>
    </row>
    <row r="190" spans="2:55" ht="17" thickTop="1">
      <c r="B190" s="38" t="s">
        <v>78</v>
      </c>
      <c r="C190" s="39">
        <v>1.2769999999999999</v>
      </c>
      <c r="D190" s="15">
        <v>0.2006</v>
      </c>
      <c r="F190" s="46" t="s">
        <v>78</v>
      </c>
      <c r="G190" s="47">
        <v>4.0226339046462195E-2</v>
      </c>
      <c r="H190" s="48">
        <v>-2.4392978772621313E-4</v>
      </c>
      <c r="I190" s="48">
        <v>-5.0297164851936787E-3</v>
      </c>
      <c r="J190" s="48">
        <v>-1.3708920245569206E-4</v>
      </c>
      <c r="K190" s="48">
        <v>-1.9208739874954333E-3</v>
      </c>
      <c r="L190" s="48">
        <v>-4.2200189728452226E-4</v>
      </c>
      <c r="M190" s="48">
        <v>-1.5415034956070663E-3</v>
      </c>
      <c r="N190" s="48">
        <v>-2.3375445732076094E-3</v>
      </c>
      <c r="O190" s="48">
        <v>3.3476186792678485E-4</v>
      </c>
      <c r="P190" s="48">
        <v>-1.8503288810750036E-3</v>
      </c>
      <c r="Q190" s="48">
        <v>-6.7103005788321393E-4</v>
      </c>
      <c r="R190" s="48">
        <v>-1.9468450710339032E-3</v>
      </c>
      <c r="S190" s="48">
        <v>-9.6477417894535534E-4</v>
      </c>
      <c r="T190" s="48">
        <v>-3.6517764278745049E-4</v>
      </c>
      <c r="U190" s="49">
        <v>-2.9344905004923911E-6</v>
      </c>
      <c r="V190" s="48">
        <v>-2.4763066760622485E-3</v>
      </c>
      <c r="W190" s="48">
        <v>-8.4616041208284928E-4</v>
      </c>
      <c r="X190" s="48">
        <v>2.0254918683482802E-4</v>
      </c>
      <c r="Y190" s="48">
        <v>-4.2694042619973518E-3</v>
      </c>
      <c r="Z190" s="48">
        <v>-3.3575409993490818E-3</v>
      </c>
      <c r="AA190" s="48">
        <v>-4.7221510749404366E-3</v>
      </c>
      <c r="AB190" s="50">
        <v>-5.1323491095492833E-3</v>
      </c>
      <c r="AD190">
        <v>0.20057420000000001</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BA190">
        <f ca="1">_xlfn.NORM.INV(RAND(),0,1)</f>
        <v>0.22221983208593074</v>
      </c>
      <c r="BC190">
        <f t="array" aca="1" ref="BC190:BC211" ca="1">MMULT(AD190:AY211,BA190:BA211)</f>
        <v>4.457156504476989E-2</v>
      </c>
    </row>
    <row r="191" spans="2:55">
      <c r="B191" s="38" t="s">
        <v>37</v>
      </c>
      <c r="C191" s="40">
        <v>1.6E-2</v>
      </c>
      <c r="D191" s="15">
        <v>4.7999999999999996E-3</v>
      </c>
      <c r="F191" s="51" t="s">
        <v>37</v>
      </c>
      <c r="G191" s="52">
        <v>-2.4392978772621313E-4</v>
      </c>
      <c r="H191" s="54">
        <v>2.3346054695706213E-5</v>
      </c>
      <c r="I191" s="54">
        <v>1.1453828313393151E-5</v>
      </c>
      <c r="J191" s="54">
        <v>4.9373373413168515E-7</v>
      </c>
      <c r="K191" s="54">
        <v>-1.5225747030659581E-5</v>
      </c>
      <c r="L191" s="54">
        <v>8.9341707603928623E-7</v>
      </c>
      <c r="M191" s="54">
        <v>3.0660439983473433E-6</v>
      </c>
      <c r="N191" s="54">
        <v>-8.0946929573872194E-7</v>
      </c>
      <c r="O191" s="54">
        <v>2.0860951932651398E-5</v>
      </c>
      <c r="P191" s="54">
        <v>-9.924228223616824E-6</v>
      </c>
      <c r="Q191" s="54">
        <v>1.0476168179724205E-5</v>
      </c>
      <c r="R191" s="54">
        <v>-5.1594532881282724E-6</v>
      </c>
      <c r="S191" s="54">
        <v>8.9145529578062099E-6</v>
      </c>
      <c r="T191" s="54">
        <v>-1.6508227008044032E-6</v>
      </c>
      <c r="U191" s="54">
        <v>-3.4937881107759033E-7</v>
      </c>
      <c r="V191" s="54">
        <v>-1.4488465934529487E-5</v>
      </c>
      <c r="W191" s="54">
        <v>-1.1909810331042985E-5</v>
      </c>
      <c r="X191" s="54">
        <v>-1.502288853556833E-5</v>
      </c>
      <c r="Y191" s="54">
        <v>1.4247572651454696E-5</v>
      </c>
      <c r="Z191" s="54">
        <v>4.2220686473777324E-7</v>
      </c>
      <c r="AA191" s="54">
        <v>4.5376819515717468E-5</v>
      </c>
      <c r="AB191" s="55">
        <v>3.2439144617746258E-5</v>
      </c>
      <c r="AD191">
        <v>-1.1965999999999999E-3</v>
      </c>
      <c r="AE191">
        <v>4.6813000000000002E-3</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BA191">
        <f t="shared" ref="BA191:BA211" ca="1" si="19">_xlfn.NORM.INV(RAND(),0,1)</f>
        <v>-2.03564820142911</v>
      </c>
      <c r="BC191">
        <f ca="1"/>
        <v>-9.795388176424117E-3</v>
      </c>
    </row>
    <row r="192" spans="2:55">
      <c r="B192" s="38" t="s">
        <v>79</v>
      </c>
      <c r="C192" s="40">
        <v>-0.152</v>
      </c>
      <c r="D192" s="15">
        <v>4.9399999999999999E-2</v>
      </c>
      <c r="F192" s="51" t="s">
        <v>79</v>
      </c>
      <c r="G192" s="52">
        <v>-5.0297164851936787E-3</v>
      </c>
      <c r="H192" s="54">
        <v>1.1453828313393151E-5</v>
      </c>
      <c r="I192" s="53">
        <v>2.4421773524524247E-3</v>
      </c>
      <c r="J192" s="54">
        <v>5.1784536689949517E-6</v>
      </c>
      <c r="K192" s="53">
        <v>-1.4974234579858217E-4</v>
      </c>
      <c r="L192" s="53">
        <v>1.1152296034703649E-4</v>
      </c>
      <c r="M192" s="54">
        <v>-3.2939190401796544E-6</v>
      </c>
      <c r="N192" s="54">
        <v>5.2333637267953531E-5</v>
      </c>
      <c r="O192" s="54">
        <v>2.9333047039182965E-6</v>
      </c>
      <c r="P192" s="54">
        <v>9.7524348324025449E-5</v>
      </c>
      <c r="Q192" s="54">
        <v>2.0772516817854653E-5</v>
      </c>
      <c r="R192" s="54">
        <v>-9.0876982021523929E-5</v>
      </c>
      <c r="S192" s="53">
        <v>-1.5334995622235981E-4</v>
      </c>
      <c r="T192" s="54">
        <v>-1.5406868638567139E-6</v>
      </c>
      <c r="U192" s="54">
        <v>1.1945220428004566E-6</v>
      </c>
      <c r="V192" s="53">
        <v>2.3940298884797713E-4</v>
      </c>
      <c r="W192" s="54">
        <v>6.0948941498815616E-5</v>
      </c>
      <c r="X192" s="54">
        <v>-1.3263545732928191E-5</v>
      </c>
      <c r="Y192" s="53">
        <v>2.4547791828072936E-4</v>
      </c>
      <c r="Z192" s="54">
        <v>6.2356407309603211E-5</v>
      </c>
      <c r="AA192" s="53">
        <v>2.1942922372911213E-4</v>
      </c>
      <c r="AB192" s="31">
        <v>5.5449030129338275E-4</v>
      </c>
      <c r="AD192">
        <v>-2.5078E-2</v>
      </c>
      <c r="AE192">
        <v>-3.9633999999999997E-3</v>
      </c>
      <c r="AF192">
        <v>4.2372E-2</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BA192">
        <f t="shared" ca="1" si="19"/>
        <v>-0.38939891729874104</v>
      </c>
      <c r="BC192">
        <f ca="1"/>
        <v>-1.4004351791289095E-2</v>
      </c>
    </row>
    <row r="193" spans="2:55">
      <c r="B193" s="38" t="s">
        <v>80</v>
      </c>
      <c r="C193" s="40">
        <v>-1E-3</v>
      </c>
      <c r="D193" s="15">
        <v>2E-3</v>
      </c>
      <c r="F193" s="51" t="s">
        <v>80</v>
      </c>
      <c r="G193" s="52">
        <v>-1.3708920245569206E-4</v>
      </c>
      <c r="H193" s="54">
        <v>4.9373373413168515E-7</v>
      </c>
      <c r="I193" s="54">
        <v>5.1784536689949517E-6</v>
      </c>
      <c r="J193" s="54">
        <v>4.0767693291608733E-6</v>
      </c>
      <c r="K193" s="54">
        <v>-8.6020968295383367E-8</v>
      </c>
      <c r="L193" s="54">
        <v>-1.4439060768806831E-5</v>
      </c>
      <c r="M193" s="54">
        <v>1.5442432506326054E-7</v>
      </c>
      <c r="N193" s="54">
        <v>-5.6899998803752078E-6</v>
      </c>
      <c r="O193" s="54">
        <v>-8.7027458835761424E-5</v>
      </c>
      <c r="P193" s="54">
        <v>1.5333539194750301E-6</v>
      </c>
      <c r="Q193" s="54">
        <v>-4.4607085139239217E-6</v>
      </c>
      <c r="R193" s="54">
        <v>-2.9478408542457941E-8</v>
      </c>
      <c r="S193" s="54">
        <v>-1.4412536564742372E-5</v>
      </c>
      <c r="T193" s="54">
        <v>-1.1712088446499536E-6</v>
      </c>
      <c r="U193" s="54">
        <v>-5.2266131265104443E-8</v>
      </c>
      <c r="V193" s="54">
        <v>1.508032356103027E-5</v>
      </c>
      <c r="W193" s="54">
        <v>2.2944401623762726E-6</v>
      </c>
      <c r="X193" s="54">
        <v>-9.6835056456297221E-6</v>
      </c>
      <c r="Y193" s="54">
        <v>-8.4629536737273566E-6</v>
      </c>
      <c r="Z193" s="54">
        <v>-1.1136043857783338E-5</v>
      </c>
      <c r="AA193" s="54">
        <v>-2.3436545542898749E-5</v>
      </c>
      <c r="AB193" s="55">
        <v>-3.2205786300018447E-6</v>
      </c>
      <c r="AD193">
        <v>-6.9800000000000005E-4</v>
      </c>
      <c r="AE193">
        <v>-7.2899999999999997E-5</v>
      </c>
      <c r="AF193">
        <v>-2.9770000000000003E-4</v>
      </c>
      <c r="AG193">
        <v>1.8697E-3</v>
      </c>
      <c r="AH193">
        <v>0</v>
      </c>
      <c r="AI193">
        <v>0</v>
      </c>
      <c r="AJ193">
        <v>0</v>
      </c>
      <c r="AK193">
        <v>0</v>
      </c>
      <c r="AL193">
        <v>0</v>
      </c>
      <c r="AM193">
        <v>0</v>
      </c>
      <c r="AN193">
        <v>0</v>
      </c>
      <c r="AO193">
        <v>0</v>
      </c>
      <c r="AP193">
        <v>0</v>
      </c>
      <c r="AQ193">
        <v>0</v>
      </c>
      <c r="AR193">
        <v>0</v>
      </c>
      <c r="AS193">
        <v>0</v>
      </c>
      <c r="AT193">
        <v>0</v>
      </c>
      <c r="AU193">
        <v>0</v>
      </c>
      <c r="AV193">
        <v>0</v>
      </c>
      <c r="AW193">
        <v>0</v>
      </c>
      <c r="AX193">
        <v>0</v>
      </c>
      <c r="AY193">
        <v>0</v>
      </c>
      <c r="BA193">
        <f t="shared" ca="1" si="19"/>
        <v>-1.0195772143698061</v>
      </c>
      <c r="BC193">
        <f ca="1"/>
        <v>-1.7970901489391886E-3</v>
      </c>
    </row>
    <row r="194" spans="2:55">
      <c r="B194" s="38" t="s">
        <v>40</v>
      </c>
      <c r="C194" s="40">
        <v>0.14899999999999999</v>
      </c>
      <c r="D194" s="15">
        <v>5.0999999999999997E-2</v>
      </c>
      <c r="F194" s="51" t="s">
        <v>40</v>
      </c>
      <c r="G194" s="52">
        <v>-1.9208739874954333E-3</v>
      </c>
      <c r="H194" s="54">
        <v>-1.5225747030659581E-5</v>
      </c>
      <c r="I194" s="53">
        <v>-1.4974234579858217E-4</v>
      </c>
      <c r="J194" s="54">
        <v>-8.6020968295383367E-8</v>
      </c>
      <c r="K194" s="53">
        <v>2.5965994913883868E-3</v>
      </c>
      <c r="L194" s="54">
        <v>9.1846112535686405E-6</v>
      </c>
      <c r="M194" s="54">
        <v>4.4598119528330107E-5</v>
      </c>
      <c r="N194" s="53">
        <v>3.5835698978578398E-4</v>
      </c>
      <c r="O194" s="53">
        <v>3.9247167718408418E-4</v>
      </c>
      <c r="P194" s="53">
        <v>1.8368148842207578E-4</v>
      </c>
      <c r="Q194" s="53">
        <v>1.8754056218918142E-4</v>
      </c>
      <c r="R194" s="53">
        <v>2.7867809069432952E-4</v>
      </c>
      <c r="S194" s="53">
        <v>8.199172099009281E-4</v>
      </c>
      <c r="T194" s="54">
        <v>8.5237886520247905E-6</v>
      </c>
      <c r="U194" s="54">
        <v>-8.3081190652212989E-7</v>
      </c>
      <c r="V194" s="53">
        <v>-1.1390149441704452E-4</v>
      </c>
      <c r="W194" s="53">
        <v>-1.8486024378133408E-4</v>
      </c>
      <c r="X194" s="53">
        <v>2.1603584807482857E-4</v>
      </c>
      <c r="Y194" s="54">
        <v>-4.3128385496780267E-5</v>
      </c>
      <c r="Z194" s="53">
        <v>1.7774772711044644E-4</v>
      </c>
      <c r="AA194" s="54">
        <v>4.672061954042907E-5</v>
      </c>
      <c r="AB194" s="31">
        <v>2.4156943477278813E-4</v>
      </c>
      <c r="AD194">
        <v>-9.5724999999999994E-3</v>
      </c>
      <c r="AE194">
        <v>-5.6993E-3</v>
      </c>
      <c r="AF194">
        <v>-9.7386999999999994E-3</v>
      </c>
      <c r="AG194">
        <v>-5.3927999999999997E-3</v>
      </c>
      <c r="AH194">
        <v>4.8496999999999998E-2</v>
      </c>
      <c r="AI194">
        <v>0</v>
      </c>
      <c r="AJ194">
        <v>0</v>
      </c>
      <c r="AK194">
        <v>0</v>
      </c>
      <c r="AL194">
        <v>0</v>
      </c>
      <c r="AM194">
        <v>0</v>
      </c>
      <c r="AN194">
        <v>0</v>
      </c>
      <c r="AO194">
        <v>0</v>
      </c>
      <c r="AP194">
        <v>0</v>
      </c>
      <c r="AQ194">
        <v>0</v>
      </c>
      <c r="AR194">
        <v>0</v>
      </c>
      <c r="AS194">
        <v>0</v>
      </c>
      <c r="AT194">
        <v>0</v>
      </c>
      <c r="AU194">
        <v>0</v>
      </c>
      <c r="AV194">
        <v>0</v>
      </c>
      <c r="AW194">
        <v>0</v>
      </c>
      <c r="AX194">
        <v>0</v>
      </c>
      <c r="AY194">
        <v>0</v>
      </c>
      <c r="BA194">
        <f t="shared" ca="1" si="19"/>
        <v>0.78524964492117622</v>
      </c>
      <c r="BC194">
        <f ca="1"/>
        <v>5.6847437719055371E-2</v>
      </c>
    </row>
    <row r="195" spans="2:55">
      <c r="B195" s="38" t="s">
        <v>81</v>
      </c>
      <c r="C195" s="40">
        <v>-1.0999999999999999E-2</v>
      </c>
      <c r="D195" s="15">
        <v>4.8500000000000001E-2</v>
      </c>
      <c r="F195" s="51" t="s">
        <v>81</v>
      </c>
      <c r="G195" s="52">
        <v>-4.2200189728452226E-4</v>
      </c>
      <c r="H195" s="54">
        <v>8.9341707603928623E-7</v>
      </c>
      <c r="I195" s="53">
        <v>1.1152296034703649E-4</v>
      </c>
      <c r="J195" s="54">
        <v>-1.4439060768806831E-5</v>
      </c>
      <c r="K195" s="54">
        <v>9.1846112535686405E-6</v>
      </c>
      <c r="L195" s="53">
        <v>2.3532803565973672E-3</v>
      </c>
      <c r="M195" s="53">
        <v>-1.4608233030845435E-4</v>
      </c>
      <c r="N195" s="53">
        <v>-2.8938091794920585E-4</v>
      </c>
      <c r="O195" s="54">
        <v>8.8864669886967778E-5</v>
      </c>
      <c r="P195" s="53">
        <v>1.1286452351678348E-4</v>
      </c>
      <c r="Q195" s="54">
        <v>-8.4983334320922518E-5</v>
      </c>
      <c r="R195" s="54">
        <v>4.7241956800945233E-5</v>
      </c>
      <c r="S195" s="54">
        <v>-7.371837560998413E-5</v>
      </c>
      <c r="T195" s="54">
        <v>-1.078328341115296E-5</v>
      </c>
      <c r="U195" s="54">
        <v>2.251126235188603E-7</v>
      </c>
      <c r="V195" s="53">
        <v>1.4572494343455082E-4</v>
      </c>
      <c r="W195" s="53">
        <v>-1.5097449812598123E-4</v>
      </c>
      <c r="X195" s="54">
        <v>2.1742220467377332E-5</v>
      </c>
      <c r="Y195" s="54">
        <v>-2.6876135029851238E-5</v>
      </c>
      <c r="Z195" s="54">
        <v>6.8627042966387601E-5</v>
      </c>
      <c r="AA195" s="53">
        <v>-3.2718739056306062E-4</v>
      </c>
      <c r="AB195" s="31">
        <v>-3.4034815929354746E-4</v>
      </c>
      <c r="AD195">
        <v>-2.0939999999999999E-3</v>
      </c>
      <c r="AE195">
        <v>-3.4440000000000002E-4</v>
      </c>
      <c r="AF195">
        <v>1.3244999999999999E-3</v>
      </c>
      <c r="AG195">
        <v>-8.3070999999999996E-3</v>
      </c>
      <c r="AH195">
        <v>-9.2219999999999997E-4</v>
      </c>
      <c r="AI195">
        <v>4.76853E-2</v>
      </c>
      <c r="AJ195">
        <v>0</v>
      </c>
      <c r="AK195">
        <v>0</v>
      </c>
      <c r="AL195">
        <v>0</v>
      </c>
      <c r="AM195">
        <v>0</v>
      </c>
      <c r="AN195">
        <v>0</v>
      </c>
      <c r="AO195">
        <v>0</v>
      </c>
      <c r="AP195">
        <v>0</v>
      </c>
      <c r="AQ195">
        <v>0</v>
      </c>
      <c r="AR195">
        <v>0</v>
      </c>
      <c r="AS195">
        <v>0</v>
      </c>
      <c r="AT195">
        <v>0</v>
      </c>
      <c r="AU195">
        <v>0</v>
      </c>
      <c r="AV195">
        <v>0</v>
      </c>
      <c r="AW195">
        <v>0</v>
      </c>
      <c r="AX195">
        <v>0</v>
      </c>
      <c r="AY195">
        <v>0</v>
      </c>
      <c r="BA195">
        <f t="shared" ca="1" si="19"/>
        <v>0.27365326191920397</v>
      </c>
      <c r="BC195">
        <f ca="1"/>
        <v>2.0514800591762986E-2</v>
      </c>
    </row>
    <row r="196" spans="2:55">
      <c r="B196" s="38" t="s">
        <v>82</v>
      </c>
      <c r="C196" s="40">
        <v>1.7999999999999999E-2</v>
      </c>
      <c r="D196" s="15">
        <v>4.9500000000000002E-2</v>
      </c>
      <c r="F196" s="51" t="s">
        <v>82</v>
      </c>
      <c r="G196" s="52">
        <v>-1.5415034956070663E-3</v>
      </c>
      <c r="H196" s="54">
        <v>3.0660439983473433E-6</v>
      </c>
      <c r="I196" s="54">
        <v>-3.2939190401796544E-6</v>
      </c>
      <c r="J196" s="54">
        <v>1.5442432506326054E-7</v>
      </c>
      <c r="K196" s="54">
        <v>4.4598119528330107E-5</v>
      </c>
      <c r="L196" s="53">
        <v>-1.4608233030845435E-4</v>
      </c>
      <c r="M196" s="53">
        <v>2.4519165633192842E-3</v>
      </c>
      <c r="N196" s="53">
        <v>-3.130220279658371E-4</v>
      </c>
      <c r="O196" s="54">
        <v>-6.2667154718892037E-5</v>
      </c>
      <c r="P196" s="53">
        <v>3.6146345491351817E-4</v>
      </c>
      <c r="Q196" s="54">
        <v>8.9825010616693981E-5</v>
      </c>
      <c r="R196" s="53">
        <v>-1.8507722215893815E-4</v>
      </c>
      <c r="S196" s="53">
        <v>-2.0295241380582888E-4</v>
      </c>
      <c r="T196" s="54">
        <v>6.0387052566502688E-6</v>
      </c>
      <c r="U196" s="54">
        <v>3.63673267733825E-7</v>
      </c>
      <c r="V196" s="54">
        <v>5.9888971577292421E-5</v>
      </c>
      <c r="W196" s="53">
        <v>1.5199214536154137E-4</v>
      </c>
      <c r="X196" s="54">
        <v>2.08568558483723E-5</v>
      </c>
      <c r="Y196" s="53">
        <v>2.2259259467026222E-4</v>
      </c>
      <c r="Z196" s="53">
        <v>8.0188978386259296E-4</v>
      </c>
      <c r="AA196" s="53">
        <v>6.3741926050644342E-4</v>
      </c>
      <c r="AB196" s="55">
        <v>6.6325570753026505E-5</v>
      </c>
      <c r="AD196">
        <v>-7.6779999999999999E-3</v>
      </c>
      <c r="AE196">
        <v>-1.3075999999999999E-3</v>
      </c>
      <c r="AF196">
        <v>-4.7442999999999999E-3</v>
      </c>
      <c r="AG196">
        <v>-3.5902999999999998E-3</v>
      </c>
      <c r="AH196">
        <v>-2.1015000000000001E-3</v>
      </c>
      <c r="AI196">
        <v>-4.0264999999999997E-3</v>
      </c>
      <c r="AJ196">
        <v>4.8304399999999997E-2</v>
      </c>
      <c r="AK196">
        <v>0</v>
      </c>
      <c r="AL196">
        <v>0</v>
      </c>
      <c r="AM196">
        <v>0</v>
      </c>
      <c r="AN196">
        <v>0</v>
      </c>
      <c r="AO196">
        <v>0</v>
      </c>
      <c r="AP196">
        <v>0</v>
      </c>
      <c r="AQ196">
        <v>0</v>
      </c>
      <c r="AR196">
        <v>0</v>
      </c>
      <c r="AS196">
        <v>0</v>
      </c>
      <c r="AT196">
        <v>0</v>
      </c>
      <c r="AU196">
        <v>0</v>
      </c>
      <c r="AV196">
        <v>0</v>
      </c>
      <c r="AW196">
        <v>0</v>
      </c>
      <c r="AX196">
        <v>0</v>
      </c>
      <c r="AY196">
        <v>0</v>
      </c>
      <c r="BA196">
        <f t="shared" ca="1" si="19"/>
        <v>-0.68015225802844159</v>
      </c>
      <c r="BC196">
        <f ca="1"/>
        <v>-2.9142790647103321E-2</v>
      </c>
    </row>
    <row r="197" spans="2:55">
      <c r="B197" s="38" t="s">
        <v>44</v>
      </c>
      <c r="C197" s="40">
        <v>-6.3E-2</v>
      </c>
      <c r="D197" s="15">
        <v>5.8700000000000002E-2</v>
      </c>
      <c r="F197" s="51" t="s">
        <v>44</v>
      </c>
      <c r="G197" s="52">
        <v>-2.3375445732076094E-3</v>
      </c>
      <c r="H197" s="54">
        <v>-8.0946929573872194E-7</v>
      </c>
      <c r="I197" s="54">
        <v>5.2333637267953531E-5</v>
      </c>
      <c r="J197" s="54">
        <v>-5.6899998803752078E-6</v>
      </c>
      <c r="K197" s="53">
        <v>3.5835698978578398E-4</v>
      </c>
      <c r="L197" s="53">
        <v>-2.8938091794920585E-4</v>
      </c>
      <c r="M197" s="53">
        <v>-3.130220279658371E-4</v>
      </c>
      <c r="N197" s="53">
        <v>3.4441329071867263E-3</v>
      </c>
      <c r="O197" s="53">
        <v>2.4643164283331357E-3</v>
      </c>
      <c r="P197" s="54">
        <v>-9.0688382588005815E-5</v>
      </c>
      <c r="Q197" s="54">
        <v>-4.1266892760877839E-5</v>
      </c>
      <c r="R197" s="53">
        <v>-2.7790348567077673E-4</v>
      </c>
      <c r="S197" s="53">
        <v>-2.4145017469857788E-4</v>
      </c>
      <c r="T197" s="54">
        <v>1.5547104567895889E-5</v>
      </c>
      <c r="U197" s="54">
        <v>6.2769152424771913E-7</v>
      </c>
      <c r="V197" s="54">
        <v>-5.5495155070194813E-5</v>
      </c>
      <c r="W197" s="54">
        <v>3.5406574163080124E-5</v>
      </c>
      <c r="X197" s="53">
        <v>1.4788182398356933E-4</v>
      </c>
      <c r="Y197" s="53">
        <v>-1.7938841655087232E-4</v>
      </c>
      <c r="Z197" s="53">
        <v>-3.4878505059456771E-4</v>
      </c>
      <c r="AA197" s="53">
        <v>-1.6674221317890058E-4</v>
      </c>
      <c r="AB197" s="55">
        <v>-5.5391471719323696E-5</v>
      </c>
      <c r="AD197">
        <v>-1.16665E-2</v>
      </c>
      <c r="AE197">
        <v>-3.1549999999999998E-3</v>
      </c>
      <c r="AF197">
        <v>-5.9649000000000004E-3</v>
      </c>
      <c r="AG197">
        <v>-8.4717000000000004E-3</v>
      </c>
      <c r="AH197">
        <v>2.6097E-3</v>
      </c>
      <c r="AI197">
        <v>-7.8762999999999993E-3</v>
      </c>
      <c r="AJ197">
        <v>-1.0116E-2</v>
      </c>
      <c r="AK197">
        <v>5.4912700000000002E-2</v>
      </c>
      <c r="AL197">
        <v>0</v>
      </c>
      <c r="AM197">
        <v>0</v>
      </c>
      <c r="AN197">
        <v>0</v>
      </c>
      <c r="AO197">
        <v>0</v>
      </c>
      <c r="AP197">
        <v>0</v>
      </c>
      <c r="AQ197">
        <v>0</v>
      </c>
      <c r="AR197">
        <v>0</v>
      </c>
      <c r="AS197">
        <v>0</v>
      </c>
      <c r="AT197">
        <v>0</v>
      </c>
      <c r="AU197">
        <v>0</v>
      </c>
      <c r="AV197">
        <v>0</v>
      </c>
      <c r="AW197">
        <v>0</v>
      </c>
      <c r="AX197">
        <v>0</v>
      </c>
      <c r="AY197">
        <v>0</v>
      </c>
      <c r="BA197">
        <f t="shared" ca="1" si="19"/>
        <v>-0.78930406716956147</v>
      </c>
      <c r="BC197">
        <f ca="1"/>
        <v>-2.177828610229942E-2</v>
      </c>
    </row>
    <row r="198" spans="2:55">
      <c r="B198" s="38" t="s">
        <v>126</v>
      </c>
      <c r="C198" s="40">
        <v>-0.11</v>
      </c>
      <c r="D198" s="15">
        <v>8.2600000000000007E-2</v>
      </c>
      <c r="F198" s="51" t="s">
        <v>126</v>
      </c>
      <c r="G198" s="52">
        <v>3.3476186792678485E-4</v>
      </c>
      <c r="H198" s="54">
        <v>2.0860951932651398E-5</v>
      </c>
      <c r="I198" s="54">
        <v>2.9333047039182965E-6</v>
      </c>
      <c r="J198" s="54">
        <v>-8.7027458835761424E-5</v>
      </c>
      <c r="K198" s="53">
        <v>3.9247167718408418E-4</v>
      </c>
      <c r="L198" s="54">
        <v>8.8864669886967778E-5</v>
      </c>
      <c r="M198" s="54">
        <v>-6.2667154718892037E-5</v>
      </c>
      <c r="N198" s="53">
        <v>2.4643164283331357E-3</v>
      </c>
      <c r="O198" s="53">
        <v>6.8271263679144005E-3</v>
      </c>
      <c r="P198" s="53">
        <v>2.3385754453911388E-4</v>
      </c>
      <c r="Q198" s="53">
        <v>-1.0271568487902323E-4</v>
      </c>
      <c r="R198" s="53">
        <v>-1.0768122005681606E-4</v>
      </c>
      <c r="S198" s="54">
        <v>-9.3306485226579203E-5</v>
      </c>
      <c r="T198" s="54">
        <v>1.7428764660677221E-5</v>
      </c>
      <c r="U198" s="54">
        <v>-4.3458577368661464E-7</v>
      </c>
      <c r="V198" s="54">
        <v>8.3222384487181307E-5</v>
      </c>
      <c r="W198" s="53">
        <v>1.5655796675729809E-4</v>
      </c>
      <c r="X198" s="54">
        <v>-9.3920628036973039E-6</v>
      </c>
      <c r="Y198" s="53">
        <v>-1.5793444899626056E-4</v>
      </c>
      <c r="Z198" s="53">
        <v>-1.9638151610016283E-4</v>
      </c>
      <c r="AA198" s="53">
        <v>1.0526164336840181E-4</v>
      </c>
      <c r="AB198" s="31">
        <v>1.9839889245915312E-4</v>
      </c>
      <c r="AD198">
        <v>1.6452999999999999E-3</v>
      </c>
      <c r="AE198">
        <v>4.8767999999999997E-3</v>
      </c>
      <c r="AF198">
        <v>1.4992E-3</v>
      </c>
      <c r="AG198">
        <v>-4.5504099999999999E-2</v>
      </c>
      <c r="AH198">
        <v>4.1805999999999996E-3</v>
      </c>
      <c r="AI198">
        <v>-5.9169000000000001E-3</v>
      </c>
      <c r="AJ198">
        <v>-4.4501000000000002E-3</v>
      </c>
      <c r="AK198">
        <v>3.6703600000000003E-2</v>
      </c>
      <c r="AL198">
        <v>5.7542999999999997E-2</v>
      </c>
      <c r="AM198">
        <v>0</v>
      </c>
      <c r="AN198">
        <v>0</v>
      </c>
      <c r="AO198">
        <v>0</v>
      </c>
      <c r="AP198">
        <v>0</v>
      </c>
      <c r="AQ198">
        <v>0</v>
      </c>
      <c r="AR198">
        <v>0</v>
      </c>
      <c r="AS198">
        <v>0</v>
      </c>
      <c r="AT198">
        <v>0</v>
      </c>
      <c r="AU198">
        <v>0</v>
      </c>
      <c r="AV198">
        <v>0</v>
      </c>
      <c r="AW198">
        <v>0</v>
      </c>
      <c r="AX198">
        <v>0</v>
      </c>
      <c r="AY198">
        <v>0</v>
      </c>
      <c r="BA198">
        <f t="shared" ca="1" si="19"/>
        <v>1.0227423262059829</v>
      </c>
      <c r="BC198">
        <f ca="1"/>
        <v>7.0821067965258569E-2</v>
      </c>
    </row>
    <row r="199" spans="2:55">
      <c r="B199" s="38" t="s">
        <v>83</v>
      </c>
      <c r="C199" s="40">
        <v>-2.3E-2</v>
      </c>
      <c r="D199" s="15">
        <v>5.5500000000000001E-2</v>
      </c>
      <c r="F199" s="51" t="s">
        <v>83</v>
      </c>
      <c r="G199" s="52">
        <v>-1.8503288810750036E-3</v>
      </c>
      <c r="H199" s="54">
        <v>-9.924228223616824E-6</v>
      </c>
      <c r="I199" s="54">
        <v>9.7524348324025449E-5</v>
      </c>
      <c r="J199" s="54">
        <v>1.5333539194750301E-6</v>
      </c>
      <c r="K199" s="53">
        <v>1.8368148842207578E-4</v>
      </c>
      <c r="L199" s="53">
        <v>1.1286452351678348E-4</v>
      </c>
      <c r="M199" s="53">
        <v>3.6146345491351817E-4</v>
      </c>
      <c r="N199" s="54">
        <v>-9.0688382588005815E-5</v>
      </c>
      <c r="O199" s="53">
        <v>2.3385754453911388E-4</v>
      </c>
      <c r="P199" s="53">
        <v>3.0821163702166284E-3</v>
      </c>
      <c r="Q199" s="53">
        <v>1.4537847768278168E-3</v>
      </c>
      <c r="R199" s="53">
        <v>-2.2330038298643635E-4</v>
      </c>
      <c r="S199" s="53">
        <v>-5.5251032041555594E-4</v>
      </c>
      <c r="T199" s="54">
        <v>1.5962372396254273E-5</v>
      </c>
      <c r="U199" s="54">
        <v>-1.3686321622386095E-7</v>
      </c>
      <c r="V199" s="53">
        <v>-1.894349993149959E-4</v>
      </c>
      <c r="W199" s="54">
        <v>4.8959386004368338E-5</v>
      </c>
      <c r="X199" s="53">
        <v>-1.0775171136391883E-4</v>
      </c>
      <c r="Y199" s="53">
        <v>-1.6404533126947659E-4</v>
      </c>
      <c r="Z199" s="54">
        <v>2.6056827515106171E-5</v>
      </c>
      <c r="AA199" s="53">
        <v>-2.2013176557703269E-4</v>
      </c>
      <c r="AB199" s="31">
        <v>-3.9650963196993246E-4</v>
      </c>
      <c r="AD199">
        <v>-9.2235000000000008E-3</v>
      </c>
      <c r="AE199">
        <v>-4.4776E-3</v>
      </c>
      <c r="AF199">
        <v>-3.5761999999999999E-3</v>
      </c>
      <c r="AG199">
        <v>-3.3674E-3</v>
      </c>
      <c r="AH199">
        <v>2.722E-4</v>
      </c>
      <c r="AI199">
        <v>1.3874E-3</v>
      </c>
      <c r="AJ199">
        <v>5.3914000000000002E-3</v>
      </c>
      <c r="AK199">
        <v>-3.5969999999999999E-3</v>
      </c>
      <c r="AL199">
        <v>4.9046999999999997E-3</v>
      </c>
      <c r="AM199">
        <v>5.3690700000000001E-2</v>
      </c>
      <c r="AN199">
        <v>0</v>
      </c>
      <c r="AO199">
        <v>0</v>
      </c>
      <c r="AP199">
        <v>0</v>
      </c>
      <c r="AQ199">
        <v>0</v>
      </c>
      <c r="AR199">
        <v>0</v>
      </c>
      <c r="AS199">
        <v>0</v>
      </c>
      <c r="AT199">
        <v>0</v>
      </c>
      <c r="AU199">
        <v>0</v>
      </c>
      <c r="AV199">
        <v>0</v>
      </c>
      <c r="AW199">
        <v>0</v>
      </c>
      <c r="AX199">
        <v>0</v>
      </c>
      <c r="AY199">
        <v>0</v>
      </c>
      <c r="BA199">
        <f t="shared" ca="1" si="19"/>
        <v>0.60167649230523756</v>
      </c>
      <c r="BC199">
        <f ca="1"/>
        <v>4.8977308152550969E-2</v>
      </c>
    </row>
    <row r="200" spans="2:55">
      <c r="B200" s="38" t="s">
        <v>84</v>
      </c>
      <c r="C200" s="40">
        <v>4.5999999999999999E-2</v>
      </c>
      <c r="D200" s="15">
        <v>5.8599999999999999E-2</v>
      </c>
      <c r="F200" s="51" t="s">
        <v>84</v>
      </c>
      <c r="G200" s="52">
        <v>-6.7103005788321393E-4</v>
      </c>
      <c r="H200" s="54">
        <v>1.0476168179724205E-5</v>
      </c>
      <c r="I200" s="54">
        <v>2.0772516817854653E-5</v>
      </c>
      <c r="J200" s="54">
        <v>-4.4607085139239217E-6</v>
      </c>
      <c r="K200" s="53">
        <v>1.8754056218918142E-4</v>
      </c>
      <c r="L200" s="54">
        <v>-8.4983334320922518E-5</v>
      </c>
      <c r="M200" s="54">
        <v>8.9825010616693981E-5</v>
      </c>
      <c r="N200" s="54">
        <v>-4.1266892760877839E-5</v>
      </c>
      <c r="O200" s="53">
        <v>-1.0271568487902323E-4</v>
      </c>
      <c r="P200" s="53">
        <v>1.4537847768278168E-3</v>
      </c>
      <c r="Q200" s="53">
        <v>3.4392549602178719E-3</v>
      </c>
      <c r="R200" s="53">
        <v>-2.483383409595951E-4</v>
      </c>
      <c r="S200" s="53">
        <v>-4.038908310218625E-4</v>
      </c>
      <c r="T200" s="54">
        <v>-1.8669904651409011E-5</v>
      </c>
      <c r="U200" s="54">
        <v>-1.5789248803195675E-7</v>
      </c>
      <c r="V200" s="53">
        <v>-1.4950663997228167E-4</v>
      </c>
      <c r="W200" s="54">
        <v>6.7089601801284242E-5</v>
      </c>
      <c r="X200" s="54">
        <v>-7.2691878304439092E-5</v>
      </c>
      <c r="Y200" s="53">
        <v>-2.5580875107953841E-4</v>
      </c>
      <c r="Z200" s="53">
        <v>2.3144386828584601E-4</v>
      </c>
      <c r="AA200" s="54">
        <v>4.7346192224466722E-5</v>
      </c>
      <c r="AB200" s="55">
        <v>-7.7416309589618609E-5</v>
      </c>
      <c r="AD200">
        <v>-3.3403999999999999E-3</v>
      </c>
      <c r="AE200">
        <v>1.3841000000000001E-3</v>
      </c>
      <c r="AF200">
        <v>-1.3573000000000001E-3</v>
      </c>
      <c r="AG200">
        <v>-3.7951E-3</v>
      </c>
      <c r="AH200">
        <v>2.7265000000000002E-3</v>
      </c>
      <c r="AI200">
        <v>-2.4895999999999998E-3</v>
      </c>
      <c r="AJ200">
        <v>8.6180000000000002E-4</v>
      </c>
      <c r="AK200">
        <v>-2.4424999999999998E-3</v>
      </c>
      <c r="AL200">
        <v>-3.5547999999999999E-3</v>
      </c>
      <c r="AM200">
        <v>2.6344800000000002E-2</v>
      </c>
      <c r="AN200">
        <v>5.1804000000000003E-2</v>
      </c>
      <c r="AO200">
        <v>0</v>
      </c>
      <c r="AP200">
        <v>0</v>
      </c>
      <c r="AQ200">
        <v>0</v>
      </c>
      <c r="AR200">
        <v>0</v>
      </c>
      <c r="AS200">
        <v>0</v>
      </c>
      <c r="AT200">
        <v>0</v>
      </c>
      <c r="AU200">
        <v>0</v>
      </c>
      <c r="AV200">
        <v>0</v>
      </c>
      <c r="AW200">
        <v>0</v>
      </c>
      <c r="AX200">
        <v>0</v>
      </c>
      <c r="AY200">
        <v>0</v>
      </c>
      <c r="BA200">
        <f t="shared" ca="1" si="19"/>
        <v>-0.52577208274825904</v>
      </c>
      <c r="BC200">
        <f ca="1"/>
        <v>-1.1382193743301981E-2</v>
      </c>
    </row>
    <row r="201" spans="2:55">
      <c r="B201" s="38" t="s">
        <v>85</v>
      </c>
      <c r="C201" s="40">
        <v>-6.3E-2</v>
      </c>
      <c r="D201" s="15">
        <v>5.2999999999999999E-2</v>
      </c>
      <c r="F201" s="51" t="s">
        <v>85</v>
      </c>
      <c r="G201" s="52">
        <v>-1.9468450710339032E-3</v>
      </c>
      <c r="H201" s="54">
        <v>-5.1594532881282724E-6</v>
      </c>
      <c r="I201" s="54">
        <v>-9.0876982021523929E-5</v>
      </c>
      <c r="J201" s="54">
        <v>-2.9478408542457941E-8</v>
      </c>
      <c r="K201" s="53">
        <v>2.7867809069432952E-4</v>
      </c>
      <c r="L201" s="54">
        <v>4.7241956800945233E-5</v>
      </c>
      <c r="M201" s="53">
        <v>-1.8507722215893815E-4</v>
      </c>
      <c r="N201" s="53">
        <v>-2.7790348567077673E-4</v>
      </c>
      <c r="O201" s="53">
        <v>-1.0768122005681606E-4</v>
      </c>
      <c r="P201" s="53">
        <v>-2.2330038298643635E-4</v>
      </c>
      <c r="Q201" s="53">
        <v>-2.483383409595951E-4</v>
      </c>
      <c r="R201" s="53">
        <v>2.8056332035714432E-3</v>
      </c>
      <c r="S201" s="53">
        <v>2.0146825365427224E-3</v>
      </c>
      <c r="T201" s="54">
        <v>1.2127620037401469E-5</v>
      </c>
      <c r="U201" s="54">
        <v>-5.3031948407321916E-8</v>
      </c>
      <c r="V201" s="53">
        <v>1.3076778047872627E-4</v>
      </c>
      <c r="W201" s="54">
        <v>4.7286402191384879E-5</v>
      </c>
      <c r="X201" s="53">
        <v>1.0326921009025593E-4</v>
      </c>
      <c r="Y201" s="54">
        <v>-8.3836996549225863E-6</v>
      </c>
      <c r="Z201" s="53">
        <v>-1.050074869323193E-4</v>
      </c>
      <c r="AA201" s="54">
        <v>-6.8439771188483962E-5</v>
      </c>
      <c r="AB201" s="55">
        <v>5.2133774719592891E-5</v>
      </c>
      <c r="AD201">
        <v>-9.7220999999999991E-3</v>
      </c>
      <c r="AE201">
        <v>-3.5872E-3</v>
      </c>
      <c r="AF201">
        <v>-8.2343E-3</v>
      </c>
      <c r="AG201">
        <v>-5.0965000000000003E-3</v>
      </c>
      <c r="AH201">
        <v>1.2128E-3</v>
      </c>
      <c r="AI201">
        <v>-9.7800000000000006E-5</v>
      </c>
      <c r="AJ201">
        <v>-6.7187999999999996E-3</v>
      </c>
      <c r="AK201">
        <v>-1.03607E-2</v>
      </c>
      <c r="AL201">
        <v>8.4550000000000001E-4</v>
      </c>
      <c r="AM201">
        <v>-7.0353000000000004E-3</v>
      </c>
      <c r="AN201">
        <v>-2.7555000000000001E-3</v>
      </c>
      <c r="AO201">
        <v>4.8959799999999998E-2</v>
      </c>
      <c r="AP201">
        <v>0</v>
      </c>
      <c r="AQ201">
        <v>0</v>
      </c>
      <c r="AR201">
        <v>0</v>
      </c>
      <c r="AS201">
        <v>0</v>
      </c>
      <c r="AT201">
        <v>0</v>
      </c>
      <c r="AU201">
        <v>0</v>
      </c>
      <c r="AV201">
        <v>0</v>
      </c>
      <c r="AW201">
        <v>0</v>
      </c>
      <c r="AX201">
        <v>0</v>
      </c>
      <c r="AY201">
        <v>0</v>
      </c>
      <c r="BA201">
        <f t="shared" ca="1" si="19"/>
        <v>-1.772518741524804</v>
      </c>
      <c r="BC201">
        <f ca="1"/>
        <v>-6.1483970400098661E-2</v>
      </c>
    </row>
    <row r="202" spans="2:55">
      <c r="B202" s="38" t="s">
        <v>86</v>
      </c>
      <c r="C202" s="40">
        <v>4.2000000000000003E-2</v>
      </c>
      <c r="D202" s="15">
        <v>8.4900000000000003E-2</v>
      </c>
      <c r="F202" s="51" t="s">
        <v>86</v>
      </c>
      <c r="G202" s="52">
        <v>-9.6477417894535534E-4</v>
      </c>
      <c r="H202" s="54">
        <v>8.9145529578062099E-6</v>
      </c>
      <c r="I202" s="53">
        <v>-1.5334995622235981E-4</v>
      </c>
      <c r="J202" s="54">
        <v>-1.4412536564742372E-5</v>
      </c>
      <c r="K202" s="53">
        <v>8.199172099009281E-4</v>
      </c>
      <c r="L202" s="54">
        <v>-7.371837560998413E-5</v>
      </c>
      <c r="M202" s="53">
        <v>-2.0295241380582888E-4</v>
      </c>
      <c r="N202" s="53">
        <v>-2.4145017469857788E-4</v>
      </c>
      <c r="O202" s="54">
        <v>-9.3306485226579203E-5</v>
      </c>
      <c r="P202" s="53">
        <v>-5.5251032041555594E-4</v>
      </c>
      <c r="Q202" s="53">
        <v>-4.038908310218625E-4</v>
      </c>
      <c r="R202" s="53">
        <v>2.0146825365427224E-3</v>
      </c>
      <c r="S202" s="53">
        <v>7.1995534541577913E-3</v>
      </c>
      <c r="T202" s="54">
        <v>5.6189177747850954E-6</v>
      </c>
      <c r="U202" s="54">
        <v>-1.1430575779886114E-6</v>
      </c>
      <c r="V202" s="53">
        <v>1.5042808026494758E-4</v>
      </c>
      <c r="W202" s="53">
        <v>-2.0894912497214794E-4</v>
      </c>
      <c r="X202" s="53">
        <v>1.3821919445251773E-4</v>
      </c>
      <c r="Y202" s="53">
        <v>-1.5129354887726435E-4</v>
      </c>
      <c r="Z202" s="53">
        <v>1.0368150805556349E-4</v>
      </c>
      <c r="AA202" s="53">
        <v>-3.6648761422419796E-4</v>
      </c>
      <c r="AB202" s="55">
        <v>3.547029017812116E-5</v>
      </c>
      <c r="AD202">
        <v>-4.7863000000000003E-3</v>
      </c>
      <c r="AE202">
        <v>6.8090000000000002E-4</v>
      </c>
      <c r="AF202">
        <v>-6.3090999999999998E-3</v>
      </c>
      <c r="AG202">
        <v>-1.04736E-2</v>
      </c>
      <c r="AH202">
        <v>1.3612000000000001E-2</v>
      </c>
      <c r="AI202">
        <v>-3.1373E-3</v>
      </c>
      <c r="AJ202">
        <v>-5.9502000000000001E-3</v>
      </c>
      <c r="AK202">
        <v>-9.8425000000000006E-3</v>
      </c>
      <c r="AL202">
        <v>-5.1539999999999997E-3</v>
      </c>
      <c r="AM202">
        <v>-1.1665500000000001E-2</v>
      </c>
      <c r="AN202">
        <v>-4.6343000000000001E-3</v>
      </c>
      <c r="AO202">
        <v>3.2911299999999998E-2</v>
      </c>
      <c r="AP202">
        <v>7.3705099999999996E-2</v>
      </c>
      <c r="AQ202">
        <v>0</v>
      </c>
      <c r="AR202">
        <v>0</v>
      </c>
      <c r="AS202">
        <v>0</v>
      </c>
      <c r="AT202">
        <v>0</v>
      </c>
      <c r="AU202">
        <v>0</v>
      </c>
      <c r="AV202">
        <v>0</v>
      </c>
      <c r="AW202">
        <v>0</v>
      </c>
      <c r="AX202">
        <v>0</v>
      </c>
      <c r="AY202">
        <v>0</v>
      </c>
      <c r="BA202">
        <f t="shared" ca="1" si="19"/>
        <v>-0.19701673663285618</v>
      </c>
      <c r="BC202">
        <f ca="1"/>
        <v>-5.0378749826543438E-2</v>
      </c>
    </row>
    <row r="203" spans="2:55">
      <c r="B203" s="38" t="s">
        <v>87</v>
      </c>
      <c r="C203" s="40">
        <v>-3.0000000000000001E-3</v>
      </c>
      <c r="D203" s="15">
        <v>4.1000000000000003E-3</v>
      </c>
      <c r="F203" s="51" t="s">
        <v>87</v>
      </c>
      <c r="G203" s="52">
        <v>-3.6517764278745049E-4</v>
      </c>
      <c r="H203" s="54">
        <v>-1.6508227008044032E-6</v>
      </c>
      <c r="I203" s="54">
        <v>-1.5406868638567139E-6</v>
      </c>
      <c r="J203" s="54">
        <v>-1.1712088446499536E-6</v>
      </c>
      <c r="K203" s="54">
        <v>8.5237886520247905E-6</v>
      </c>
      <c r="L203" s="54">
        <v>-1.078328341115296E-5</v>
      </c>
      <c r="M203" s="54">
        <v>6.0387052566502688E-6</v>
      </c>
      <c r="N203" s="54">
        <v>1.5547104567895889E-5</v>
      </c>
      <c r="O203" s="54">
        <v>1.7428764660677221E-5</v>
      </c>
      <c r="P203" s="54">
        <v>1.5962372396254273E-5</v>
      </c>
      <c r="Q203" s="54">
        <v>-1.8669904651409011E-5</v>
      </c>
      <c r="R203" s="54">
        <v>1.2127620037401469E-5</v>
      </c>
      <c r="S203" s="54">
        <v>5.6189177747850954E-6</v>
      </c>
      <c r="T203" s="54">
        <v>1.675525286569921E-5</v>
      </c>
      <c r="U203" s="54">
        <v>-4.0470025729344409E-9</v>
      </c>
      <c r="V203" s="54">
        <v>-1.1583355708819095E-5</v>
      </c>
      <c r="W203" s="54">
        <v>-1.7454955628426264E-5</v>
      </c>
      <c r="X203" s="54">
        <v>-5.1745909160063553E-6</v>
      </c>
      <c r="Y203" s="54">
        <v>2.3451102266214739E-5</v>
      </c>
      <c r="Z203" s="54">
        <v>-1.372983113767157E-5</v>
      </c>
      <c r="AA203" s="54">
        <v>3.7199691991261907E-5</v>
      </c>
      <c r="AB203" s="55">
        <v>1.2886768523152989E-5</v>
      </c>
      <c r="AD203">
        <v>-1.8446999999999999E-3</v>
      </c>
      <c r="AE203">
        <v>-8.2419999999999998E-4</v>
      </c>
      <c r="AF203">
        <v>-1.2052E-3</v>
      </c>
      <c r="AG203">
        <v>-1.5391999999999999E-3</v>
      </c>
      <c r="AH203">
        <v>-6.9839999999999995E-4</v>
      </c>
      <c r="AI203">
        <v>-5.6130000000000004E-4</v>
      </c>
      <c r="AJ203">
        <v>-5.0049999999999997E-4</v>
      </c>
      <c r="AK203">
        <v>-6.6399999999999999E-4</v>
      </c>
      <c r="AL203">
        <v>-3.8240000000000003E-4</v>
      </c>
      <c r="AM203">
        <v>-2.064E-4</v>
      </c>
      <c r="AN203">
        <v>-5.3609999999999997E-4</v>
      </c>
      <c r="AO203">
        <v>-7.8819999999999997E-4</v>
      </c>
      <c r="AP203">
        <v>-1.2300000000000001E-4</v>
      </c>
      <c r="AQ203">
        <v>2.4989000000000001E-3</v>
      </c>
      <c r="AR203">
        <v>0</v>
      </c>
      <c r="AS203">
        <v>0</v>
      </c>
      <c r="AT203">
        <v>0</v>
      </c>
      <c r="AU203">
        <v>0</v>
      </c>
      <c r="AV203">
        <v>0</v>
      </c>
      <c r="AW203">
        <v>0</v>
      </c>
      <c r="AX203">
        <v>0</v>
      </c>
      <c r="AY203">
        <v>0</v>
      </c>
      <c r="BA203">
        <f t="shared" ca="1" si="19"/>
        <v>-0.16665941973791709</v>
      </c>
      <c r="BC203">
        <f ca="1"/>
        <v>4.2404341513720125E-3</v>
      </c>
    </row>
    <row r="204" spans="2:55">
      <c r="B204" s="38" t="s">
        <v>38</v>
      </c>
      <c r="C204" s="40">
        <v>0</v>
      </c>
      <c r="D204" s="15">
        <v>2.0000000000000001E-4</v>
      </c>
      <c r="F204" s="51" t="s">
        <v>38</v>
      </c>
      <c r="G204" s="56">
        <v>-2.9344905004923911E-6</v>
      </c>
      <c r="H204" s="54">
        <v>-3.4937881107759033E-7</v>
      </c>
      <c r="I204" s="54">
        <v>1.1945220428004566E-6</v>
      </c>
      <c r="J204" s="54">
        <v>-5.2266131265104443E-8</v>
      </c>
      <c r="K204" s="54">
        <v>-8.3081190652212989E-7</v>
      </c>
      <c r="L204" s="54">
        <v>2.251126235188603E-7</v>
      </c>
      <c r="M204" s="54">
        <v>3.63673267733825E-7</v>
      </c>
      <c r="N204" s="54">
        <v>6.2769152424771913E-7</v>
      </c>
      <c r="O204" s="54">
        <v>-4.3458577368661464E-7</v>
      </c>
      <c r="P204" s="54">
        <v>-1.3686321622386095E-7</v>
      </c>
      <c r="Q204" s="54">
        <v>-1.5789248803195675E-7</v>
      </c>
      <c r="R204" s="54">
        <v>-5.3031948407321916E-8</v>
      </c>
      <c r="S204" s="54">
        <v>-1.1430575779886114E-6</v>
      </c>
      <c r="T204" s="54">
        <v>-4.0470025729344409E-9</v>
      </c>
      <c r="U204" s="54">
        <v>3.6743357960334799E-8</v>
      </c>
      <c r="V204" s="54">
        <v>-2.9100112847055731E-7</v>
      </c>
      <c r="W204" s="54">
        <v>-4.1160788990390559E-8</v>
      </c>
      <c r="X204" s="54">
        <v>2.7863758907580273E-7</v>
      </c>
      <c r="Y204" s="54">
        <v>8.215309577717071E-7</v>
      </c>
      <c r="Z204" s="54">
        <v>1.3113396208308588E-6</v>
      </c>
      <c r="AA204" s="54">
        <v>1.5216854756645411E-6</v>
      </c>
      <c r="AB204" s="55">
        <v>1.1763158565314564E-6</v>
      </c>
      <c r="AD204">
        <v>-1.4600000000000001E-5</v>
      </c>
      <c r="AE204">
        <v>-7.8399999999999995E-5</v>
      </c>
      <c r="AF204">
        <v>1.22E-5</v>
      </c>
      <c r="AG204">
        <v>-3.4499999999999998E-5</v>
      </c>
      <c r="AH204">
        <v>-3.0599999999999998E-5</v>
      </c>
      <c r="AI204" s="67">
        <v>-3.4300000000000002E-6</v>
      </c>
      <c r="AJ204" s="67">
        <v>9.5099999999999998E-8</v>
      </c>
      <c r="AK204" s="67">
        <v>7.9800000000000003E-7</v>
      </c>
      <c r="AL204">
        <v>-2.6699999999999998E-5</v>
      </c>
      <c r="AM204">
        <v>-1.0200000000000001E-5</v>
      </c>
      <c r="AN204" s="67">
        <v>7.37E-7</v>
      </c>
      <c r="AO204">
        <v>-1.13E-5</v>
      </c>
      <c r="AP204">
        <v>-1.24E-5</v>
      </c>
      <c r="AQ204">
        <v>-7.1699999999999995E-5</v>
      </c>
      <c r="AR204">
        <v>1.4779999999999999E-4</v>
      </c>
      <c r="AS204">
        <v>0</v>
      </c>
      <c r="AT204">
        <v>0</v>
      </c>
      <c r="AU204">
        <v>0</v>
      </c>
      <c r="AV204">
        <v>0</v>
      </c>
      <c r="AW204">
        <v>0</v>
      </c>
      <c r="AX204">
        <v>0</v>
      </c>
      <c r="AY204">
        <v>0</v>
      </c>
      <c r="BA204">
        <f t="shared" ca="1" si="19"/>
        <v>1.0441955508488345</v>
      </c>
      <c r="BC204">
        <f ca="1"/>
        <v>3.1603557736793601E-4</v>
      </c>
    </row>
    <row r="205" spans="2:55">
      <c r="B205" s="38" t="s">
        <v>45</v>
      </c>
      <c r="C205" s="40">
        <v>0.45800000000000002</v>
      </c>
      <c r="D205" s="15">
        <v>5.04E-2</v>
      </c>
      <c r="F205" s="51" t="s">
        <v>45</v>
      </c>
      <c r="G205" s="52">
        <v>-2.4763066760622485E-3</v>
      </c>
      <c r="H205" s="54">
        <v>-1.4488465934529487E-5</v>
      </c>
      <c r="I205" s="53">
        <v>2.3940298884797713E-4</v>
      </c>
      <c r="J205" s="54">
        <v>1.508032356103027E-5</v>
      </c>
      <c r="K205" s="53">
        <v>-1.1390149441704452E-4</v>
      </c>
      <c r="L205" s="53">
        <v>1.4572494343455082E-4</v>
      </c>
      <c r="M205" s="54">
        <v>5.9888971577292421E-5</v>
      </c>
      <c r="N205" s="54">
        <v>-5.5495155070194813E-5</v>
      </c>
      <c r="O205" s="54">
        <v>8.3222384487181307E-5</v>
      </c>
      <c r="P205" s="53">
        <v>-1.894349993149959E-4</v>
      </c>
      <c r="Q205" s="53">
        <v>-1.4950663997228167E-4</v>
      </c>
      <c r="R205" s="53">
        <v>1.3076778047872627E-4</v>
      </c>
      <c r="S205" s="53">
        <v>1.5042808026494758E-4</v>
      </c>
      <c r="T205" s="54">
        <v>-1.1583355708819095E-5</v>
      </c>
      <c r="U205" s="54">
        <v>-2.9100112847055731E-7</v>
      </c>
      <c r="V205" s="53">
        <v>2.5435465486234824E-3</v>
      </c>
      <c r="W205" s="53">
        <v>-1.3218700043078963E-4</v>
      </c>
      <c r="X205" s="54">
        <v>-6.7760875369113758E-5</v>
      </c>
      <c r="Y205" s="53">
        <v>4.7754355447703263E-4</v>
      </c>
      <c r="Z205" s="53">
        <v>6.0106844305354357E-4</v>
      </c>
      <c r="AA205" s="53">
        <v>3.3181797215229945E-4</v>
      </c>
      <c r="AB205" s="31">
        <v>4.1440423684503512E-4</v>
      </c>
      <c r="AD205">
        <v>-1.23645E-2</v>
      </c>
      <c r="AE205">
        <v>-6.2554000000000004E-3</v>
      </c>
      <c r="AF205">
        <v>-2.2390000000000001E-3</v>
      </c>
      <c r="AG205">
        <v>2.8492000000000001E-3</v>
      </c>
      <c r="AH205">
        <v>-5.5766000000000001E-3</v>
      </c>
      <c r="AI205">
        <v>3.0081999999999999E-3</v>
      </c>
      <c r="AJ205">
        <v>-8.9479999999999996E-4</v>
      </c>
      <c r="AK205">
        <v>-3.2688999999999999E-3</v>
      </c>
      <c r="AL205">
        <v>7.3717000000000001E-3</v>
      </c>
      <c r="AM205">
        <v>-7.0070000000000002E-3</v>
      </c>
      <c r="AN205">
        <v>9.9249999999999989E-4</v>
      </c>
      <c r="AO205">
        <v>-2.0869999999999999E-3</v>
      </c>
      <c r="AP205">
        <v>2.5531999999999998E-3</v>
      </c>
      <c r="AQ205">
        <v>-1.68518E-2</v>
      </c>
      <c r="AR205">
        <v>-1.40007E-2</v>
      </c>
      <c r="AS205">
        <v>4.1084299999999997E-2</v>
      </c>
      <c r="AT205">
        <v>0</v>
      </c>
      <c r="AU205">
        <v>0</v>
      </c>
      <c r="AV205">
        <v>0</v>
      </c>
      <c r="AW205">
        <v>0</v>
      </c>
      <c r="AX205">
        <v>0</v>
      </c>
      <c r="AY205">
        <v>0</v>
      </c>
      <c r="BA205">
        <f t="shared" ca="1" si="19"/>
        <v>-0.64578291372380625</v>
      </c>
      <c r="BC205">
        <f ca="1"/>
        <v>-2.4758720987224418E-2</v>
      </c>
    </row>
    <row r="206" spans="2:55">
      <c r="B206" s="38" t="s">
        <v>88</v>
      </c>
      <c r="C206" s="40">
        <v>0.182</v>
      </c>
      <c r="D206" s="15">
        <v>4.9700000000000001E-2</v>
      </c>
      <c r="F206" s="51" t="s">
        <v>88</v>
      </c>
      <c r="G206" s="52">
        <v>-8.4616041208284928E-4</v>
      </c>
      <c r="H206" s="54">
        <v>-1.1909810331042985E-5</v>
      </c>
      <c r="I206" s="54">
        <v>6.0948941498815616E-5</v>
      </c>
      <c r="J206" s="54">
        <v>2.2944401623762726E-6</v>
      </c>
      <c r="K206" s="53">
        <v>-1.8486024378133408E-4</v>
      </c>
      <c r="L206" s="53">
        <v>-1.5097449812598123E-4</v>
      </c>
      <c r="M206" s="53">
        <v>1.5199214536154137E-4</v>
      </c>
      <c r="N206" s="54">
        <v>3.5406574163080124E-5</v>
      </c>
      <c r="O206" s="53">
        <v>1.5655796675729809E-4</v>
      </c>
      <c r="P206" s="54">
        <v>4.8959386004368338E-5</v>
      </c>
      <c r="Q206" s="54">
        <v>6.7089601801284242E-5</v>
      </c>
      <c r="R206" s="54">
        <v>4.7286402191384879E-5</v>
      </c>
      <c r="S206" s="53">
        <v>-2.0894912497214794E-4</v>
      </c>
      <c r="T206" s="54">
        <v>-1.7454955628426264E-5</v>
      </c>
      <c r="U206" s="54">
        <v>-4.1160788990390559E-8</v>
      </c>
      <c r="V206" s="53">
        <v>-1.3218700043078963E-4</v>
      </c>
      <c r="W206" s="53">
        <v>2.4674946827139012E-3</v>
      </c>
      <c r="X206" s="53">
        <v>-2.0093831955687335E-4</v>
      </c>
      <c r="Y206" s="53">
        <v>-2.3568658685318837E-4</v>
      </c>
      <c r="Z206" s="53">
        <v>-2.109452444100382E-4</v>
      </c>
      <c r="AA206" s="54">
        <v>-4.5233201625809234E-5</v>
      </c>
      <c r="AB206" s="31">
        <v>-1.6175182079827127E-4</v>
      </c>
      <c r="AD206">
        <v>-4.2377999999999999E-3</v>
      </c>
      <c r="AE206">
        <v>-3.6273999999999998E-3</v>
      </c>
      <c r="AF206">
        <v>-1.4090000000000001E-3</v>
      </c>
      <c r="AG206">
        <v>-7.2079999999999996E-4</v>
      </c>
      <c r="AH206">
        <v>-5.3374E-3</v>
      </c>
      <c r="AI206">
        <v>-3.5476000000000001E-3</v>
      </c>
      <c r="AJ206">
        <v>1.6136E-3</v>
      </c>
      <c r="AK206">
        <v>-6.8619999999999998E-4</v>
      </c>
      <c r="AL206">
        <v>3.2613E-3</v>
      </c>
      <c r="AM206">
        <v>-6.4490000000000001E-4</v>
      </c>
      <c r="AN206">
        <v>1.632E-3</v>
      </c>
      <c r="AO206">
        <v>-3.0929999999999998E-4</v>
      </c>
      <c r="AP206">
        <v>-2.0739E-3</v>
      </c>
      <c r="AQ206">
        <v>-1.39845E-2</v>
      </c>
      <c r="AR206">
        <v>-1.03012E-2</v>
      </c>
      <c r="AS206">
        <v>-1.53709E-2</v>
      </c>
      <c r="AT206">
        <v>4.2850600000000003E-2</v>
      </c>
      <c r="AU206">
        <v>0</v>
      </c>
      <c r="AV206">
        <v>0</v>
      </c>
      <c r="AW206">
        <v>0</v>
      </c>
      <c r="AX206">
        <v>0</v>
      </c>
      <c r="AY206">
        <v>0</v>
      </c>
      <c r="BA206">
        <f t="shared" ca="1" si="19"/>
        <v>1.4932438402912633</v>
      </c>
      <c r="BC206">
        <f ca="1"/>
        <v>7.054114634723431E-2</v>
      </c>
    </row>
    <row r="207" spans="2:55">
      <c r="B207" s="38" t="s">
        <v>89</v>
      </c>
      <c r="C207" s="40">
        <v>0.182</v>
      </c>
      <c r="D207" s="15">
        <v>3.1899999999999998E-2</v>
      </c>
      <c r="F207" s="51" t="s">
        <v>89</v>
      </c>
      <c r="G207" s="52">
        <v>2.0254918683482802E-4</v>
      </c>
      <c r="H207" s="54">
        <v>-1.502288853556833E-5</v>
      </c>
      <c r="I207" s="54">
        <v>-1.3263545732928191E-5</v>
      </c>
      <c r="J207" s="54">
        <v>-9.6835056456297221E-6</v>
      </c>
      <c r="K207" s="53">
        <v>2.1603584807482857E-4</v>
      </c>
      <c r="L207" s="54">
        <v>2.1742220467377332E-5</v>
      </c>
      <c r="M207" s="54">
        <v>2.08568558483723E-5</v>
      </c>
      <c r="N207" s="53">
        <v>1.4788182398356933E-4</v>
      </c>
      <c r="O207" s="54">
        <v>-9.3920628036973039E-6</v>
      </c>
      <c r="P207" s="53">
        <v>-1.0775171136391883E-4</v>
      </c>
      <c r="Q207" s="54">
        <v>-7.2691878304439092E-5</v>
      </c>
      <c r="R207" s="53">
        <v>1.0326921009025593E-4</v>
      </c>
      <c r="S207" s="53">
        <v>1.3821919445251773E-4</v>
      </c>
      <c r="T207" s="54">
        <v>-5.1745909160063553E-6</v>
      </c>
      <c r="U207" s="54">
        <v>2.7863758907580273E-7</v>
      </c>
      <c r="V207" s="54">
        <v>-6.7760875369113758E-5</v>
      </c>
      <c r="W207" s="53">
        <v>-2.0093831955687335E-4</v>
      </c>
      <c r="X207" s="53">
        <v>1.0150198022423919E-3</v>
      </c>
      <c r="Y207" s="53">
        <v>1.7533643674630235E-4</v>
      </c>
      <c r="Z207" s="54">
        <v>-8.3004565884231625E-6</v>
      </c>
      <c r="AA207" s="54">
        <v>4.7557551716083571E-5</v>
      </c>
      <c r="AB207" s="55">
        <v>-5.4879480437356572E-5</v>
      </c>
      <c r="AD207">
        <v>9.970999999999999E-4</v>
      </c>
      <c r="AE207">
        <v>-2.9543E-3</v>
      </c>
      <c r="AF207" s="67">
        <v>7.9800000000000003E-7</v>
      </c>
      <c r="AG207">
        <v>-4.9221999999999998E-3</v>
      </c>
      <c r="AH207">
        <v>3.8387999999999999E-3</v>
      </c>
      <c r="AI207">
        <v>-3.0489999999999998E-4</v>
      </c>
      <c r="AJ207">
        <v>2.8610000000000002E-4</v>
      </c>
      <c r="AK207">
        <v>1.841E-3</v>
      </c>
      <c r="AL207">
        <v>-5.2960999999999998E-3</v>
      </c>
      <c r="AM207">
        <v>-1.8657000000000001E-3</v>
      </c>
      <c r="AN207">
        <v>-1.1697999999999999E-3</v>
      </c>
      <c r="AO207">
        <v>1.6025E-3</v>
      </c>
      <c r="AP207">
        <v>-6.156E-4</v>
      </c>
      <c r="AQ207">
        <v>-4.5298999999999999E-3</v>
      </c>
      <c r="AR207">
        <v>-3.1622E-3</v>
      </c>
      <c r="AS207">
        <v>-2.9172E-3</v>
      </c>
      <c r="AT207">
        <v>-7.3136E-3</v>
      </c>
      <c r="AU207">
        <v>2.89722E-2</v>
      </c>
      <c r="AV207">
        <v>0</v>
      </c>
      <c r="AW207">
        <v>0</v>
      </c>
      <c r="AX207">
        <v>0</v>
      </c>
      <c r="AY207">
        <v>0</v>
      </c>
      <c r="BA207">
        <f t="shared" ca="1" si="19"/>
        <v>0.68197376264832121</v>
      </c>
      <c r="BC207">
        <f ca="1"/>
        <v>1.2067964491973521E-2</v>
      </c>
    </row>
    <row r="208" spans="2:55">
      <c r="B208" s="38" t="s">
        <v>67</v>
      </c>
      <c r="C208" s="40">
        <v>0.32100000000000001</v>
      </c>
      <c r="D208" s="15">
        <v>7.1599999999999997E-2</v>
      </c>
      <c r="F208" s="51" t="s">
        <v>67</v>
      </c>
      <c r="G208" s="52">
        <v>-4.2694042619973518E-3</v>
      </c>
      <c r="H208" s="54">
        <v>1.4247572651454696E-5</v>
      </c>
      <c r="I208" s="53">
        <v>2.4547791828072936E-4</v>
      </c>
      <c r="J208" s="54">
        <v>-8.4629536737273566E-6</v>
      </c>
      <c r="K208" s="54">
        <v>-4.3128385496780267E-5</v>
      </c>
      <c r="L208" s="54">
        <v>-2.6876135029851238E-5</v>
      </c>
      <c r="M208" s="53">
        <v>2.2259259467026222E-4</v>
      </c>
      <c r="N208" s="53">
        <v>-1.7938841655087232E-4</v>
      </c>
      <c r="O208" s="53">
        <v>-1.5793444899626056E-4</v>
      </c>
      <c r="P208" s="53">
        <v>-1.6404533126947659E-4</v>
      </c>
      <c r="Q208" s="53">
        <v>-2.5580875107953841E-4</v>
      </c>
      <c r="R208" s="54">
        <v>-8.3836996549225863E-6</v>
      </c>
      <c r="S208" s="53">
        <v>-1.5129354887726435E-4</v>
      </c>
      <c r="T208" s="54">
        <v>2.3451102266214739E-5</v>
      </c>
      <c r="U208" s="54">
        <v>8.215309577717071E-7</v>
      </c>
      <c r="V208" s="53">
        <v>4.7754355447703263E-4</v>
      </c>
      <c r="W208" s="53">
        <v>-2.3568658685318837E-4</v>
      </c>
      <c r="X208" s="53">
        <v>1.7533643674630235E-4</v>
      </c>
      <c r="Y208" s="53">
        <v>5.1318243106497508E-3</v>
      </c>
      <c r="Z208" s="53">
        <v>3.2978327296244265E-3</v>
      </c>
      <c r="AA208" s="53">
        <v>3.4596696986877789E-3</v>
      </c>
      <c r="AB208" s="31">
        <v>3.2960422155619718E-3</v>
      </c>
      <c r="AD208">
        <v>-2.1288899999999999E-2</v>
      </c>
      <c r="AE208">
        <v>-2.398E-3</v>
      </c>
      <c r="AF208">
        <v>-6.9240999999999999E-3</v>
      </c>
      <c r="AG208">
        <v>-1.3670399999999999E-2</v>
      </c>
      <c r="AH208">
        <v>-8.2837999999999992E-3</v>
      </c>
      <c r="AI208">
        <v>-3.8650999999999998E-3</v>
      </c>
      <c r="AJ208">
        <v>-1.273E-3</v>
      </c>
      <c r="AK208">
        <v>-1.1195E-2</v>
      </c>
      <c r="AL208">
        <v>-5.3518999999999997E-3</v>
      </c>
      <c r="AM208">
        <v>-8.1472000000000003E-3</v>
      </c>
      <c r="AN208">
        <v>-3.9909000000000003E-3</v>
      </c>
      <c r="AO208">
        <v>-1.0810999999999999E-2</v>
      </c>
      <c r="AP208">
        <v>-3.2504000000000001E-3</v>
      </c>
      <c r="AQ208">
        <v>-3.1212400000000001E-2</v>
      </c>
      <c r="AR208">
        <v>-1.9936800000000001E-2</v>
      </c>
      <c r="AS208">
        <v>-1.6554599999999999E-2</v>
      </c>
      <c r="AT208">
        <v>-3.0566099999999999E-2</v>
      </c>
      <c r="AU208">
        <v>-1.14147E-2</v>
      </c>
      <c r="AV208">
        <v>3.57349E-2</v>
      </c>
      <c r="AW208">
        <v>0</v>
      </c>
      <c r="AX208">
        <v>0</v>
      </c>
      <c r="AY208">
        <v>0</v>
      </c>
      <c r="BA208">
        <f t="shared" ca="1" si="19"/>
        <v>-0.79160169957704729</v>
      </c>
      <c r="BC208">
        <f ca="1"/>
        <v>-5.6190101221248942E-2</v>
      </c>
    </row>
    <row r="209" spans="2:55">
      <c r="B209" s="38" t="s">
        <v>68</v>
      </c>
      <c r="C209" s="40">
        <v>0.55600000000000005</v>
      </c>
      <c r="D209" s="15">
        <v>7.6499999999999999E-2</v>
      </c>
      <c r="F209" s="51" t="s">
        <v>68</v>
      </c>
      <c r="G209" s="52">
        <v>-3.3575409993490818E-3</v>
      </c>
      <c r="H209" s="54">
        <v>4.2220686473777324E-7</v>
      </c>
      <c r="I209" s="54">
        <v>6.2356407309603211E-5</v>
      </c>
      <c r="J209" s="54">
        <v>-1.1136043857783338E-5</v>
      </c>
      <c r="K209" s="53">
        <v>1.7774772711044644E-4</v>
      </c>
      <c r="L209" s="54">
        <v>6.8627042966387601E-5</v>
      </c>
      <c r="M209" s="53">
        <v>8.0188978386259296E-4</v>
      </c>
      <c r="N209" s="53">
        <v>-3.4878505059456771E-4</v>
      </c>
      <c r="O209" s="53">
        <v>-1.9638151610016283E-4</v>
      </c>
      <c r="P209" s="54">
        <v>2.6056827515106171E-5</v>
      </c>
      <c r="Q209" s="53">
        <v>2.3144386828584601E-4</v>
      </c>
      <c r="R209" s="53">
        <v>-1.050074869323193E-4</v>
      </c>
      <c r="S209" s="53">
        <v>1.0368150805556349E-4</v>
      </c>
      <c r="T209" s="54">
        <v>-1.372983113767157E-5</v>
      </c>
      <c r="U209" s="54">
        <v>1.3113396208308588E-6</v>
      </c>
      <c r="V209" s="53">
        <v>6.0106844305354357E-4</v>
      </c>
      <c r="W209" s="53">
        <v>-2.109452444100382E-4</v>
      </c>
      <c r="X209" s="54">
        <v>-8.3004565884231625E-6</v>
      </c>
      <c r="Y209" s="53">
        <v>3.2978327296244265E-3</v>
      </c>
      <c r="Z209" s="53">
        <v>5.8450235373453674E-3</v>
      </c>
      <c r="AA209" s="53">
        <v>3.5155836980150005E-3</v>
      </c>
      <c r="AB209" s="31">
        <v>3.2673524456565172E-3</v>
      </c>
      <c r="AD209">
        <v>-1.67519E-2</v>
      </c>
      <c r="AE209">
        <v>-4.1916999999999996E-3</v>
      </c>
      <c r="AF209">
        <v>-8.8351000000000002E-3</v>
      </c>
      <c r="AG209">
        <v>-1.37806E-2</v>
      </c>
      <c r="AH209">
        <v>-3.3942E-3</v>
      </c>
      <c r="AI209">
        <v>-1.5476000000000001E-3</v>
      </c>
      <c r="AJ209">
        <v>1.16168E-2</v>
      </c>
      <c r="AK209">
        <v>-1.1180000000000001E-2</v>
      </c>
      <c r="AL209">
        <v>-5.1917999999999999E-3</v>
      </c>
      <c r="AM209">
        <v>-5.5789000000000004E-3</v>
      </c>
      <c r="AN209">
        <v>4.0952999999999996E-3</v>
      </c>
      <c r="AO209">
        <v>-9.9729999999999992E-3</v>
      </c>
      <c r="AP209">
        <v>1.0636E-3</v>
      </c>
      <c r="AQ209">
        <v>-3.7402400000000002E-2</v>
      </c>
      <c r="AR209">
        <v>-1.8346399999999999E-2</v>
      </c>
      <c r="AS209">
        <v>-1.38706E-2</v>
      </c>
      <c r="AT209">
        <v>-3.0059800000000001E-2</v>
      </c>
      <c r="AU209">
        <v>-1.8853200000000001E-2</v>
      </c>
      <c r="AV209">
        <v>-1.4517800000000001E-2</v>
      </c>
      <c r="AW209">
        <v>3.7905399999999999E-2</v>
      </c>
      <c r="AX209">
        <v>0</v>
      </c>
      <c r="AY209">
        <v>0</v>
      </c>
      <c r="BA209">
        <f t="shared" ca="1" si="19"/>
        <v>0.31215240000492445</v>
      </c>
      <c r="BC209">
        <f ca="1"/>
        <v>-1.1602358397391137E-2</v>
      </c>
    </row>
    <row r="210" spans="2:55">
      <c r="B210" s="38" t="s">
        <v>69</v>
      </c>
      <c r="C210" s="40">
        <v>0.45900000000000002</v>
      </c>
      <c r="D210" s="15">
        <v>8.3099999999999993E-2</v>
      </c>
      <c r="F210" s="51" t="s">
        <v>69</v>
      </c>
      <c r="G210" s="52">
        <v>-4.7221510749404366E-3</v>
      </c>
      <c r="H210" s="54">
        <v>4.5376819515717468E-5</v>
      </c>
      <c r="I210" s="53">
        <v>2.1942922372911213E-4</v>
      </c>
      <c r="J210" s="54">
        <v>-2.3436545542898749E-5</v>
      </c>
      <c r="K210" s="54">
        <v>4.672061954042907E-5</v>
      </c>
      <c r="L210" s="53">
        <v>-3.2718739056306062E-4</v>
      </c>
      <c r="M210" s="53">
        <v>6.3741926050644342E-4</v>
      </c>
      <c r="N210" s="53">
        <v>-1.6674221317890058E-4</v>
      </c>
      <c r="O210" s="53">
        <v>1.0526164336840181E-4</v>
      </c>
      <c r="P210" s="53">
        <v>-2.2013176557703269E-4</v>
      </c>
      <c r="Q210" s="54">
        <v>4.7346192224466722E-5</v>
      </c>
      <c r="R210" s="54">
        <v>-6.8439771188483962E-5</v>
      </c>
      <c r="S210" s="53">
        <v>-3.6648761422419796E-4</v>
      </c>
      <c r="T210" s="54">
        <v>3.7199691991261907E-5</v>
      </c>
      <c r="U210" s="54">
        <v>1.5216854756645411E-6</v>
      </c>
      <c r="V210" s="53">
        <v>3.3181797215229945E-4</v>
      </c>
      <c r="W210" s="54">
        <v>-4.5233201625809234E-5</v>
      </c>
      <c r="X210" s="54">
        <v>4.7557551716083571E-5</v>
      </c>
      <c r="Y210" s="53">
        <v>3.4596696986877789E-3</v>
      </c>
      <c r="Z210" s="53">
        <v>3.5155836980150005E-3</v>
      </c>
      <c r="AA210" s="53">
        <v>6.8993910637495113E-3</v>
      </c>
      <c r="AB210" s="31">
        <v>3.5046850204672477E-3</v>
      </c>
      <c r="AD210">
        <v>-2.3532399999999998E-2</v>
      </c>
      <c r="AE210">
        <v>3.6782E-3</v>
      </c>
      <c r="AF210">
        <v>-8.3916000000000008E-3</v>
      </c>
      <c r="AG210">
        <v>-2.25133E-2</v>
      </c>
      <c r="AH210">
        <v>-7.4378999999999999E-3</v>
      </c>
      <c r="AI210">
        <v>-1.17599E-2</v>
      </c>
      <c r="AJ210">
        <v>5.8069999999999997E-3</v>
      </c>
      <c r="AK210">
        <v>-1.2532400000000001E-2</v>
      </c>
      <c r="AL210">
        <v>-7.5377999999999999E-3</v>
      </c>
      <c r="AM210">
        <v>-1.0196999999999999E-2</v>
      </c>
      <c r="AN210">
        <v>1.2363000000000001E-3</v>
      </c>
      <c r="AO210">
        <v>-1.25161E-2</v>
      </c>
      <c r="AP210">
        <v>-7.3058000000000003E-3</v>
      </c>
      <c r="AQ210">
        <v>-3.2111199999999999E-2</v>
      </c>
      <c r="AR210">
        <v>-1.5620200000000001E-2</v>
      </c>
      <c r="AS210">
        <v>-1.7497700000000001E-2</v>
      </c>
      <c r="AT210">
        <v>-2.6627700000000001E-2</v>
      </c>
      <c r="AU210">
        <v>-1.6054200000000001E-2</v>
      </c>
      <c r="AV210">
        <v>-1.44412E-2</v>
      </c>
      <c r="AW210">
        <v>-1.9928600000000001E-2</v>
      </c>
      <c r="AX210">
        <v>4.2952499999999998E-2</v>
      </c>
      <c r="AY210">
        <v>0</v>
      </c>
      <c r="BA210">
        <f t="shared" ca="1" si="19"/>
        <v>1.1413658757146523</v>
      </c>
      <c r="BC210">
        <f ca="1"/>
        <v>2.3384229675278881E-2</v>
      </c>
    </row>
    <row r="211" spans="2:55" ht="17" thickBot="1">
      <c r="B211" s="38" t="s">
        <v>70</v>
      </c>
      <c r="C211" s="40">
        <v>0.31</v>
      </c>
      <c r="D211" s="15">
        <v>8.5900000000000004E-2</v>
      </c>
      <c r="F211" s="57" t="s">
        <v>70</v>
      </c>
      <c r="G211" s="58">
        <v>-5.1323491095492833E-3</v>
      </c>
      <c r="H211" s="60">
        <v>3.2439144617746258E-5</v>
      </c>
      <c r="I211" s="59">
        <v>5.5449030129338275E-4</v>
      </c>
      <c r="J211" s="60">
        <v>-3.2205786300018447E-6</v>
      </c>
      <c r="K211" s="59">
        <v>2.4156943477278813E-4</v>
      </c>
      <c r="L211" s="59">
        <v>-3.4034815929354746E-4</v>
      </c>
      <c r="M211" s="60">
        <v>6.6325570753026505E-5</v>
      </c>
      <c r="N211" s="60">
        <v>-5.5391471719323696E-5</v>
      </c>
      <c r="O211" s="59">
        <v>1.9839889245915312E-4</v>
      </c>
      <c r="P211" s="59">
        <v>-3.9650963196993246E-4</v>
      </c>
      <c r="Q211" s="60">
        <v>-7.7416309589618609E-5</v>
      </c>
      <c r="R211" s="60">
        <v>5.2133774719592891E-5</v>
      </c>
      <c r="S211" s="60">
        <v>3.547029017812116E-5</v>
      </c>
      <c r="T211" s="60">
        <v>1.2886768523152989E-5</v>
      </c>
      <c r="U211" s="60">
        <v>1.1763158565314564E-6</v>
      </c>
      <c r="V211" s="59">
        <v>4.1440423684503512E-4</v>
      </c>
      <c r="W211" s="59">
        <v>-1.6175182079827127E-4</v>
      </c>
      <c r="X211" s="60">
        <v>-5.4879480437356572E-5</v>
      </c>
      <c r="Y211" s="59">
        <v>3.2960422155619718E-3</v>
      </c>
      <c r="Z211" s="59">
        <v>3.2673524456565172E-3</v>
      </c>
      <c r="AA211" s="59">
        <v>3.5046850204672477E-3</v>
      </c>
      <c r="AB211" s="37">
        <v>7.3824860533521809E-3</v>
      </c>
      <c r="AD211">
        <v>-2.5576600000000001E-2</v>
      </c>
      <c r="AE211">
        <v>3.9199999999999999E-4</v>
      </c>
      <c r="AF211">
        <v>-2.1205999999999998E-3</v>
      </c>
      <c r="AG211">
        <v>-1.15934E-2</v>
      </c>
      <c r="AH211">
        <v>-1.7685999999999999E-3</v>
      </c>
      <c r="AI211">
        <v>-1.02454E-2</v>
      </c>
      <c r="AJ211">
        <v>-4.6826000000000003E-3</v>
      </c>
      <c r="AK211">
        <v>-1.06871E-2</v>
      </c>
      <c r="AL211">
        <v>5.9069999999999999E-4</v>
      </c>
      <c r="AM211">
        <v>-1.2705599999999999E-2</v>
      </c>
      <c r="AN211">
        <v>1.6176999999999999E-3</v>
      </c>
      <c r="AO211">
        <v>-1.01744E-2</v>
      </c>
      <c r="AP211">
        <v>-2.2515999999999999E-3</v>
      </c>
      <c r="AQ211">
        <v>-3.2262800000000001E-2</v>
      </c>
      <c r="AR211">
        <v>-1.48378E-2</v>
      </c>
      <c r="AS211">
        <v>-1.8390799999999999E-2</v>
      </c>
      <c r="AT211">
        <v>-2.87315E-2</v>
      </c>
      <c r="AU211">
        <v>-1.7990200000000001E-2</v>
      </c>
      <c r="AV211">
        <v>-1.3953399999999999E-2</v>
      </c>
      <c r="AW211">
        <v>-1.9395699999999998E-2</v>
      </c>
      <c r="AX211">
        <v>-2.6188699999999999E-2</v>
      </c>
      <c r="AY211">
        <v>4.5435700000000002E-2</v>
      </c>
      <c r="BA211">
        <f t="shared" ca="1" si="19"/>
        <v>0.13167917991623876</v>
      </c>
      <c r="BC211">
        <f ca="1"/>
        <v>-4.814986663598838E-2</v>
      </c>
    </row>
    <row r="212" spans="2:55" ht="17" thickTop="1">
      <c r="B212" s="38" t="s">
        <v>90</v>
      </c>
      <c r="C212" s="41" t="s">
        <v>140</v>
      </c>
      <c r="D212" s="42"/>
    </row>
    <row r="213" spans="2:55" ht="17" thickBot="1">
      <c r="B213" s="43" t="s">
        <v>92</v>
      </c>
      <c r="C213" s="82">
        <v>0.68700000000000006</v>
      </c>
      <c r="D213" s="16">
        <v>2.8799999999999999E-2</v>
      </c>
    </row>
    <row r="214" spans="2:55" ht="17" thickTop="1"/>
  </sheetData>
  <mergeCells count="24">
    <mergeCell ref="C7:E7"/>
    <mergeCell ref="G7:I7"/>
    <mergeCell ref="C15:E15"/>
    <mergeCell ref="G15:I15"/>
    <mergeCell ref="B188:B189"/>
    <mergeCell ref="C188:C189"/>
    <mergeCell ref="D188:D189"/>
    <mergeCell ref="B130:B131"/>
    <mergeCell ref="C130:C131"/>
    <mergeCell ref="D130:D131"/>
    <mergeCell ref="B159:B160"/>
    <mergeCell ref="C159:C160"/>
    <mergeCell ref="D159:D160"/>
    <mergeCell ref="B76:B77"/>
    <mergeCell ref="C76:C77"/>
    <mergeCell ref="D76:D77"/>
    <mergeCell ref="B103:B104"/>
    <mergeCell ref="C103:C104"/>
    <mergeCell ref="D103:D104"/>
    <mergeCell ref="B25:C25"/>
    <mergeCell ref="B27:B45"/>
    <mergeCell ref="B49:B50"/>
    <mergeCell ref="C49:C50"/>
    <mergeCell ref="D49:D50"/>
  </mergeCells>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19429-9469-F441-8191-D7656084F80A}">
  <sheetPr codeName="Sheet11">
    <tabColor rgb="FF4C627F"/>
  </sheetPr>
  <dimension ref="B2:U134"/>
  <sheetViews>
    <sheetView topLeftCell="A105" zoomScale="110" zoomScaleNormal="110" workbookViewId="0">
      <selection activeCell="S102" sqref="S102"/>
    </sheetView>
  </sheetViews>
  <sheetFormatPr baseColWidth="10" defaultColWidth="11" defaultRowHeight="16"/>
  <cols>
    <col min="2" max="2" width="15.6640625" customWidth="1"/>
  </cols>
  <sheetData>
    <row r="2" spans="2:16" ht="21">
      <c r="B2" s="5" t="s">
        <v>383</v>
      </c>
    </row>
    <row r="3" spans="2:16" ht="21">
      <c r="B3" s="5"/>
    </row>
    <row r="4" spans="2:16">
      <c r="C4" s="300" t="s">
        <v>398</v>
      </c>
      <c r="D4" s="301"/>
      <c r="E4" s="301"/>
      <c r="F4" s="301"/>
      <c r="G4" s="301"/>
      <c r="H4" s="301"/>
      <c r="I4" s="301"/>
      <c r="J4" s="301"/>
      <c r="K4" s="301"/>
      <c r="L4" s="301"/>
      <c r="M4" s="301"/>
      <c r="N4" s="302"/>
      <c r="P4" s="91"/>
    </row>
    <row r="5" spans="2:16">
      <c r="C5" s="303" t="s">
        <v>399</v>
      </c>
      <c r="D5" s="304"/>
      <c r="E5" s="304"/>
      <c r="F5" s="304"/>
      <c r="G5" s="304"/>
      <c r="H5" s="305"/>
      <c r="I5" s="303" t="s">
        <v>389</v>
      </c>
      <c r="J5" s="304"/>
      <c r="K5" s="304"/>
      <c r="L5" s="304"/>
      <c r="M5" s="304"/>
      <c r="N5" s="305"/>
    </row>
    <row r="6" spans="2:16">
      <c r="C6" s="176" t="s">
        <v>323</v>
      </c>
      <c r="D6" s="177" t="s">
        <v>400</v>
      </c>
      <c r="E6" s="177" t="s">
        <v>401</v>
      </c>
      <c r="F6" s="177" t="s">
        <v>402</v>
      </c>
      <c r="G6" s="177" t="s">
        <v>403</v>
      </c>
      <c r="H6" s="178" t="s">
        <v>404</v>
      </c>
      <c r="I6" s="176" t="s">
        <v>323</v>
      </c>
      <c r="J6" s="177" t="s">
        <v>400</v>
      </c>
      <c r="K6" s="177" t="s">
        <v>401</v>
      </c>
      <c r="L6" s="177" t="s">
        <v>402</v>
      </c>
      <c r="M6" s="177" t="s">
        <v>403</v>
      </c>
      <c r="N6" s="178" t="s">
        <v>404</v>
      </c>
    </row>
    <row r="7" spans="2:16">
      <c r="B7" s="179" t="s">
        <v>385</v>
      </c>
      <c r="C7" s="250">
        <v>0.34</v>
      </c>
      <c r="D7" s="251">
        <v>0.89</v>
      </c>
      <c r="E7" s="251">
        <v>0.21</v>
      </c>
      <c r="F7" s="251">
        <v>0.6</v>
      </c>
      <c r="G7" s="251">
        <v>-0.14000000000000001</v>
      </c>
      <c r="H7" s="252">
        <v>0.82</v>
      </c>
      <c r="I7" s="250">
        <v>0.33</v>
      </c>
      <c r="J7" s="251">
        <v>0.78</v>
      </c>
      <c r="K7" s="251">
        <v>0.23</v>
      </c>
      <c r="L7" s="251">
        <v>0.65</v>
      </c>
      <c r="M7" s="251">
        <v>-0.1</v>
      </c>
      <c r="N7" s="252">
        <v>0.8</v>
      </c>
    </row>
    <row r="8" spans="2:16">
      <c r="B8" s="179" t="s">
        <v>405</v>
      </c>
      <c r="C8" s="250">
        <v>0.34</v>
      </c>
      <c r="D8" s="251">
        <v>0.89</v>
      </c>
      <c r="E8" s="251">
        <v>0.14000000000000001</v>
      </c>
      <c r="F8" s="251">
        <v>0.48</v>
      </c>
      <c r="G8" s="251">
        <v>-0.2</v>
      </c>
      <c r="H8" s="252">
        <v>0.84</v>
      </c>
      <c r="I8" s="250">
        <v>0.33</v>
      </c>
      <c r="J8" s="251">
        <v>0.78</v>
      </c>
      <c r="K8" s="251">
        <v>0.21</v>
      </c>
      <c r="L8" s="251">
        <v>0.63</v>
      </c>
      <c r="M8" s="251">
        <v>-0.12</v>
      </c>
      <c r="N8" s="252">
        <v>0.72</v>
      </c>
    </row>
    <row r="9" spans="2:16">
      <c r="B9" s="179" t="s">
        <v>324</v>
      </c>
      <c r="C9" s="250">
        <v>0.4</v>
      </c>
      <c r="D9" s="251">
        <v>1.1000000000000001</v>
      </c>
      <c r="E9" s="251">
        <v>0</v>
      </c>
      <c r="F9" s="251">
        <v>0.3</v>
      </c>
      <c r="G9" s="251">
        <v>-0.4</v>
      </c>
      <c r="H9" s="252">
        <v>1</v>
      </c>
      <c r="I9" s="250">
        <v>0.3</v>
      </c>
      <c r="J9" s="251">
        <v>0.7</v>
      </c>
      <c r="K9" s="251">
        <v>0.1</v>
      </c>
      <c r="L9" s="251">
        <v>0.4</v>
      </c>
      <c r="M9" s="251">
        <v>-0.2</v>
      </c>
      <c r="N9" s="252">
        <v>0.7</v>
      </c>
    </row>
    <row r="10" spans="2:16">
      <c r="B10" s="179" t="s">
        <v>325</v>
      </c>
      <c r="C10" s="250">
        <v>0.3</v>
      </c>
      <c r="D10" s="251">
        <v>0.9</v>
      </c>
      <c r="E10" s="251">
        <v>0.1</v>
      </c>
      <c r="F10" s="251">
        <v>0.2</v>
      </c>
      <c r="G10" s="251">
        <v>-0.3</v>
      </c>
      <c r="H10" s="252">
        <v>0.9</v>
      </c>
      <c r="I10" s="250">
        <v>0.3</v>
      </c>
      <c r="J10" s="251">
        <v>0.7</v>
      </c>
      <c r="K10" s="251">
        <v>0.2</v>
      </c>
      <c r="L10" s="251">
        <v>0.6</v>
      </c>
      <c r="M10" s="251">
        <v>-0.2</v>
      </c>
      <c r="N10" s="252">
        <v>0.8</v>
      </c>
    </row>
    <row r="11" spans="2:16">
      <c r="B11" s="179" t="s">
        <v>326</v>
      </c>
      <c r="C11" s="253">
        <v>0.5</v>
      </c>
      <c r="D11" s="254">
        <v>1.2</v>
      </c>
      <c r="E11" s="254">
        <v>0.1</v>
      </c>
      <c r="F11" s="254">
        <v>0.3</v>
      </c>
      <c r="G11" s="254">
        <v>-0.4</v>
      </c>
      <c r="H11" s="255">
        <v>1.3</v>
      </c>
      <c r="I11" s="253">
        <v>0.4</v>
      </c>
      <c r="J11" s="254">
        <v>0.7</v>
      </c>
      <c r="K11" s="254">
        <v>0.1</v>
      </c>
      <c r="L11" s="254">
        <v>0.4</v>
      </c>
      <c r="M11" s="254">
        <v>-0.2</v>
      </c>
      <c r="N11" s="255">
        <v>0.7</v>
      </c>
    </row>
    <row r="13" spans="2:16">
      <c r="C13" s="300" t="s">
        <v>406</v>
      </c>
      <c r="D13" s="301"/>
      <c r="E13" s="301"/>
      <c r="F13" s="301"/>
      <c r="G13" s="301"/>
      <c r="H13" s="301"/>
      <c r="I13" s="301"/>
      <c r="J13" s="301"/>
      <c r="K13" s="301"/>
      <c r="L13" s="301"/>
      <c r="M13" s="301"/>
      <c r="N13" s="302"/>
    </row>
    <row r="14" spans="2:16">
      <c r="C14" s="303" t="s">
        <v>399</v>
      </c>
      <c r="D14" s="304"/>
      <c r="E14" s="304"/>
      <c r="F14" s="304"/>
      <c r="G14" s="304"/>
      <c r="H14" s="305"/>
      <c r="I14" s="303" t="s">
        <v>389</v>
      </c>
      <c r="J14" s="304"/>
      <c r="K14" s="304"/>
      <c r="L14" s="304"/>
      <c r="M14" s="304"/>
      <c r="N14" s="305"/>
    </row>
    <row r="15" spans="2:16">
      <c r="C15" s="176" t="s">
        <v>323</v>
      </c>
      <c r="D15" s="177" t="s">
        <v>400</v>
      </c>
      <c r="E15" s="177" t="s">
        <v>401</v>
      </c>
      <c r="F15" s="177" t="s">
        <v>402</v>
      </c>
      <c r="G15" s="177" t="s">
        <v>403</v>
      </c>
      <c r="H15" s="178" t="s">
        <v>404</v>
      </c>
      <c r="I15" s="176" t="s">
        <v>323</v>
      </c>
      <c r="J15" s="177" t="s">
        <v>400</v>
      </c>
      <c r="K15" s="177" t="s">
        <v>401</v>
      </c>
      <c r="L15" s="177" t="s">
        <v>402</v>
      </c>
      <c r="M15" s="177" t="s">
        <v>403</v>
      </c>
      <c r="N15" s="178" t="s">
        <v>404</v>
      </c>
    </row>
    <row r="16" spans="2:16">
      <c r="B16" s="179" t="s">
        <v>385</v>
      </c>
      <c r="C16" s="250">
        <v>1.19</v>
      </c>
      <c r="D16" s="251">
        <v>1.77</v>
      </c>
      <c r="E16" s="251">
        <v>0.75</v>
      </c>
      <c r="F16" s="251">
        <v>1.44</v>
      </c>
      <c r="G16" s="251">
        <v>-0.44</v>
      </c>
      <c r="H16" s="252">
        <v>1.52</v>
      </c>
      <c r="I16" s="250">
        <v>1.17</v>
      </c>
      <c r="J16" s="251">
        <v>1.8</v>
      </c>
      <c r="K16" s="251">
        <v>0.88</v>
      </c>
      <c r="L16" s="251">
        <v>1.64</v>
      </c>
      <c r="M16" s="251">
        <v>-0.28999999999999998</v>
      </c>
      <c r="N16" s="252">
        <v>1.56</v>
      </c>
    </row>
    <row r="17" spans="2:14">
      <c r="B17" s="179" t="s">
        <v>405</v>
      </c>
      <c r="C17" s="250">
        <v>1.1599999999999999</v>
      </c>
      <c r="D17" s="251">
        <v>1.76</v>
      </c>
      <c r="E17" s="251">
        <v>0.5</v>
      </c>
      <c r="F17" s="251">
        <v>1.05</v>
      </c>
      <c r="G17" s="251">
        <v>-0.65</v>
      </c>
      <c r="H17" s="252">
        <v>1.49</v>
      </c>
      <c r="I17" s="250">
        <v>1.1499999999999999</v>
      </c>
      <c r="J17" s="251">
        <v>1.76</v>
      </c>
      <c r="K17" s="251">
        <v>0.73</v>
      </c>
      <c r="L17" s="251">
        <v>1.46</v>
      </c>
      <c r="M17" s="251">
        <v>-0.43</v>
      </c>
      <c r="N17" s="252">
        <v>1.44</v>
      </c>
    </row>
    <row r="18" spans="2:14">
      <c r="B18" s="179" t="s">
        <v>324</v>
      </c>
      <c r="C18" s="250">
        <v>1.3</v>
      </c>
      <c r="D18" s="251">
        <v>1.8</v>
      </c>
      <c r="E18" s="251">
        <v>0.4</v>
      </c>
      <c r="F18" s="251">
        <v>1.1000000000000001</v>
      </c>
      <c r="G18" s="251">
        <v>-0.8</v>
      </c>
      <c r="H18" s="252">
        <v>1.7</v>
      </c>
      <c r="I18" s="250">
        <v>0.9</v>
      </c>
      <c r="J18" s="251">
        <v>1.4</v>
      </c>
      <c r="K18" s="251">
        <v>0.5</v>
      </c>
      <c r="L18" s="251">
        <v>1</v>
      </c>
      <c r="M18" s="251">
        <v>-0.4</v>
      </c>
      <c r="N18" s="252">
        <v>1.5</v>
      </c>
    </row>
    <row r="19" spans="2:14">
      <c r="B19" s="179" t="s">
        <v>325</v>
      </c>
      <c r="C19" s="250">
        <v>1.3</v>
      </c>
      <c r="D19" s="251">
        <v>1.8</v>
      </c>
      <c r="E19" s="251">
        <v>0.5</v>
      </c>
      <c r="F19" s="251">
        <v>1.2</v>
      </c>
      <c r="G19" s="251">
        <v>-0.8</v>
      </c>
      <c r="H19" s="252">
        <v>1.7</v>
      </c>
      <c r="I19" s="250">
        <v>0.8</v>
      </c>
      <c r="J19" s="251">
        <v>1.2</v>
      </c>
      <c r="K19" s="251">
        <v>0.3</v>
      </c>
      <c r="L19" s="251">
        <v>0.8</v>
      </c>
      <c r="M19" s="251">
        <v>-0.5</v>
      </c>
      <c r="N19" s="252">
        <v>1</v>
      </c>
    </row>
    <row r="20" spans="2:14">
      <c r="B20" s="179" t="s">
        <v>326</v>
      </c>
      <c r="C20" s="253">
        <v>1.2</v>
      </c>
      <c r="D20" s="254">
        <v>1.8</v>
      </c>
      <c r="E20" s="254">
        <v>0.2</v>
      </c>
      <c r="F20" s="254">
        <v>0.7</v>
      </c>
      <c r="G20" s="254">
        <v>-1</v>
      </c>
      <c r="H20" s="255">
        <v>1.7</v>
      </c>
      <c r="I20" s="253">
        <v>0.8</v>
      </c>
      <c r="J20" s="254">
        <v>1.3</v>
      </c>
      <c r="K20" s="254">
        <v>0.3</v>
      </c>
      <c r="L20" s="254">
        <v>0.7</v>
      </c>
      <c r="M20" s="254">
        <v>-0.6</v>
      </c>
      <c r="N20" s="255">
        <v>1.3</v>
      </c>
    </row>
    <row r="22" spans="2:14">
      <c r="C22" s="300" t="s">
        <v>407</v>
      </c>
      <c r="D22" s="301"/>
      <c r="E22" s="301"/>
      <c r="F22" s="301"/>
      <c r="G22" s="301"/>
      <c r="H22" s="301"/>
      <c r="I22" s="301"/>
      <c r="J22" s="301"/>
      <c r="K22" s="301"/>
      <c r="L22" s="301"/>
      <c r="M22" s="301"/>
      <c r="N22" s="302"/>
    </row>
    <row r="23" spans="2:14">
      <c r="C23" s="303" t="s">
        <v>399</v>
      </c>
      <c r="D23" s="304"/>
      <c r="E23" s="304"/>
      <c r="F23" s="304"/>
      <c r="G23" s="304"/>
      <c r="H23" s="305"/>
      <c r="I23" s="303" t="s">
        <v>389</v>
      </c>
      <c r="J23" s="304"/>
      <c r="K23" s="304"/>
      <c r="L23" s="304"/>
      <c r="M23" s="304"/>
      <c r="N23" s="305"/>
    </row>
    <row r="24" spans="2:14">
      <c r="C24" s="176" t="s">
        <v>323</v>
      </c>
      <c r="D24" s="177" t="s">
        <v>400</v>
      </c>
      <c r="E24" s="177" t="s">
        <v>401</v>
      </c>
      <c r="F24" s="177" t="s">
        <v>402</v>
      </c>
      <c r="G24" s="177" t="s">
        <v>403</v>
      </c>
      <c r="H24" s="178" t="s">
        <v>404</v>
      </c>
      <c r="I24" s="176" t="s">
        <v>323</v>
      </c>
      <c r="J24" s="177" t="s">
        <v>400</v>
      </c>
      <c r="K24" s="177" t="s">
        <v>401</v>
      </c>
      <c r="L24" s="177" t="s">
        <v>402</v>
      </c>
      <c r="M24" s="177" t="s">
        <v>403</v>
      </c>
      <c r="N24" s="178" t="s">
        <v>404</v>
      </c>
    </row>
    <row r="25" spans="2:14">
      <c r="B25" s="180" t="s">
        <v>385</v>
      </c>
      <c r="C25" s="250">
        <v>5.65</v>
      </c>
      <c r="D25" s="251">
        <v>2.36</v>
      </c>
      <c r="E25" s="251">
        <v>4.49</v>
      </c>
      <c r="F25" s="251">
        <v>2.46</v>
      </c>
      <c r="G25" s="251">
        <v>-1.1599999999999999</v>
      </c>
      <c r="H25" s="252">
        <v>2</v>
      </c>
      <c r="I25" s="250">
        <v>5.7</v>
      </c>
      <c r="J25" s="250">
        <v>2.4300000000000002</v>
      </c>
      <c r="K25" s="251">
        <v>4.8099999999999996</v>
      </c>
      <c r="L25" s="251">
        <v>2.52</v>
      </c>
      <c r="M25" s="251">
        <v>-0.89</v>
      </c>
      <c r="N25" s="252">
        <v>1.7</v>
      </c>
    </row>
    <row r="26" spans="2:14">
      <c r="B26" s="180" t="s">
        <v>405</v>
      </c>
      <c r="C26" s="250">
        <v>5.6</v>
      </c>
      <c r="D26" s="251">
        <v>2.41</v>
      </c>
      <c r="E26" s="251">
        <v>3.7</v>
      </c>
      <c r="F26" s="251">
        <v>2.5499999999999998</v>
      </c>
      <c r="G26" s="251">
        <v>-1.9</v>
      </c>
      <c r="H26" s="252">
        <v>2.4500000000000002</v>
      </c>
      <c r="I26" s="251">
        <v>5.72</v>
      </c>
      <c r="J26" s="251">
        <v>2.42</v>
      </c>
      <c r="K26" s="251">
        <v>4.12</v>
      </c>
      <c r="L26" s="251">
        <v>2.66</v>
      </c>
      <c r="M26" s="251">
        <v>-1.59</v>
      </c>
      <c r="N26" s="252">
        <v>2.27</v>
      </c>
    </row>
    <row r="27" spans="2:14">
      <c r="B27" s="180" t="s">
        <v>324</v>
      </c>
      <c r="C27" s="250">
        <v>5.7</v>
      </c>
      <c r="D27" s="251">
        <v>2.2000000000000002</v>
      </c>
      <c r="E27" s="251">
        <v>3.5</v>
      </c>
      <c r="F27" s="251">
        <v>2.4</v>
      </c>
      <c r="G27" s="251">
        <v>-2.2999999999999998</v>
      </c>
      <c r="H27" s="252">
        <v>2.6</v>
      </c>
      <c r="I27" s="250">
        <v>5.6</v>
      </c>
      <c r="J27" s="251">
        <v>2.2000000000000002</v>
      </c>
      <c r="K27" s="251">
        <v>4</v>
      </c>
      <c r="L27" s="251">
        <v>2.7</v>
      </c>
      <c r="M27" s="251">
        <v>-1.6</v>
      </c>
      <c r="N27" s="252">
        <v>2.5</v>
      </c>
    </row>
    <row r="28" spans="2:14">
      <c r="B28" s="180" t="s">
        <v>325</v>
      </c>
      <c r="C28" s="250">
        <v>6</v>
      </c>
      <c r="D28" s="251">
        <v>2.1</v>
      </c>
      <c r="E28" s="251">
        <v>3.5</v>
      </c>
      <c r="F28" s="251">
        <v>2.6</v>
      </c>
      <c r="G28" s="251">
        <v>-2.5</v>
      </c>
      <c r="H28" s="252">
        <v>2.6</v>
      </c>
      <c r="I28" s="250">
        <v>5.6</v>
      </c>
      <c r="J28" s="251">
        <v>2.2000000000000002</v>
      </c>
      <c r="K28" s="251">
        <v>3.6</v>
      </c>
      <c r="L28" s="251">
        <v>2.5</v>
      </c>
      <c r="M28" s="251">
        <v>-2</v>
      </c>
      <c r="N28" s="252">
        <v>3</v>
      </c>
    </row>
    <row r="29" spans="2:14">
      <c r="B29" s="180" t="s">
        <v>326</v>
      </c>
      <c r="C29" s="253">
        <v>5.9</v>
      </c>
      <c r="D29" s="254">
        <v>2.2999999999999998</v>
      </c>
      <c r="E29" s="254">
        <v>2.5</v>
      </c>
      <c r="F29" s="254">
        <v>2.2999999999999998</v>
      </c>
      <c r="G29" s="254">
        <v>-3.3</v>
      </c>
      <c r="H29" s="255">
        <v>2.8</v>
      </c>
      <c r="I29" s="253">
        <v>5.5</v>
      </c>
      <c r="J29" s="254">
        <v>2.2000000000000002</v>
      </c>
      <c r="K29" s="254">
        <v>2.9</v>
      </c>
      <c r="L29" s="254">
        <v>2.4</v>
      </c>
      <c r="M29" s="254">
        <v>-2.6</v>
      </c>
      <c r="N29" s="255">
        <v>3</v>
      </c>
    </row>
    <row r="30" spans="2:14" ht="21">
      <c r="B30" s="5"/>
    </row>
    <row r="31" spans="2:14">
      <c r="C31" t="s">
        <v>384</v>
      </c>
      <c r="D31" t="s">
        <v>385</v>
      </c>
      <c r="E31" t="s">
        <v>405</v>
      </c>
      <c r="F31" t="s">
        <v>386</v>
      </c>
      <c r="G31" t="s">
        <v>387</v>
      </c>
      <c r="H31" t="s">
        <v>388</v>
      </c>
    </row>
    <row r="33" spans="2:8">
      <c r="B33" t="s">
        <v>410</v>
      </c>
    </row>
    <row r="34" spans="2:8">
      <c r="B34" t="s">
        <v>389</v>
      </c>
      <c r="C34" s="251">
        <f>I7</f>
        <v>0.33</v>
      </c>
      <c r="D34" s="251">
        <f>C34+M7</f>
        <v>0.23</v>
      </c>
      <c r="E34" s="251">
        <f>C34+M8</f>
        <v>0.21000000000000002</v>
      </c>
      <c r="F34" s="251">
        <f>C34+M9</f>
        <v>0.13</v>
      </c>
      <c r="G34" s="251">
        <f>C34+M10</f>
        <v>0.13</v>
      </c>
      <c r="H34" s="251">
        <f>C34+M11</f>
        <v>0.13</v>
      </c>
    </row>
    <row r="35" spans="2:8">
      <c r="B35" t="s">
        <v>393</v>
      </c>
      <c r="C35" s="251">
        <f>J7</f>
        <v>0.78</v>
      </c>
      <c r="D35" s="251">
        <f>N7</f>
        <v>0.8</v>
      </c>
      <c r="E35" s="251">
        <f>N8</f>
        <v>0.72</v>
      </c>
      <c r="F35" s="251">
        <f>N9</f>
        <v>0.7</v>
      </c>
      <c r="G35" s="251">
        <f>N10</f>
        <v>0.8</v>
      </c>
      <c r="H35" s="251">
        <f>N11</f>
        <v>0.7</v>
      </c>
    </row>
    <row r="36" spans="2:8">
      <c r="B36" t="s">
        <v>316</v>
      </c>
      <c r="C36" s="251">
        <v>309</v>
      </c>
      <c r="D36" s="251">
        <v>309</v>
      </c>
      <c r="E36" s="251">
        <v>309</v>
      </c>
      <c r="F36" s="251">
        <v>128</v>
      </c>
      <c r="G36" s="251">
        <v>128</v>
      </c>
      <c r="H36" s="251">
        <v>128</v>
      </c>
    </row>
    <row r="37" spans="2:8">
      <c r="B37" t="s">
        <v>396</v>
      </c>
      <c r="C37" s="256">
        <f t="shared" ref="C37:H37" si="0">C35/SQRT(C36)</f>
        <v>4.4372649671108794E-2</v>
      </c>
      <c r="D37" s="256">
        <f t="shared" si="0"/>
        <v>4.5510409919085941E-2</v>
      </c>
      <c r="E37" s="256">
        <f t="shared" si="0"/>
        <v>4.0959368927177345E-2</v>
      </c>
      <c r="F37" s="256">
        <f t="shared" si="0"/>
        <v>6.1871843353822897E-2</v>
      </c>
      <c r="G37" s="256">
        <f t="shared" si="0"/>
        <v>7.0710678118654752E-2</v>
      </c>
      <c r="H37" s="256">
        <f t="shared" si="0"/>
        <v>6.1871843353822897E-2</v>
      </c>
    </row>
    <row r="38" spans="2:8">
      <c r="B38" t="s">
        <v>390</v>
      </c>
      <c r="C38" s="251">
        <f>C7</f>
        <v>0.34</v>
      </c>
      <c r="D38" s="251">
        <f>C38+G7</f>
        <v>0.2</v>
      </c>
      <c r="E38" s="251">
        <f>C38+G8</f>
        <v>0.14000000000000001</v>
      </c>
      <c r="F38" s="257">
        <v>0</v>
      </c>
      <c r="G38" s="251">
        <f>C38+G10</f>
        <v>4.0000000000000036E-2</v>
      </c>
      <c r="H38" s="257">
        <v>0</v>
      </c>
    </row>
    <row r="39" spans="2:8">
      <c r="B39" t="s">
        <v>394</v>
      </c>
      <c r="C39" s="251">
        <f>D7</f>
        <v>0.89</v>
      </c>
      <c r="D39" s="251">
        <f>H7</f>
        <v>0.82</v>
      </c>
      <c r="E39" s="251">
        <f>H8</f>
        <v>0.84</v>
      </c>
      <c r="F39" s="251">
        <f>H9</f>
        <v>1</v>
      </c>
      <c r="G39" s="251">
        <f>H10</f>
        <v>0.9</v>
      </c>
      <c r="H39" s="251">
        <f>H11</f>
        <v>1.3</v>
      </c>
    </row>
    <row r="40" spans="2:8">
      <c r="B40" t="s">
        <v>316</v>
      </c>
      <c r="C40" s="251">
        <v>308</v>
      </c>
      <c r="D40" s="251">
        <v>308</v>
      </c>
      <c r="E40" s="251">
        <v>308</v>
      </c>
      <c r="F40" s="251">
        <v>137</v>
      </c>
      <c r="G40" s="251">
        <v>137</v>
      </c>
      <c r="H40" s="251">
        <v>137</v>
      </c>
    </row>
    <row r="41" spans="2:8">
      <c r="B41" t="s">
        <v>397</v>
      </c>
      <c r="C41" s="256">
        <f t="shared" ref="C41:H41" si="1">C39/SQRT(C40)</f>
        <v>5.0712456524538888E-2</v>
      </c>
      <c r="D41" s="256">
        <f t="shared" si="1"/>
        <v>4.672383634845155E-2</v>
      </c>
      <c r="E41" s="256">
        <f t="shared" si="1"/>
        <v>4.7863442113047931E-2</v>
      </c>
      <c r="F41" s="256">
        <f t="shared" si="1"/>
        <v>8.5435765771676095E-2</v>
      </c>
      <c r="G41" s="256">
        <f t="shared" si="1"/>
        <v>7.6892189194508478E-2</v>
      </c>
      <c r="H41" s="256">
        <f t="shared" si="1"/>
        <v>0.11106649550317892</v>
      </c>
    </row>
    <row r="43" spans="2:8">
      <c r="B43" t="s">
        <v>391</v>
      </c>
      <c r="C43" s="251">
        <f t="shared" ref="C43:H43" si="2">C38-C34</f>
        <v>1.0000000000000009E-2</v>
      </c>
      <c r="D43" s="251">
        <f t="shared" si="2"/>
        <v>-0.03</v>
      </c>
      <c r="E43" s="251">
        <f t="shared" si="2"/>
        <v>-7.0000000000000007E-2</v>
      </c>
      <c r="F43" s="251">
        <f t="shared" si="2"/>
        <v>-0.13</v>
      </c>
      <c r="G43" s="251">
        <f t="shared" si="2"/>
        <v>-8.9999999999999969E-2</v>
      </c>
      <c r="H43" s="251">
        <f t="shared" si="2"/>
        <v>-0.13</v>
      </c>
    </row>
    <row r="44" spans="2:8">
      <c r="B44" t="s">
        <v>392</v>
      </c>
      <c r="C44" s="258">
        <f t="shared" ref="C44:H44" si="3">SQRT(C37^2+C41^2)</f>
        <v>6.7384607185826922E-2</v>
      </c>
      <c r="D44" s="258">
        <f t="shared" si="3"/>
        <v>6.5225104784278565E-2</v>
      </c>
      <c r="E44" s="258">
        <f t="shared" si="3"/>
        <v>6.2996658592513549E-2</v>
      </c>
      <c r="F44" s="258">
        <f t="shared" si="3"/>
        <v>0.1054864686724923</v>
      </c>
      <c r="G44" s="258">
        <f t="shared" si="3"/>
        <v>0.10446247536375962</v>
      </c>
      <c r="H44" s="258">
        <f t="shared" si="3"/>
        <v>0.1271372935977389</v>
      </c>
    </row>
    <row r="47" spans="2:8">
      <c r="B47" t="s">
        <v>411</v>
      </c>
    </row>
    <row r="48" spans="2:8">
      <c r="B48" t="s">
        <v>389</v>
      </c>
      <c r="C48" s="251">
        <f>I16</f>
        <v>1.17</v>
      </c>
      <c r="D48" s="251">
        <f>C48+M16</f>
        <v>0.87999999999999989</v>
      </c>
      <c r="E48" s="251">
        <f>C48+M17</f>
        <v>0.74</v>
      </c>
      <c r="F48" s="251">
        <f>C48+M18</f>
        <v>0.76999999999999991</v>
      </c>
      <c r="G48" s="251">
        <f>C48+M19</f>
        <v>0.66999999999999993</v>
      </c>
      <c r="H48" s="251">
        <f>C48+M20</f>
        <v>0.56999999999999995</v>
      </c>
    </row>
    <row r="49" spans="2:8">
      <c r="B49" t="s">
        <v>393</v>
      </c>
      <c r="C49" s="251">
        <f>J16</f>
        <v>1.8</v>
      </c>
      <c r="D49" s="251">
        <f>N16</f>
        <v>1.56</v>
      </c>
      <c r="E49" s="251">
        <f>N17</f>
        <v>1.44</v>
      </c>
      <c r="F49" s="251">
        <f>N18</f>
        <v>1.5</v>
      </c>
      <c r="G49" s="251">
        <f>N19</f>
        <v>1</v>
      </c>
      <c r="H49" s="251">
        <f>N20</f>
        <v>1.3</v>
      </c>
    </row>
    <row r="50" spans="2:8">
      <c r="B50" t="s">
        <v>316</v>
      </c>
      <c r="C50" s="251">
        <v>309</v>
      </c>
      <c r="D50" s="251">
        <f>D36</f>
        <v>309</v>
      </c>
      <c r="E50" s="251">
        <f>E36</f>
        <v>309</v>
      </c>
      <c r="F50" s="251">
        <f>F36</f>
        <v>128</v>
      </c>
      <c r="G50" s="251">
        <f>G36</f>
        <v>128</v>
      </c>
      <c r="H50" s="251">
        <f>H36</f>
        <v>128</v>
      </c>
    </row>
    <row r="51" spans="2:8">
      <c r="B51" t="s">
        <v>396</v>
      </c>
      <c r="C51" s="258">
        <f t="shared" ref="C51:H51" si="4">C49/SQRT(C50)</f>
        <v>0.10239842231794337</v>
      </c>
      <c r="D51" s="258">
        <f t="shared" si="4"/>
        <v>8.8745299342217587E-2</v>
      </c>
      <c r="E51" s="258">
        <f t="shared" si="4"/>
        <v>8.191873785435469E-2</v>
      </c>
      <c r="F51" s="258">
        <f t="shared" si="4"/>
        <v>0.13258252147247765</v>
      </c>
      <c r="G51" s="258">
        <f t="shared" si="4"/>
        <v>8.8388347648318433E-2</v>
      </c>
      <c r="H51" s="258">
        <f t="shared" si="4"/>
        <v>0.11490485194281397</v>
      </c>
    </row>
    <row r="52" spans="2:8">
      <c r="B52" t="s">
        <v>390</v>
      </c>
      <c r="C52" s="251">
        <f>C16</f>
        <v>1.19</v>
      </c>
      <c r="D52" s="251">
        <f>C52+G16</f>
        <v>0.75</v>
      </c>
      <c r="E52" s="251">
        <f>C52+G17</f>
        <v>0.53999999999999992</v>
      </c>
      <c r="F52" s="251">
        <f>C52+G18</f>
        <v>0.3899999999999999</v>
      </c>
      <c r="G52" s="251">
        <f>C52+G19</f>
        <v>0.3899999999999999</v>
      </c>
      <c r="H52" s="251">
        <f>C52+G20</f>
        <v>0.18999999999999995</v>
      </c>
    </row>
    <row r="53" spans="2:8">
      <c r="B53" t="s">
        <v>394</v>
      </c>
      <c r="C53" s="251">
        <f>D16</f>
        <v>1.77</v>
      </c>
      <c r="D53" s="251">
        <f>H16</f>
        <v>1.52</v>
      </c>
      <c r="E53" s="251">
        <f>H17</f>
        <v>1.49</v>
      </c>
      <c r="F53" s="251">
        <f>H18</f>
        <v>1.7</v>
      </c>
      <c r="G53" s="251">
        <f>H19</f>
        <v>1.7</v>
      </c>
      <c r="H53" s="251">
        <f>H20</f>
        <v>1.7</v>
      </c>
    </row>
    <row r="54" spans="2:8">
      <c r="B54" t="s">
        <v>316</v>
      </c>
      <c r="C54" s="251">
        <v>308</v>
      </c>
      <c r="D54" s="251">
        <f>D40</f>
        <v>308</v>
      </c>
      <c r="E54" s="251">
        <f>E40</f>
        <v>308</v>
      </c>
      <c r="F54" s="251">
        <f>F40</f>
        <v>137</v>
      </c>
      <c r="G54" s="251">
        <f>G40</f>
        <v>137</v>
      </c>
      <c r="H54" s="251">
        <f>H40</f>
        <v>137</v>
      </c>
    </row>
    <row r="55" spans="2:8">
      <c r="B55" t="s">
        <v>397</v>
      </c>
      <c r="C55" s="258">
        <f t="shared" ref="C55:H55" si="5">C53/SQRT(C54)</f>
        <v>0.10085511016677957</v>
      </c>
      <c r="D55" s="258">
        <f t="shared" si="5"/>
        <v>8.6610038109324841E-2</v>
      </c>
      <c r="E55" s="258">
        <f t="shared" si="5"/>
        <v>8.4900629462430266E-2</v>
      </c>
      <c r="F55" s="258">
        <f t="shared" si="5"/>
        <v>0.14524080181184934</v>
      </c>
      <c r="G55" s="258">
        <f t="shared" si="5"/>
        <v>0.14524080181184934</v>
      </c>
      <c r="H55" s="258">
        <f t="shared" si="5"/>
        <v>0.14524080181184934</v>
      </c>
    </row>
    <row r="57" spans="2:8">
      <c r="B57" t="s">
        <v>391</v>
      </c>
      <c r="C57" s="251">
        <f t="shared" ref="C57:H57" si="6">C52-C48</f>
        <v>2.0000000000000018E-2</v>
      </c>
      <c r="D57" s="251">
        <f t="shared" si="6"/>
        <v>-0.12999999999999989</v>
      </c>
      <c r="E57" s="251">
        <f t="shared" si="6"/>
        <v>-0.20000000000000007</v>
      </c>
      <c r="F57" s="251">
        <f t="shared" si="6"/>
        <v>-0.38</v>
      </c>
      <c r="G57" s="251">
        <f t="shared" si="6"/>
        <v>-0.28000000000000003</v>
      </c>
      <c r="H57" s="251">
        <f t="shared" si="6"/>
        <v>-0.38</v>
      </c>
    </row>
    <row r="58" spans="2:8">
      <c r="B58" t="s">
        <v>392</v>
      </c>
      <c r="C58" s="258">
        <f t="shared" ref="C58:H58" si="7">SQRT(C51^2+C55^2)</f>
        <v>0.14372609415119136</v>
      </c>
      <c r="D58" s="258">
        <f t="shared" si="7"/>
        <v>0.12400414048183435</v>
      </c>
      <c r="E58" s="258">
        <f t="shared" si="7"/>
        <v>0.11797794918868257</v>
      </c>
      <c r="F58" s="258">
        <f t="shared" si="7"/>
        <v>0.1966545588359164</v>
      </c>
      <c r="G58" s="258">
        <f t="shared" si="7"/>
        <v>0.17002173540741461</v>
      </c>
      <c r="H58" s="258">
        <f t="shared" si="7"/>
        <v>0.18519723408017977</v>
      </c>
    </row>
    <row r="61" spans="2:8">
      <c r="B61" t="s">
        <v>395</v>
      </c>
    </row>
    <row r="62" spans="2:8">
      <c r="B62" t="s">
        <v>389</v>
      </c>
      <c r="C62" s="251">
        <f>I25/10</f>
        <v>0.57000000000000006</v>
      </c>
      <c r="D62" s="251">
        <f>C62+M25/10</f>
        <v>0.48100000000000009</v>
      </c>
      <c r="E62" s="251">
        <f>C62+M26/10</f>
        <v>0.41100000000000003</v>
      </c>
      <c r="F62" s="251">
        <f>C62+M27/10</f>
        <v>0.41000000000000003</v>
      </c>
      <c r="G62" s="251">
        <f>C62+M28/10</f>
        <v>0.37000000000000005</v>
      </c>
      <c r="H62" s="251">
        <f>C62+M29/10</f>
        <v>0.31000000000000005</v>
      </c>
    </row>
    <row r="63" spans="2:8">
      <c r="B63" t="s">
        <v>393</v>
      </c>
      <c r="C63" s="251">
        <f>J25/10</f>
        <v>0.24300000000000002</v>
      </c>
      <c r="D63" s="251">
        <f>N25/10</f>
        <v>0.16999999999999998</v>
      </c>
      <c r="E63" s="251">
        <f>N26/10</f>
        <v>0.22700000000000001</v>
      </c>
      <c r="F63" s="251">
        <f>N27/10</f>
        <v>0.25</v>
      </c>
      <c r="G63" s="251">
        <f>N28/10</f>
        <v>0.3</v>
      </c>
      <c r="H63" s="251">
        <f>N29/10</f>
        <v>0.3</v>
      </c>
    </row>
    <row r="64" spans="2:8">
      <c r="B64" t="s">
        <v>316</v>
      </c>
      <c r="C64" s="251">
        <f t="shared" ref="C64:H64" si="8">C50</f>
        <v>309</v>
      </c>
      <c r="D64" s="251">
        <f t="shared" si="8"/>
        <v>309</v>
      </c>
      <c r="E64" s="251">
        <f t="shared" si="8"/>
        <v>309</v>
      </c>
      <c r="F64" s="251">
        <f t="shared" si="8"/>
        <v>128</v>
      </c>
      <c r="G64" s="251">
        <f t="shared" si="8"/>
        <v>128</v>
      </c>
      <c r="H64" s="251">
        <f t="shared" si="8"/>
        <v>128</v>
      </c>
    </row>
    <row r="65" spans="2:10">
      <c r="B65" t="s">
        <v>396</v>
      </c>
      <c r="C65" s="258">
        <f t="shared" ref="C65:H65" si="9">C63/SQRT(C64)</f>
        <v>1.3823787012922355E-2</v>
      </c>
      <c r="D65" s="258">
        <f t="shared" si="9"/>
        <v>9.6709621078057608E-3</v>
      </c>
      <c r="E65" s="258">
        <f t="shared" si="9"/>
        <v>1.2913578814540637E-2</v>
      </c>
      <c r="F65" s="258">
        <f t="shared" si="9"/>
        <v>2.2097086912079608E-2</v>
      </c>
      <c r="G65" s="258">
        <f t="shared" si="9"/>
        <v>2.6516504294495528E-2</v>
      </c>
      <c r="H65" s="258">
        <f t="shared" si="9"/>
        <v>2.6516504294495528E-2</v>
      </c>
    </row>
    <row r="66" spans="2:10">
      <c r="B66" t="s">
        <v>390</v>
      </c>
      <c r="C66" s="251">
        <f>C25/10</f>
        <v>0.56500000000000006</v>
      </c>
      <c r="D66" s="251">
        <f>C66+G25/10</f>
        <v>0.44900000000000007</v>
      </c>
      <c r="E66" s="251">
        <f>C66+G26/10</f>
        <v>0.37500000000000006</v>
      </c>
      <c r="F66" s="251">
        <f>C66+G27/10</f>
        <v>0.33500000000000008</v>
      </c>
      <c r="G66" s="251">
        <f>C66+G28/10</f>
        <v>0.31500000000000006</v>
      </c>
      <c r="H66" s="251">
        <f>C66+G29/10</f>
        <v>0.2350000000000001</v>
      </c>
    </row>
    <row r="67" spans="2:10">
      <c r="B67" t="s">
        <v>394</v>
      </c>
      <c r="C67" s="251">
        <f>D25/10</f>
        <v>0.23599999999999999</v>
      </c>
      <c r="D67" s="251">
        <f>H25/10</f>
        <v>0.2</v>
      </c>
      <c r="E67" s="251">
        <f>H26/10</f>
        <v>0.24500000000000002</v>
      </c>
      <c r="F67" s="251">
        <f>H27/10</f>
        <v>0.26</v>
      </c>
      <c r="G67" s="251">
        <f>H28/10</f>
        <v>0.26</v>
      </c>
      <c r="H67" s="251">
        <f>H29/10</f>
        <v>0.27999999999999997</v>
      </c>
    </row>
    <row r="68" spans="2:10">
      <c r="B68" t="s">
        <v>316</v>
      </c>
      <c r="C68" s="251">
        <f t="shared" ref="C68:H68" si="10">C54</f>
        <v>308</v>
      </c>
      <c r="D68" s="251">
        <f t="shared" si="10"/>
        <v>308</v>
      </c>
      <c r="E68" s="251">
        <f t="shared" si="10"/>
        <v>308</v>
      </c>
      <c r="F68" s="251">
        <f t="shared" si="10"/>
        <v>137</v>
      </c>
      <c r="G68" s="251">
        <f t="shared" si="10"/>
        <v>137</v>
      </c>
      <c r="H68" s="251">
        <f t="shared" si="10"/>
        <v>137</v>
      </c>
    </row>
    <row r="69" spans="2:10">
      <c r="B69" t="s">
        <v>397</v>
      </c>
      <c r="C69" s="258">
        <f t="shared" ref="C69:H69" si="11">C67/SQRT(C68)</f>
        <v>1.3447348022237276E-2</v>
      </c>
      <c r="D69" s="258">
        <f t="shared" si="11"/>
        <v>1.1396057645963794E-2</v>
      </c>
      <c r="E69" s="258">
        <f t="shared" si="11"/>
        <v>1.396017061630565E-2</v>
      </c>
      <c r="F69" s="258">
        <f t="shared" si="11"/>
        <v>2.2213299100635783E-2</v>
      </c>
      <c r="G69" s="258">
        <f t="shared" si="11"/>
        <v>2.2213299100635783E-2</v>
      </c>
      <c r="H69" s="258">
        <f t="shared" si="11"/>
        <v>2.3922014416069302E-2</v>
      </c>
    </row>
    <row r="71" spans="2:10">
      <c r="B71" t="s">
        <v>391</v>
      </c>
      <c r="C71" s="251">
        <f t="shared" ref="C71:H71" si="12">C66-C62</f>
        <v>-5.0000000000000044E-3</v>
      </c>
      <c r="D71" s="251">
        <f t="shared" si="12"/>
        <v>-3.2000000000000028E-2</v>
      </c>
      <c r="E71" s="251">
        <f t="shared" si="12"/>
        <v>-3.5999999999999976E-2</v>
      </c>
      <c r="F71" s="251">
        <f t="shared" si="12"/>
        <v>-7.4999999999999956E-2</v>
      </c>
      <c r="G71" s="251">
        <f t="shared" si="12"/>
        <v>-5.4999999999999993E-2</v>
      </c>
      <c r="H71" s="251">
        <f t="shared" si="12"/>
        <v>-7.4999999999999956E-2</v>
      </c>
    </row>
    <row r="72" spans="2:10">
      <c r="B72" t="s">
        <v>392</v>
      </c>
      <c r="C72" s="258">
        <f t="shared" ref="C72:H72" si="13">SQRT(C65^2+C69^2)</f>
        <v>1.9285441561183128E-2</v>
      </c>
      <c r="D72" s="258">
        <f t="shared" si="13"/>
        <v>1.4946492496928658E-2</v>
      </c>
      <c r="E72" s="258">
        <f t="shared" si="13"/>
        <v>1.9017015576470363E-2</v>
      </c>
      <c r="F72" s="258">
        <f t="shared" si="13"/>
        <v>3.1332282185220828E-2</v>
      </c>
      <c r="G72" s="258">
        <f t="shared" si="13"/>
        <v>3.4591265616255008E-2</v>
      </c>
      <c r="H72" s="258">
        <f t="shared" si="13"/>
        <v>3.5712571648127321E-2</v>
      </c>
    </row>
    <row r="73" spans="2:10">
      <c r="C73" s="3"/>
      <c r="D73" s="3"/>
      <c r="E73" s="3"/>
      <c r="F73" s="3"/>
      <c r="G73" s="3"/>
      <c r="H73" s="3"/>
    </row>
    <row r="74" spans="2:10">
      <c r="B74" t="s">
        <v>412</v>
      </c>
      <c r="C74" s="3"/>
      <c r="D74" s="3"/>
      <c r="E74" s="3"/>
      <c r="F74" s="3"/>
      <c r="G74" s="3"/>
      <c r="H74" s="3"/>
    </row>
    <row r="75" spans="2:10">
      <c r="C75" s="3"/>
      <c r="D75" s="3"/>
      <c r="E75" s="3"/>
      <c r="F75" s="3"/>
      <c r="G75" s="3"/>
      <c r="H75" s="3"/>
    </row>
    <row r="76" spans="2:10">
      <c r="B76" t="s">
        <v>409</v>
      </c>
      <c r="C76" s="3"/>
      <c r="D76" s="3"/>
      <c r="E76" s="3"/>
      <c r="F76" s="3"/>
      <c r="G76" s="3"/>
      <c r="H76" s="3"/>
    </row>
    <row r="77" spans="2:10">
      <c r="B77" t="s">
        <v>117</v>
      </c>
      <c r="C77" s="258">
        <f ca="1">IF('Model | Parameters'!$I$3&lt;&gt;1,_xlfn.NORM.INV(RAND(),C34,C35/SQRT(C36)),C34)</f>
        <v>0.33</v>
      </c>
      <c r="D77" s="258">
        <f ca="1">IF('Model | Parameters'!$I$3&lt;&gt;1,_xlfn.NORM.INV(RAND(),D34,D35/SQRT(D36)),D34)</f>
        <v>0.23</v>
      </c>
      <c r="E77" s="258">
        <f ca="1">IF('Model | Parameters'!$I$3&lt;&gt;1,_xlfn.NORM.INV(RAND(),E34,E35/SQRT(E36)),E34)</f>
        <v>0.21000000000000002</v>
      </c>
      <c r="F77" s="258">
        <f ca="1">IF('Model | Parameters'!$I$3&lt;&gt;1,_xlfn.NORM.INV(RAND(),F34,F35/SQRT(F36)),F34)</f>
        <v>0.13</v>
      </c>
      <c r="G77" s="258">
        <f ca="1">IF('Model | Parameters'!$I$3&lt;&gt;1,_xlfn.NORM.INV(RAND(),G34,G35/SQRT(G36)),G34)</f>
        <v>0.13</v>
      </c>
      <c r="H77" s="258">
        <f ca="1">IF('Model | Parameters'!$I$3&lt;&gt;1,_xlfn.NORM.INV(RAND(),H34,H35/SQRT(H36)),H34)</f>
        <v>0.13</v>
      </c>
      <c r="J77" s="3"/>
    </row>
    <row r="78" spans="2:10">
      <c r="B78" t="s">
        <v>118</v>
      </c>
      <c r="C78" s="258">
        <f ca="1">IF('Model | Parameters'!$I$3&lt;&gt;1,_xlfn.NORM.INV(RAND(),C48,C49/SQRT(C50))*NORMINV(RAND(),C62,C63/SQRT(C64)),C48*C62)</f>
        <v>0.66690000000000005</v>
      </c>
      <c r="D78" s="258">
        <f ca="1">IF('Model | Parameters'!$I$3&lt;&gt;1,_xlfn.NORM.INV(RAND(),D48,D49/SQRT(D50))*NORMINV(RAND(),D62,D63/SQRT(D64)),D48*D62)</f>
        <v>0.42328000000000005</v>
      </c>
      <c r="E78" s="258">
        <f ca="1">IF('Model | Parameters'!$I$3&lt;&gt;1,_xlfn.NORM.INV(RAND(),E48,E49/SQRT(E50))*NORMINV(RAND(),E62,E63/SQRT(E64)),E48*E62)</f>
        <v>0.30414000000000002</v>
      </c>
      <c r="F78" s="258">
        <f ca="1">IF('Model | Parameters'!$I$3&lt;&gt;1,_xlfn.NORM.INV(RAND(),F48,F49/SQRT(F50))*NORMINV(RAND(),F62,F63/SQRT(F64)),F48*F62)</f>
        <v>0.31569999999999998</v>
      </c>
      <c r="G78" s="258">
        <f ca="1">IF('Model | Parameters'!$I$3&lt;&gt;1,_xlfn.NORM.INV(RAND(),G48,G49/SQRT(G50))*NORMINV(RAND(),G62,G63/SQRT(G64)),G48*G62)</f>
        <v>0.24790000000000001</v>
      </c>
      <c r="H78" s="258">
        <f ca="1">IF('Model | Parameters'!$I$3&lt;&gt;1,_xlfn.NORM.INV(RAND(),H48,H49/SQRT(H50))*NORMINV(RAND(),H62,H63/SQRT(H64)),H48*H62)</f>
        <v>0.17670000000000002</v>
      </c>
    </row>
    <row r="79" spans="2:10">
      <c r="B79" t="s">
        <v>413</v>
      </c>
      <c r="C79" s="258">
        <f t="shared" ref="C79:H79" ca="1" si="14">SUM(C77:C78)</f>
        <v>0.99690000000000012</v>
      </c>
      <c r="D79" s="258">
        <f t="shared" ca="1" si="14"/>
        <v>0.65328000000000008</v>
      </c>
      <c r="E79" s="258">
        <f t="shared" ca="1" si="14"/>
        <v>0.51414000000000004</v>
      </c>
      <c r="F79" s="258">
        <f t="shared" ca="1" si="14"/>
        <v>0.44569999999999999</v>
      </c>
      <c r="G79" s="258">
        <f t="shared" ca="1" si="14"/>
        <v>0.37790000000000001</v>
      </c>
      <c r="H79" s="258">
        <f t="shared" ca="1" si="14"/>
        <v>0.30670000000000003</v>
      </c>
    </row>
    <row r="80" spans="2:10">
      <c r="C80" s="3">
        <f t="shared" ref="C80:H80" si="15">SQRT(C37^2+C65^2)</f>
        <v>4.6476113501599851E-2</v>
      </c>
      <c r="D80" s="3">
        <f t="shared" si="15"/>
        <v>4.6526604422565059E-2</v>
      </c>
      <c r="E80" s="3">
        <f t="shared" si="15"/>
        <v>4.2946832487530139E-2</v>
      </c>
      <c r="F80" s="3">
        <f t="shared" si="15"/>
        <v>6.5699362630089478E-2</v>
      </c>
      <c r="G80" s="3">
        <f t="shared" si="15"/>
        <v>7.551903733496608E-2</v>
      </c>
      <c r="H80" s="3">
        <f t="shared" si="15"/>
        <v>6.7314560089181297E-2</v>
      </c>
    </row>
    <row r="81" spans="2:18">
      <c r="B81" t="s">
        <v>414</v>
      </c>
      <c r="C81" s="3"/>
      <c r="D81" s="3"/>
      <c r="E81" s="3"/>
      <c r="F81" s="3"/>
      <c r="G81" s="3"/>
      <c r="H81" s="3"/>
      <c r="M81" t="s">
        <v>117</v>
      </c>
      <c r="N81" t="s">
        <v>118</v>
      </c>
      <c r="O81" t="s">
        <v>444</v>
      </c>
      <c r="P81" t="s">
        <v>305</v>
      </c>
    </row>
    <row r="82" spans="2:18">
      <c r="B82" t="s">
        <v>117</v>
      </c>
      <c r="C82" s="258">
        <f ca="1">IF('Model | Parameters'!$I$3&lt;&gt;1,_xlfn.NORM.INV(RAND(),C38,C39/SQRT(C40)),C38)</f>
        <v>0.34</v>
      </c>
      <c r="D82" s="258">
        <f ca="1">IF('Model | Parameters'!$I$3&lt;&gt;1,_xlfn.NORM.INV(RAND(),D38,D39/SQRT(D40)),D38)</f>
        <v>0.2</v>
      </c>
      <c r="E82" s="258">
        <f ca="1">IF('Model | Parameters'!$I$3&lt;&gt;1,_xlfn.NORM.INV(RAND(),E38,E39/SQRT(E40)),E38)</f>
        <v>0.14000000000000001</v>
      </c>
      <c r="F82" s="258">
        <f ca="1">IF('Model | Parameters'!$I$3&lt;&gt;1,_xlfn.NORM.INV(RAND(),F38,F39/SQRT(F40)),F38)</f>
        <v>0</v>
      </c>
      <c r="G82" s="258">
        <f ca="1">IF('Model | Parameters'!$I$3&lt;&gt;1,_xlfn.NORM.INV(RAND(),G38,G39/SQRT(G40)),G38)</f>
        <v>4.0000000000000036E-2</v>
      </c>
      <c r="H82" s="258">
        <f ca="1">IF('Model | Parameters'!$I$3&lt;&gt;1,_xlfn.NORM.INV(RAND(),H38,H39/SQRT(H40)),H38)</f>
        <v>0</v>
      </c>
      <c r="K82" t="s">
        <v>323</v>
      </c>
    </row>
    <row r="83" spans="2:18">
      <c r="B83" t="s">
        <v>118</v>
      </c>
      <c r="C83" s="258">
        <f ca="1">IF('Model | Parameters'!$I$3&lt;&gt;1,_xlfn.NORM.INV(RAND(),C52,C53/SQRT(C54))*NORMINV(RAND(),C66,C67/SQRT(C68)),C52*C66)</f>
        <v>0.67235</v>
      </c>
      <c r="D83" s="258">
        <f ca="1">IF('Model | Parameters'!$I$3&lt;&gt;1,_xlfn.NORM.INV(RAND(),D52,D53/SQRT(D54))*NORMINV(RAND(),D66,D67/SQRT(D68)),D52*D66)</f>
        <v>0.33675000000000005</v>
      </c>
      <c r="E83" s="258">
        <f ca="1">IF('Model | Parameters'!$I$3&lt;&gt;1,_xlfn.NORM.INV(RAND(),E52,E53/SQRT(E54))*NORMINV(RAND(),E66,E67/SQRT(E68)),E52*E66)</f>
        <v>0.20250000000000001</v>
      </c>
      <c r="F83" s="258">
        <f ca="1">IF('Model | Parameters'!$I$3&lt;&gt;1,_xlfn.NORM.INV(RAND(),F52,F53/SQRT(F54))*NORMINV(RAND(),F66,F67/SQRT(F68)),F52*F66)</f>
        <v>0.13064999999999999</v>
      </c>
      <c r="G83" s="258">
        <f ca="1">IF('Model | Parameters'!$I$3&lt;&gt;1,_xlfn.NORM.INV(RAND(),G52,G53/SQRT(G54))*NORMINV(RAND(),G66,G67/SQRT(G68)),G52*G66)</f>
        <v>0.12284999999999999</v>
      </c>
      <c r="H83" s="258">
        <f ca="1">IF('Model | Parameters'!$I$3&lt;&gt;1,_xlfn.NORM.INV(RAND(),H52,H53/SQRT(H54))*NORMINV(RAND(),H66,H67/SQRT(H68)),H52*H66)</f>
        <v>4.4650000000000009E-2</v>
      </c>
      <c r="L83" t="s">
        <v>752</v>
      </c>
      <c r="M83" s="13">
        <f ca="1">C96</f>
        <v>94.180549450549464</v>
      </c>
      <c r="N83" s="13">
        <f ca="1">C97</f>
        <v>190.33032857142859</v>
      </c>
      <c r="O83" s="13">
        <f ca="1">C98</f>
        <v>284.51087802197804</v>
      </c>
      <c r="P83" s="13">
        <f>C99</f>
        <v>13.264078502747799</v>
      </c>
      <c r="Q83" s="83">
        <f>1.96*P83</f>
        <v>25.997593865385685</v>
      </c>
      <c r="R83" s="83">
        <f>1.96*P83</f>
        <v>25.997593865385685</v>
      </c>
    </row>
    <row r="84" spans="2:18">
      <c r="B84" t="s">
        <v>413</v>
      </c>
      <c r="C84" s="258">
        <f t="shared" ref="C84:H84" ca="1" si="16">SUM(C82:C83)</f>
        <v>1.0123500000000001</v>
      </c>
      <c r="D84" s="258">
        <f t="shared" ca="1" si="16"/>
        <v>0.53675000000000006</v>
      </c>
      <c r="E84" s="258">
        <f t="shared" ca="1" si="16"/>
        <v>0.34250000000000003</v>
      </c>
      <c r="F84" s="258">
        <f t="shared" ca="1" si="16"/>
        <v>0.13064999999999999</v>
      </c>
      <c r="G84" s="258">
        <f t="shared" ca="1" si="16"/>
        <v>0.16285000000000002</v>
      </c>
      <c r="H84" s="258">
        <f t="shared" ca="1" si="16"/>
        <v>4.4650000000000009E-2</v>
      </c>
      <c r="L84" t="s">
        <v>6</v>
      </c>
      <c r="M84" s="13">
        <f ca="1">C101</f>
        <v>97.03450549450551</v>
      </c>
      <c r="N84" s="13">
        <f ca="1">C102</f>
        <v>191.88573461538462</v>
      </c>
      <c r="O84" s="13">
        <f ca="1">C103</f>
        <v>288.92024010989013</v>
      </c>
      <c r="P84" s="13">
        <f>C104</f>
        <v>14.973302661895959</v>
      </c>
      <c r="Q84" s="83">
        <f>1.96*P84</f>
        <v>29.347673217316078</v>
      </c>
      <c r="R84" s="83">
        <f>1.96*P84</f>
        <v>29.347673217316078</v>
      </c>
    </row>
    <row r="85" spans="2:18">
      <c r="C85" s="3">
        <f t="shared" ref="C85:H85" si="17">SQRT(C41^2+C69^2)</f>
        <v>5.2465078057546195E-2</v>
      </c>
      <c r="D85" s="3">
        <f t="shared" si="17"/>
        <v>4.8093523607519256E-2</v>
      </c>
      <c r="E85" s="3">
        <f t="shared" si="17"/>
        <v>4.98577522010916E-2</v>
      </c>
      <c r="F85" s="3">
        <f t="shared" si="17"/>
        <v>8.827627501161911E-2</v>
      </c>
      <c r="G85" s="3">
        <f t="shared" si="17"/>
        <v>8.0036488029263206E-2</v>
      </c>
      <c r="H85" s="3">
        <f t="shared" si="17"/>
        <v>0.11361350798685996</v>
      </c>
      <c r="L85" t="s">
        <v>391</v>
      </c>
      <c r="M85" s="83">
        <f ca="1">C106</f>
        <v>2.8539560439560461</v>
      </c>
      <c r="N85" s="83">
        <f ca="1">C107</f>
        <v>1.555406043956026</v>
      </c>
      <c r="O85" s="83">
        <f ca="1">C108</f>
        <v>4.4093620879120863</v>
      </c>
      <c r="P85" s="83">
        <f>C109</f>
        <v>20.003388991163398</v>
      </c>
      <c r="Q85" s="83">
        <f>1.96*P85</f>
        <v>39.206642422680261</v>
      </c>
      <c r="R85" s="83">
        <f>1.96*P85</f>
        <v>39.206642422680261</v>
      </c>
    </row>
    <row r="86" spans="2:18">
      <c r="B86" t="s">
        <v>415</v>
      </c>
      <c r="C86" s="3"/>
      <c r="D86" s="3"/>
      <c r="E86" s="3"/>
      <c r="F86" s="3"/>
      <c r="G86" s="3"/>
      <c r="H86" s="3"/>
    </row>
    <row r="87" spans="2:18">
      <c r="B87" t="s">
        <v>117</v>
      </c>
      <c r="C87" s="258">
        <f t="shared" ref="C87:H88" ca="1" si="18">C82-C77</f>
        <v>1.0000000000000009E-2</v>
      </c>
      <c r="D87" s="258">
        <f t="shared" ca="1" si="18"/>
        <v>-0.03</v>
      </c>
      <c r="E87" s="258">
        <f t="shared" ca="1" si="18"/>
        <v>-7.0000000000000007E-2</v>
      </c>
      <c r="F87" s="258">
        <f t="shared" ca="1" si="18"/>
        <v>-0.13</v>
      </c>
      <c r="G87" s="258">
        <f t="shared" ca="1" si="18"/>
        <v>-8.9999999999999969E-2</v>
      </c>
      <c r="H87" s="258">
        <f t="shared" ca="1" si="18"/>
        <v>-0.13</v>
      </c>
      <c r="K87" t="s">
        <v>753</v>
      </c>
    </row>
    <row r="88" spans="2:18">
      <c r="B88" t="s">
        <v>118</v>
      </c>
      <c r="C88" s="258">
        <f t="shared" ca="1" si="18"/>
        <v>5.4499999999999549E-3</v>
      </c>
      <c r="D88" s="258">
        <f t="shared" ca="1" si="18"/>
        <v>-8.6529999999999996E-2</v>
      </c>
      <c r="E88" s="258">
        <f t="shared" ca="1" si="18"/>
        <v>-0.10164000000000001</v>
      </c>
      <c r="F88" s="258">
        <f t="shared" ca="1" si="18"/>
        <v>-0.18504999999999999</v>
      </c>
      <c r="G88" s="258">
        <f t="shared" ca="1" si="18"/>
        <v>-0.12505000000000002</v>
      </c>
      <c r="H88" s="258">
        <f t="shared" ca="1" si="18"/>
        <v>-0.13205</v>
      </c>
      <c r="L88" t="str">
        <f>L83</f>
        <v>PBO</v>
      </c>
      <c r="M88" s="13">
        <f ca="1">D96</f>
        <v>65.640989010989031</v>
      </c>
      <c r="N88" s="13">
        <f ca="1">D97</f>
        <v>120.80225142857145</v>
      </c>
      <c r="O88" s="13">
        <f ca="1">D98</f>
        <v>186.4432404395605</v>
      </c>
      <c r="P88" s="13">
        <f>D99</f>
        <v>13.278488389653155</v>
      </c>
      <c r="Q88" s="83">
        <f t="shared" ref="Q88:Q90" si="19">1.96*P88</f>
        <v>26.025837243720183</v>
      </c>
      <c r="R88" s="83">
        <f t="shared" ref="R88:R90" si="20">1.96*P88</f>
        <v>26.025837243720183</v>
      </c>
    </row>
    <row r="89" spans="2:18">
      <c r="B89" t="s">
        <v>413</v>
      </c>
      <c r="C89" s="258">
        <f t="shared" ref="C89:H89" ca="1" si="21">SUM(C87:C88)</f>
        <v>1.5449999999999964E-2</v>
      </c>
      <c r="D89" s="258">
        <f t="shared" ca="1" si="21"/>
        <v>-0.11652999999999999</v>
      </c>
      <c r="E89" s="258">
        <f t="shared" ca="1" si="21"/>
        <v>-0.17164000000000001</v>
      </c>
      <c r="F89" s="258">
        <f t="shared" ca="1" si="21"/>
        <v>-0.31505</v>
      </c>
      <c r="G89" s="258">
        <f t="shared" ca="1" si="21"/>
        <v>-0.21504999999999999</v>
      </c>
      <c r="H89" s="258">
        <f t="shared" ca="1" si="21"/>
        <v>-0.26205000000000001</v>
      </c>
      <c r="L89" t="str">
        <f>L84</f>
        <v>D50mg</v>
      </c>
      <c r="M89" s="13">
        <f ca="1">D101</f>
        <v>57.079120879120886</v>
      </c>
      <c r="N89" s="13">
        <f ca="1">D102</f>
        <v>96.106969780219799</v>
      </c>
      <c r="O89" s="13">
        <f ca="1">D103</f>
        <v>153.18609065934069</v>
      </c>
      <c r="P89" s="13">
        <f>D104</f>
        <v>13.725680237482226</v>
      </c>
      <c r="Q89" s="83">
        <f t="shared" si="19"/>
        <v>26.902333265465163</v>
      </c>
      <c r="R89" s="83">
        <f t="shared" si="20"/>
        <v>26.902333265465163</v>
      </c>
    </row>
    <row r="90" spans="2:18">
      <c r="C90" s="3">
        <f t="shared" ref="C90:G90" si="22">SQRT(C80^2+C85^2)</f>
        <v>7.0090038820063497E-2</v>
      </c>
      <c r="D90" s="3">
        <f t="shared" si="22"/>
        <v>6.6915707663304749E-2</v>
      </c>
      <c r="E90" s="3">
        <f t="shared" si="22"/>
        <v>6.5804451789050172E-2</v>
      </c>
      <c r="F90" s="3">
        <f t="shared" si="22"/>
        <v>0.11004138757725207</v>
      </c>
      <c r="G90" s="3">
        <f t="shared" si="22"/>
        <v>0.11004073980148621</v>
      </c>
      <c r="H90" s="3">
        <f>SQRT(H80^2+H85^2)</f>
        <v>0.13205786306418976</v>
      </c>
      <c r="L90" t="str">
        <f>L85</f>
        <v>Difference</v>
      </c>
      <c r="M90" s="83">
        <f ca="1">D106</f>
        <v>-8.5618681318681453</v>
      </c>
      <c r="N90" s="83">
        <f ca="1">D107</f>
        <v>-24.695281648351653</v>
      </c>
      <c r="O90" s="83">
        <f ca="1">D108</f>
        <v>-33.257149780219805</v>
      </c>
      <c r="P90" s="83">
        <f>D109</f>
        <v>19.097448832128432</v>
      </c>
      <c r="Q90" s="83">
        <f t="shared" si="19"/>
        <v>37.430999710971726</v>
      </c>
      <c r="R90" s="83">
        <f t="shared" si="20"/>
        <v>37.430999710971726</v>
      </c>
    </row>
    <row r="91" spans="2:18">
      <c r="C91" s="3"/>
      <c r="D91" s="182"/>
      <c r="E91" s="182"/>
      <c r="F91" s="182"/>
      <c r="G91" s="182"/>
      <c r="H91" s="182"/>
      <c r="I91" s="91"/>
      <c r="J91" s="91"/>
    </row>
    <row r="92" spans="2:18">
      <c r="K92" t="s">
        <v>754</v>
      </c>
    </row>
    <row r="93" spans="2:18">
      <c r="B93" t="s">
        <v>416</v>
      </c>
      <c r="L93" t="str">
        <f>L88</f>
        <v>PBO</v>
      </c>
      <c r="M93" s="13">
        <f ca="1">E96</f>
        <v>119.86615384615385</v>
      </c>
      <c r="N93" s="13">
        <f ca="1">E97</f>
        <v>173.60043824175827</v>
      </c>
      <c r="O93" s="13">
        <f ca="1">E98</f>
        <v>293.46659208791209</v>
      </c>
      <c r="P93" s="13">
        <f>E99</f>
        <v>12.256837214655443</v>
      </c>
      <c r="Q93" s="83">
        <f t="shared" ref="Q93:Q95" si="23">1.96*P93</f>
        <v>24.023400940724667</v>
      </c>
      <c r="R93" s="83">
        <f t="shared" ref="R93:R95" si="24">1.96*P93</f>
        <v>24.023400940724667</v>
      </c>
    </row>
    <row r="94" spans="2:18">
      <c r="L94" t="str">
        <f>L89</f>
        <v>D50mg</v>
      </c>
      <c r="M94" s="13">
        <f ca="1">E101</f>
        <v>79.910769230769233</v>
      </c>
      <c r="N94" s="13">
        <f ca="1">E102</f>
        <v>115.58521978021979</v>
      </c>
      <c r="O94" s="13">
        <f ca="1">E103</f>
        <v>195.49598901098904</v>
      </c>
      <c r="P94" s="13">
        <f>E104</f>
        <v>14.229183323236812</v>
      </c>
      <c r="Q94" s="83">
        <f t="shared" si="23"/>
        <v>27.88919931354415</v>
      </c>
      <c r="R94" s="83">
        <f t="shared" si="24"/>
        <v>27.88919931354415</v>
      </c>
    </row>
    <row r="95" spans="2:18">
      <c r="B95" t="s">
        <v>409</v>
      </c>
      <c r="D95" s="3"/>
      <c r="E95" s="3"/>
      <c r="F95" s="3"/>
      <c r="G95" s="3"/>
      <c r="H95" s="3"/>
      <c r="I95" t="s">
        <v>444</v>
      </c>
      <c r="L95" t="str">
        <f>L90</f>
        <v>Difference</v>
      </c>
      <c r="M95" s="83">
        <f ca="1">E106</f>
        <v>-39.955384615384617</v>
      </c>
      <c r="N95" s="83">
        <f ca="1">E107</f>
        <v>-58.015218461538481</v>
      </c>
      <c r="O95" s="83">
        <f ca="1">E108</f>
        <v>-97.970603076923055</v>
      </c>
      <c r="P95" s="83">
        <f>E109</f>
        <v>18.780301290257384</v>
      </c>
      <c r="Q95" s="83">
        <f t="shared" si="23"/>
        <v>36.809390528904473</v>
      </c>
      <c r="R95" s="83">
        <f t="shared" si="24"/>
        <v>36.809390528904473</v>
      </c>
    </row>
    <row r="96" spans="2:18" ht="19">
      <c r="B96" t="s">
        <v>117</v>
      </c>
      <c r="C96" s="259">
        <f ca="1">C77*255/52/7*4*7.5*hourlyWR</f>
        <v>94.180549450549464</v>
      </c>
      <c r="D96" s="259">
        <f ca="1">D77*255/52/7*4*7.5*hourlyWR</f>
        <v>65.640989010989031</v>
      </c>
      <c r="E96" s="259">
        <f ca="1">E77*255/52/7*8*7.5*hourlyWR</f>
        <v>119.86615384615385</v>
      </c>
      <c r="F96" s="259">
        <f t="shared" ref="F96:H97" ca="1" si="25">F77*255/52/7*12*7.5*hourlyWR</f>
        <v>111.30428571428571</v>
      </c>
      <c r="G96" s="259">
        <f t="shared" ca="1" si="25"/>
        <v>111.30428571428571</v>
      </c>
      <c r="H96" s="259">
        <f t="shared" ca="1" si="25"/>
        <v>111.30428571428571</v>
      </c>
      <c r="I96" s="260">
        <f ca="1">SUM(D96:H96)</f>
        <v>519.41999999999996</v>
      </c>
    </row>
    <row r="97" spans="2:21" ht="19">
      <c r="B97" t="s">
        <v>118</v>
      </c>
      <c r="C97" s="259">
        <f ca="1">C78*255/52/7*4*7.5*hourlyWR</f>
        <v>190.33032857142859</v>
      </c>
      <c r="D97" s="259">
        <f ca="1">D78*255/52/7*4*7.5*hourlyWR</f>
        <v>120.80225142857145</v>
      </c>
      <c r="E97" s="259">
        <f ca="1">E78*255/52/7*8*7.5*hourlyWR</f>
        <v>173.60043824175827</v>
      </c>
      <c r="F97" s="259">
        <f t="shared" ca="1" si="25"/>
        <v>270.29817692307694</v>
      </c>
      <c r="G97" s="259">
        <f t="shared" ca="1" si="25"/>
        <v>212.24871098901099</v>
      </c>
      <c r="H97" s="259">
        <f t="shared" ca="1" si="25"/>
        <v>151.28820989010993</v>
      </c>
      <c r="I97" s="260">
        <f ca="1">SUM(D97:H97)</f>
        <v>928.23778747252754</v>
      </c>
      <c r="K97" t="s">
        <v>756</v>
      </c>
    </row>
    <row r="98" spans="2:21" ht="19">
      <c r="B98" t="s">
        <v>417</v>
      </c>
      <c r="C98" s="260">
        <f t="shared" ref="C98:H98" ca="1" si="26">SUM(C96:C97)</f>
        <v>284.51087802197804</v>
      </c>
      <c r="D98" s="260">
        <f t="shared" ca="1" si="26"/>
        <v>186.4432404395605</v>
      </c>
      <c r="E98" s="260">
        <f t="shared" ca="1" si="26"/>
        <v>293.46659208791209</v>
      </c>
      <c r="F98" s="260">
        <f t="shared" ca="1" si="26"/>
        <v>381.60246263736263</v>
      </c>
      <c r="G98" s="260">
        <f t="shared" ca="1" si="26"/>
        <v>323.55299670329669</v>
      </c>
      <c r="H98" s="260">
        <f t="shared" ca="1" si="26"/>
        <v>262.59249560439565</v>
      </c>
      <c r="I98" s="260">
        <f ca="1">SUM(D98:H98)</f>
        <v>1447.6577874725276</v>
      </c>
      <c r="L98" t="str">
        <f>L93</f>
        <v>PBO</v>
      </c>
      <c r="M98" s="13">
        <f ca="1">F96</f>
        <v>111.30428571428571</v>
      </c>
      <c r="N98" s="13">
        <f ca="1">F97</f>
        <v>270.29817692307694</v>
      </c>
      <c r="O98" s="13">
        <f ca="1">F98</f>
        <v>381.60246263736263</v>
      </c>
      <c r="P98" s="13">
        <f>F99</f>
        <v>18.750309306220373</v>
      </c>
      <c r="Q98" s="83">
        <f t="shared" ref="Q98:Q100" si="27">1.96*P98</f>
        <v>36.750606240191928</v>
      </c>
      <c r="R98" s="83">
        <f t="shared" ref="R98:R100" si="28">1.96*P98</f>
        <v>36.750606240191928</v>
      </c>
    </row>
    <row r="99" spans="2:21">
      <c r="C99" s="9">
        <f t="shared" ref="C99:H99" si="29">C80*255/52/7*4*7.5*hourlyWR</f>
        <v>13.264078502747799</v>
      </c>
      <c r="D99" s="9">
        <f t="shared" si="29"/>
        <v>13.278488389653155</v>
      </c>
      <c r="E99" s="9">
        <f t="shared" si="29"/>
        <v>12.256837214655443</v>
      </c>
      <c r="F99" s="9">
        <f t="shared" si="29"/>
        <v>18.750309306220373</v>
      </c>
      <c r="G99" s="9">
        <f t="shared" si="29"/>
        <v>21.552801303586858</v>
      </c>
      <c r="H99" s="9">
        <f t="shared" si="29"/>
        <v>19.211279561276125</v>
      </c>
      <c r="L99" t="str">
        <f>L94</f>
        <v>D50mg</v>
      </c>
      <c r="M99" s="13">
        <f ca="1">F101</f>
        <v>0</v>
      </c>
      <c r="N99" s="13">
        <f ca="1">F102</f>
        <v>111.86080714285714</v>
      </c>
      <c r="O99" s="13">
        <f ca="1">F103</f>
        <v>111.86080714285714</v>
      </c>
      <c r="P99" s="13">
        <f>F104</f>
        <v>25.193660860733626</v>
      </c>
      <c r="Q99" s="83">
        <f t="shared" si="27"/>
        <v>49.379575287037909</v>
      </c>
      <c r="R99" s="83">
        <f t="shared" si="28"/>
        <v>49.379575287037909</v>
      </c>
    </row>
    <row r="100" spans="2:21">
      <c r="B100" t="s">
        <v>198</v>
      </c>
      <c r="D100" s="3"/>
      <c r="E100" s="3"/>
      <c r="F100" s="3"/>
      <c r="G100" s="3"/>
      <c r="H100" s="3"/>
      <c r="L100" t="str">
        <f>L95</f>
        <v>Difference</v>
      </c>
      <c r="M100" s="83">
        <f ca="1">F106</f>
        <v>-111.30428571428571</v>
      </c>
      <c r="N100" s="83">
        <f ca="1">F107</f>
        <v>-158.4373697802198</v>
      </c>
      <c r="O100" s="83">
        <f ca="1">F108</f>
        <v>-269.74165549450549</v>
      </c>
      <c r="P100" s="83">
        <f>F109</f>
        <v>31.405328316140807</v>
      </c>
      <c r="Q100" s="83">
        <f t="shared" si="27"/>
        <v>61.55444349963598</v>
      </c>
      <c r="R100" s="83">
        <f t="shared" si="28"/>
        <v>61.55444349963598</v>
      </c>
      <c r="T100" s="83">
        <f ca="1">O100-Q100</f>
        <v>-331.29609899414146</v>
      </c>
      <c r="U100" s="83">
        <f ca="1">O100+R100</f>
        <v>-208.18721199486953</v>
      </c>
    </row>
    <row r="101" spans="2:21" ht="19">
      <c r="B101" t="s">
        <v>117</v>
      </c>
      <c r="C101" s="259">
        <f ca="1">C82*255/52/7*4*7.5*hourlyWR</f>
        <v>97.03450549450551</v>
      </c>
      <c r="D101" s="259">
        <f ca="1">D82*255/52/7*4*7.5*hourlyWR</f>
        <v>57.079120879120886</v>
      </c>
      <c r="E101" s="259">
        <f ca="1">E82*255/52/7*8*7.5*hourlyWR</f>
        <v>79.910769230769233</v>
      </c>
      <c r="F101" s="259">
        <f t="shared" ref="F101:H102" ca="1" si="30">F82*255/52/7*12*7.5*hourlyWR</f>
        <v>0</v>
      </c>
      <c r="G101" s="259">
        <f t="shared" ca="1" si="30"/>
        <v>34.247472527472567</v>
      </c>
      <c r="H101" s="259">
        <f t="shared" ca="1" si="30"/>
        <v>0</v>
      </c>
      <c r="I101" s="260">
        <f ca="1">SUM(D101:H101)</f>
        <v>171.23736263736271</v>
      </c>
      <c r="M101" s="13"/>
      <c r="N101" s="13"/>
      <c r="O101" s="13"/>
    </row>
    <row r="102" spans="2:21" ht="19">
      <c r="B102" t="s">
        <v>118</v>
      </c>
      <c r="C102" s="259">
        <f ca="1">C83*255/52/7*4*7.5*hourlyWR</f>
        <v>191.88573461538462</v>
      </c>
      <c r="D102" s="259">
        <f ca="1">D83*255/52/7*4*7.5*hourlyWR</f>
        <v>96.106969780219799</v>
      </c>
      <c r="E102" s="259">
        <f ca="1">E83*255/52/7*8*7.5*hourlyWR</f>
        <v>115.58521978021979</v>
      </c>
      <c r="F102" s="259">
        <f t="shared" ca="1" si="30"/>
        <v>111.86080714285714</v>
      </c>
      <c r="G102" s="259">
        <f t="shared" ca="1" si="30"/>
        <v>105.18255000000001</v>
      </c>
      <c r="H102" s="259">
        <f t="shared" ca="1" si="30"/>
        <v>38.22874120879122</v>
      </c>
      <c r="I102" s="260">
        <f ca="1">SUM(D102:H102)</f>
        <v>466.96428791208797</v>
      </c>
    </row>
    <row r="103" spans="2:21" ht="19">
      <c r="B103" t="s">
        <v>417</v>
      </c>
      <c r="C103" s="260">
        <f t="shared" ref="C103:H103" ca="1" si="31">SUM(C101:C102)</f>
        <v>288.92024010989013</v>
      </c>
      <c r="D103" s="260">
        <f t="shared" ca="1" si="31"/>
        <v>153.18609065934069</v>
      </c>
      <c r="E103" s="260">
        <f t="shared" ca="1" si="31"/>
        <v>195.49598901098904</v>
      </c>
      <c r="F103" s="260">
        <f t="shared" ca="1" si="31"/>
        <v>111.86080714285714</v>
      </c>
      <c r="G103" s="260">
        <f t="shared" ca="1" si="31"/>
        <v>139.43002252747257</v>
      </c>
      <c r="H103" s="260">
        <f t="shared" ca="1" si="31"/>
        <v>38.22874120879122</v>
      </c>
      <c r="I103" s="260">
        <f ca="1">SUM(D103:H103)</f>
        <v>638.20165054945062</v>
      </c>
      <c r="K103" t="s">
        <v>757</v>
      </c>
      <c r="L103" t="str">
        <f>L98</f>
        <v>PBO</v>
      </c>
      <c r="M103" s="13">
        <f ca="1">G96</f>
        <v>111.30428571428571</v>
      </c>
      <c r="N103" s="13">
        <f ca="1">G97</f>
        <v>212.24871098901099</v>
      </c>
      <c r="O103" s="13">
        <f ca="1">G98</f>
        <v>323.55299670329669</v>
      </c>
      <c r="P103" s="13">
        <f>G99</f>
        <v>21.552801303586858</v>
      </c>
      <c r="Q103" s="83">
        <f t="shared" ref="Q103:Q105" si="32">1.96*P103</f>
        <v>42.243490555030242</v>
      </c>
      <c r="R103" s="83">
        <f t="shared" ref="R103:R105" si="33">1.96*P103</f>
        <v>42.243490555030242</v>
      </c>
      <c r="T103" s="83">
        <f t="shared" ref="T103:T105" ca="1" si="34">O103-Q103</f>
        <v>281.30950614826645</v>
      </c>
      <c r="U103" s="83">
        <f t="shared" ref="U103:U105" ca="1" si="35">O103+R103</f>
        <v>365.79648725832692</v>
      </c>
    </row>
    <row r="104" spans="2:21">
      <c r="C104" s="9">
        <f t="shared" ref="C104:H104" si="36">C85*255/52/7*4*7.5*hourlyWR</f>
        <v>14.973302661895959</v>
      </c>
      <c r="D104" s="9">
        <f t="shared" si="36"/>
        <v>13.725680237482226</v>
      </c>
      <c r="E104" s="9">
        <f t="shared" si="36"/>
        <v>14.229183323236812</v>
      </c>
      <c r="F104" s="9">
        <f t="shared" si="36"/>
        <v>25.193660860733626</v>
      </c>
      <c r="G104" s="9">
        <f t="shared" si="36"/>
        <v>22.842061874813126</v>
      </c>
      <c r="H104" s="9">
        <f t="shared" si="36"/>
        <v>32.42479577941473</v>
      </c>
      <c r="L104" t="str">
        <f>L99</f>
        <v>D50mg</v>
      </c>
      <c r="M104" s="13">
        <f ca="1">G101</f>
        <v>34.247472527472567</v>
      </c>
      <c r="N104" s="13">
        <f ca="1">G102</f>
        <v>105.18255000000001</v>
      </c>
      <c r="O104" s="13">
        <f ca="1">G103</f>
        <v>139.43002252747257</v>
      </c>
      <c r="P104" s="13">
        <f>G104</f>
        <v>22.842061874813126</v>
      </c>
      <c r="Q104" s="83">
        <f t="shared" si="32"/>
        <v>44.770441274633725</v>
      </c>
      <c r="R104" s="83">
        <f t="shared" si="33"/>
        <v>44.770441274633725</v>
      </c>
      <c r="T104" s="83">
        <f t="shared" ca="1" si="34"/>
        <v>94.659581252838848</v>
      </c>
      <c r="U104" s="83">
        <f t="shared" ca="1" si="35"/>
        <v>184.2004638021063</v>
      </c>
    </row>
    <row r="105" spans="2:21">
      <c r="B105" t="s">
        <v>391</v>
      </c>
      <c r="D105" s="3"/>
      <c r="E105" s="3"/>
      <c r="F105" s="3"/>
      <c r="G105" s="3"/>
      <c r="H105" s="3"/>
      <c r="L105" t="str">
        <f>L100</f>
        <v>Difference</v>
      </c>
      <c r="M105" s="83">
        <f ca="1">G106</f>
        <v>-77.056813186813145</v>
      </c>
      <c r="N105" s="83">
        <f ca="1">G107</f>
        <v>-107.06616098901098</v>
      </c>
      <c r="O105" s="83">
        <f ca="1">G108</f>
        <v>-184.12297417582411</v>
      </c>
      <c r="P105" s="83">
        <f>G109</f>
        <v>31.405143443784596</v>
      </c>
      <c r="Q105" s="83">
        <f t="shared" si="32"/>
        <v>61.554081149817804</v>
      </c>
      <c r="R105" s="83">
        <f t="shared" si="33"/>
        <v>61.554081149817804</v>
      </c>
      <c r="T105" s="83">
        <f t="shared" ca="1" si="34"/>
        <v>-245.6770553256419</v>
      </c>
      <c r="U105" s="83">
        <f t="shared" ca="1" si="35"/>
        <v>-122.56889302600631</v>
      </c>
    </row>
    <row r="106" spans="2:21" ht="19">
      <c r="B106" t="s">
        <v>117</v>
      </c>
      <c r="C106" s="261">
        <f t="shared" ref="C106:H106" ca="1" si="37">C101-C96</f>
        <v>2.8539560439560461</v>
      </c>
      <c r="D106" s="261">
        <f t="shared" ca="1" si="37"/>
        <v>-8.5618681318681453</v>
      </c>
      <c r="E106" s="261">
        <f t="shared" ca="1" si="37"/>
        <v>-39.955384615384617</v>
      </c>
      <c r="F106" s="261">
        <f t="shared" ca="1" si="37"/>
        <v>-111.30428571428571</v>
      </c>
      <c r="G106" s="261">
        <f t="shared" ca="1" si="37"/>
        <v>-77.056813186813145</v>
      </c>
      <c r="H106" s="261">
        <f t="shared" ca="1" si="37"/>
        <v>-111.30428571428571</v>
      </c>
      <c r="I106" s="260">
        <f ca="1">SUM(D106:H106)</f>
        <v>-348.18263736263731</v>
      </c>
    </row>
    <row r="107" spans="2:21" ht="19">
      <c r="B107" t="s">
        <v>118</v>
      </c>
      <c r="C107" s="261">
        <f t="shared" ref="C107:H107" ca="1" si="38">C102-C97</f>
        <v>1.555406043956026</v>
      </c>
      <c r="D107" s="261">
        <f t="shared" ca="1" si="38"/>
        <v>-24.695281648351653</v>
      </c>
      <c r="E107" s="261">
        <f t="shared" ca="1" si="38"/>
        <v>-58.015218461538481</v>
      </c>
      <c r="F107" s="261">
        <f t="shared" ca="1" si="38"/>
        <v>-158.4373697802198</v>
      </c>
      <c r="G107" s="261">
        <f t="shared" ca="1" si="38"/>
        <v>-107.06616098901098</v>
      </c>
      <c r="H107" s="261">
        <f t="shared" ca="1" si="38"/>
        <v>-113.05946868131871</v>
      </c>
      <c r="I107" s="260">
        <f ca="1">SUM(D107:H107)</f>
        <v>-461.27349956043963</v>
      </c>
      <c r="M107" s="13"/>
      <c r="N107" s="13"/>
      <c r="O107" s="13"/>
    </row>
    <row r="108" spans="2:21" ht="19">
      <c r="B108" t="s">
        <v>417</v>
      </c>
      <c r="C108" s="261">
        <f t="shared" ref="C108:H108" ca="1" si="39">C103-C98</f>
        <v>4.4093620879120863</v>
      </c>
      <c r="D108" s="261">
        <f t="shared" ca="1" si="39"/>
        <v>-33.257149780219805</v>
      </c>
      <c r="E108" s="261">
        <f t="shared" ca="1" si="39"/>
        <v>-97.970603076923055</v>
      </c>
      <c r="F108" s="261">
        <f t="shared" ca="1" si="39"/>
        <v>-269.74165549450549</v>
      </c>
      <c r="G108" s="261">
        <f t="shared" ca="1" si="39"/>
        <v>-184.12297417582411</v>
      </c>
      <c r="H108" s="261">
        <f t="shared" ca="1" si="39"/>
        <v>-224.36375439560442</v>
      </c>
      <c r="I108" s="260">
        <f ca="1">SUM(D108:H108)</f>
        <v>-809.45613692307688</v>
      </c>
      <c r="K108" t="s">
        <v>755</v>
      </c>
      <c r="L108" t="str">
        <f>L103</f>
        <v>PBO</v>
      </c>
      <c r="M108" s="13">
        <f ca="1">H96</f>
        <v>111.30428571428571</v>
      </c>
      <c r="N108" s="13">
        <f ca="1">H97</f>
        <v>151.28820989010993</v>
      </c>
      <c r="O108" s="13">
        <f ca="1">H98</f>
        <v>262.59249560439565</v>
      </c>
      <c r="P108" s="13">
        <f>H99</f>
        <v>19.211279561276125</v>
      </c>
      <c r="Q108" s="83">
        <f t="shared" ref="Q108:Q110" si="40">1.96*P108</f>
        <v>37.654107940101206</v>
      </c>
      <c r="R108" s="83">
        <f t="shared" ref="R108:R110" si="41">1.96*P108</f>
        <v>37.654107940101206</v>
      </c>
      <c r="T108" s="83">
        <f ca="1">O108-Q108</f>
        <v>224.93838766429445</v>
      </c>
      <c r="U108" s="83">
        <f ca="1">O108+R108</f>
        <v>300.24660354449685</v>
      </c>
    </row>
    <row r="109" spans="2:21">
      <c r="C109" s="181">
        <f t="shared" ref="C109:G109" si="42">C90*255/52/7*4*7.5*hourlyWR</f>
        <v>20.003388991163398</v>
      </c>
      <c r="D109" s="181">
        <f t="shared" si="42"/>
        <v>19.097448832128432</v>
      </c>
      <c r="E109" s="181">
        <f t="shared" si="42"/>
        <v>18.780301290257384</v>
      </c>
      <c r="F109" s="181">
        <f t="shared" si="42"/>
        <v>31.405328316140807</v>
      </c>
      <c r="G109" s="181">
        <f t="shared" si="42"/>
        <v>31.405143443784596</v>
      </c>
      <c r="H109" s="181">
        <f>H90*255/52/7*4*7.5*hourlyWR</f>
        <v>37.6887336443964</v>
      </c>
      <c r="L109" t="str">
        <f>L104</f>
        <v>D50mg</v>
      </c>
      <c r="M109" s="13">
        <f ca="1">H101</f>
        <v>0</v>
      </c>
      <c r="N109" s="13">
        <f ca="1">H102</f>
        <v>38.22874120879122</v>
      </c>
      <c r="O109" s="13">
        <f ca="1">H103</f>
        <v>38.22874120879122</v>
      </c>
      <c r="P109" s="13">
        <f>H104</f>
        <v>32.42479577941473</v>
      </c>
      <c r="Q109" s="83">
        <f t="shared" si="40"/>
        <v>63.552599727652868</v>
      </c>
      <c r="R109" s="83">
        <f t="shared" si="41"/>
        <v>63.552599727652868</v>
      </c>
      <c r="T109" s="83">
        <f t="shared" ref="T109:T110" ca="1" si="43">O109-Q109</f>
        <v>-25.323858518861648</v>
      </c>
      <c r="U109" s="83">
        <f t="shared" ref="U109:U110" ca="1" si="44">O109+R109</f>
        <v>101.78134093644408</v>
      </c>
    </row>
    <row r="110" spans="2:21">
      <c r="L110" t="str">
        <f>L105</f>
        <v>Difference</v>
      </c>
      <c r="M110" s="13">
        <f ca="1">H106</f>
        <v>-111.30428571428571</v>
      </c>
      <c r="N110" s="13">
        <f ca="1">H107</f>
        <v>-113.05946868131871</v>
      </c>
      <c r="O110" s="13">
        <f ca="1">H108</f>
        <v>-224.36375439560442</v>
      </c>
      <c r="P110" s="83">
        <f>H109</f>
        <v>37.6887336443964</v>
      </c>
      <c r="Q110" s="83">
        <f t="shared" si="40"/>
        <v>73.869917943016944</v>
      </c>
      <c r="R110" s="83">
        <f t="shared" si="41"/>
        <v>73.869917943016944</v>
      </c>
      <c r="T110" s="83">
        <f t="shared" ca="1" si="43"/>
        <v>-298.23367233862137</v>
      </c>
      <c r="U110" s="83">
        <f t="shared" ca="1" si="44"/>
        <v>-150.49383645258746</v>
      </c>
    </row>
    <row r="111" spans="2:21">
      <c r="D111" s="3"/>
      <c r="E111" s="3"/>
      <c r="F111" s="3"/>
      <c r="G111" s="3"/>
      <c r="H111" s="3"/>
    </row>
    <row r="114" spans="4:8">
      <c r="D114" s="3"/>
      <c r="E114" s="3"/>
      <c r="F114" s="3"/>
      <c r="G114" s="3"/>
      <c r="H114" s="3"/>
    </row>
    <row r="115" spans="4:8">
      <c r="D115" s="3"/>
      <c r="E115" s="3"/>
      <c r="F115" s="3"/>
      <c r="G115" s="3"/>
      <c r="H115" s="3"/>
    </row>
    <row r="120" spans="4:8">
      <c r="D120" s="3"/>
      <c r="E120" s="3"/>
      <c r="F120" s="3"/>
      <c r="G120" s="3"/>
      <c r="H120" s="3"/>
    </row>
    <row r="121" spans="4:8">
      <c r="D121" s="3"/>
      <c r="E121" s="3"/>
      <c r="F121" s="3"/>
      <c r="G121" s="3"/>
      <c r="H121" s="3"/>
    </row>
    <row r="124" spans="4:8">
      <c r="D124" s="9"/>
      <c r="E124" s="9"/>
      <c r="F124" s="9"/>
      <c r="G124" s="9"/>
      <c r="H124" s="9"/>
    </row>
    <row r="125" spans="4:8">
      <c r="D125" s="9"/>
      <c r="E125" s="9"/>
      <c r="F125" s="9"/>
      <c r="G125" s="9"/>
      <c r="H125" s="9"/>
    </row>
    <row r="126" spans="4:8">
      <c r="D126" s="9"/>
      <c r="E126" s="9"/>
      <c r="F126" s="9"/>
      <c r="G126" s="9"/>
      <c r="H126" s="9"/>
    </row>
    <row r="127" spans="4:8">
      <c r="D127" s="9"/>
      <c r="E127" s="9"/>
      <c r="F127" s="9"/>
      <c r="G127" s="9"/>
      <c r="H127" s="9"/>
    </row>
    <row r="128" spans="4:8">
      <c r="D128" s="9"/>
      <c r="E128" s="9"/>
      <c r="F128" s="9"/>
      <c r="G128" s="9"/>
      <c r="H128" s="9"/>
    </row>
    <row r="129" spans="4:17">
      <c r="D129" s="9"/>
      <c r="E129" s="9"/>
      <c r="F129" s="9"/>
      <c r="G129" s="9"/>
      <c r="H129" s="9"/>
    </row>
    <row r="130" spans="4:17">
      <c r="D130" s="13"/>
      <c r="E130" s="13"/>
      <c r="F130" s="13"/>
      <c r="G130" s="13"/>
      <c r="H130" s="13"/>
    </row>
    <row r="132" spans="4:17">
      <c r="D132" s="13"/>
      <c r="E132" s="13"/>
      <c r="F132" s="13"/>
      <c r="G132" s="13"/>
      <c r="H132" s="13"/>
      <c r="M132" s="13"/>
      <c r="N132" s="13"/>
      <c r="O132" s="13"/>
      <c r="P132" s="13"/>
      <c r="Q132" s="13"/>
    </row>
    <row r="134" spans="4:17">
      <c r="M134" s="83"/>
      <c r="N134" s="83"/>
      <c r="O134" s="83"/>
      <c r="P134" s="83"/>
      <c r="Q134" s="83"/>
    </row>
  </sheetData>
  <mergeCells count="9">
    <mergeCell ref="C22:N22"/>
    <mergeCell ref="C23:H23"/>
    <mergeCell ref="I23:N23"/>
    <mergeCell ref="C4:N4"/>
    <mergeCell ref="C5:H5"/>
    <mergeCell ref="I5:N5"/>
    <mergeCell ref="C13:N13"/>
    <mergeCell ref="C14:H14"/>
    <mergeCell ref="I14:N14"/>
  </mergeCells>
  <pageMargins left="0.7" right="0.7" top="0.75" bottom="0.75" header="0.3" footer="0.3"/>
  <pageSetup paperSize="9"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2311-AB78-E046-9351-7D1B8FC6BDF3}">
  <sheetPr codeName="Sheet16">
    <tabColor theme="3"/>
  </sheetPr>
  <dimension ref="B2:W59"/>
  <sheetViews>
    <sheetView topLeftCell="A61" zoomScaleNormal="100" workbookViewId="0">
      <selection activeCell="B3" sqref="B3"/>
    </sheetView>
  </sheetViews>
  <sheetFormatPr baseColWidth="10" defaultColWidth="11" defaultRowHeight="16"/>
  <cols>
    <col min="1" max="1" width="5" customWidth="1"/>
    <col min="2" max="2" width="22.1640625" customWidth="1"/>
    <col min="3" max="3" width="3.6640625" customWidth="1"/>
    <col min="5" max="7" width="11" bestFit="1" customWidth="1"/>
    <col min="8" max="8" width="25.1640625" customWidth="1"/>
    <col min="9" max="9" width="3.1640625" customWidth="1"/>
    <col min="10" max="11" width="11" bestFit="1" customWidth="1"/>
    <col min="12" max="12" width="4.1640625" customWidth="1"/>
    <col min="13" max="13" width="11" bestFit="1" customWidth="1"/>
    <col min="14" max="14" width="13" bestFit="1" customWidth="1"/>
    <col min="15" max="16" width="11.6640625" bestFit="1" customWidth="1"/>
    <col min="17" max="17" width="11" bestFit="1" customWidth="1"/>
    <col min="18" max="18" width="4.5" customWidth="1"/>
    <col min="19" max="19" width="11.1640625" bestFit="1" customWidth="1"/>
    <col min="20" max="22" width="11" bestFit="1" customWidth="1"/>
    <col min="23" max="23" width="11.1640625" bestFit="1" customWidth="1"/>
  </cols>
  <sheetData>
    <row r="2" spans="2:10" ht="19">
      <c r="B2" s="168" t="s">
        <v>733</v>
      </c>
    </row>
    <row r="4" spans="2:10">
      <c r="B4" s="203"/>
      <c r="C4" s="203"/>
      <c r="D4" s="306" t="s">
        <v>649</v>
      </c>
      <c r="E4" s="306"/>
      <c r="F4" s="306"/>
      <c r="G4" s="306"/>
      <c r="H4" s="306"/>
    </row>
    <row r="5" spans="2:10">
      <c r="B5" s="177" t="s">
        <v>650</v>
      </c>
      <c r="D5" s="177" t="s">
        <v>651</v>
      </c>
      <c r="E5" s="177" t="s">
        <v>652</v>
      </c>
      <c r="F5" s="177" t="s">
        <v>362</v>
      </c>
      <c r="G5" s="177" t="s">
        <v>653</v>
      </c>
      <c r="H5" s="177" t="s">
        <v>654</v>
      </c>
      <c r="J5" s="177" t="s">
        <v>697</v>
      </c>
    </row>
    <row r="6" spans="2:10">
      <c r="B6" t="s">
        <v>655</v>
      </c>
      <c r="F6" s="165">
        <v>0.01</v>
      </c>
      <c r="G6" s="181">
        <v>39.229999999999997</v>
      </c>
      <c r="H6" t="s">
        <v>656</v>
      </c>
      <c r="J6" t="s">
        <v>696</v>
      </c>
    </row>
    <row r="7" spans="2:10">
      <c r="B7" t="s">
        <v>657</v>
      </c>
      <c r="D7">
        <v>0.13</v>
      </c>
      <c r="E7">
        <v>4</v>
      </c>
      <c r="F7" s="165">
        <f>D7*E7/365</f>
        <v>1.4246575342465753E-3</v>
      </c>
      <c r="G7" s="181">
        <v>39.229999999999997</v>
      </c>
      <c r="H7" t="s">
        <v>658</v>
      </c>
      <c r="J7" t="s">
        <v>699</v>
      </c>
    </row>
    <row r="8" spans="2:10">
      <c r="B8" t="s">
        <v>659</v>
      </c>
      <c r="D8">
        <v>0</v>
      </c>
      <c r="E8">
        <v>1</v>
      </c>
      <c r="F8" s="165">
        <f>D8*E8/365</f>
        <v>0</v>
      </c>
      <c r="G8" s="181">
        <v>39.229999999999997</v>
      </c>
      <c r="H8" t="s">
        <v>660</v>
      </c>
      <c r="J8" t="s">
        <v>698</v>
      </c>
    </row>
    <row r="9" spans="2:10">
      <c r="B9" t="s">
        <v>661</v>
      </c>
      <c r="D9">
        <v>0.13</v>
      </c>
      <c r="E9">
        <v>4</v>
      </c>
      <c r="F9" s="165">
        <f>D9*E9/365</f>
        <v>1.4246575342465753E-3</v>
      </c>
      <c r="G9" s="181">
        <v>39.229999999999997</v>
      </c>
      <c r="H9" t="s">
        <v>662</v>
      </c>
      <c r="J9" t="s">
        <v>700</v>
      </c>
    </row>
    <row r="10" spans="2:10">
      <c r="B10" t="s">
        <v>663</v>
      </c>
      <c r="D10">
        <v>0.13</v>
      </c>
      <c r="E10">
        <v>4</v>
      </c>
      <c r="F10" s="165">
        <f>D10*E10/365</f>
        <v>1.4246575342465753E-3</v>
      </c>
      <c r="G10" s="181">
        <v>39.229999999999997</v>
      </c>
      <c r="H10" t="s">
        <v>662</v>
      </c>
      <c r="J10" t="s">
        <v>701</v>
      </c>
    </row>
    <row r="11" spans="2:10">
      <c r="B11" t="s">
        <v>664</v>
      </c>
      <c r="D11">
        <v>0.13</v>
      </c>
      <c r="E11">
        <v>4</v>
      </c>
      <c r="F11" s="165">
        <f>D11*E11/365</f>
        <v>1.4246575342465753E-3</v>
      </c>
      <c r="G11" s="181">
        <f>39.23+4</f>
        <v>43.23</v>
      </c>
      <c r="H11" t="s">
        <v>662</v>
      </c>
      <c r="J11" t="s">
        <v>702</v>
      </c>
    </row>
    <row r="12" spans="2:10">
      <c r="B12" t="s">
        <v>665</v>
      </c>
      <c r="D12">
        <v>0.13</v>
      </c>
      <c r="E12">
        <v>4</v>
      </c>
      <c r="F12" s="165">
        <f t="shared" ref="F12:F22" si="0">D12*E12/365</f>
        <v>1.4246575342465753E-3</v>
      </c>
      <c r="G12" s="181">
        <v>39.229999999999997</v>
      </c>
      <c r="H12" t="s">
        <v>662</v>
      </c>
      <c r="J12" t="s">
        <v>703</v>
      </c>
    </row>
    <row r="13" spans="2:10">
      <c r="B13" t="s">
        <v>666</v>
      </c>
      <c r="D13">
        <v>0.04</v>
      </c>
      <c r="E13">
        <v>90</v>
      </c>
      <c r="F13" s="165">
        <f>D13*E13/365*20%</f>
        <v>1.9726027397260273E-3</v>
      </c>
      <c r="G13" s="181">
        <f>39.23*80%+184.62*20%</f>
        <v>68.307999999999993</v>
      </c>
      <c r="H13" t="s">
        <v>711</v>
      </c>
      <c r="J13" t="s">
        <v>704</v>
      </c>
    </row>
    <row r="14" spans="2:10">
      <c r="B14" t="s">
        <v>667</v>
      </c>
      <c r="D14">
        <v>1</v>
      </c>
      <c r="E14">
        <v>1</v>
      </c>
      <c r="F14" s="165">
        <v>0.01</v>
      </c>
      <c r="G14" s="121">
        <f>39.23+6.21</f>
        <v>45.44</v>
      </c>
      <c r="H14" t="s">
        <v>668</v>
      </c>
      <c r="J14" t="s">
        <v>705</v>
      </c>
    </row>
    <row r="15" spans="2:10">
      <c r="B15" t="s">
        <v>669</v>
      </c>
      <c r="D15">
        <v>0.13</v>
      </c>
      <c r="E15">
        <v>4</v>
      </c>
      <c r="F15" s="165">
        <f t="shared" si="0"/>
        <v>1.4246575342465753E-3</v>
      </c>
      <c r="G15" s="121">
        <v>39.229999999999997</v>
      </c>
      <c r="H15" t="s">
        <v>662</v>
      </c>
      <c r="J15" t="s">
        <v>706</v>
      </c>
    </row>
    <row r="16" spans="2:10">
      <c r="B16" t="s">
        <v>670</v>
      </c>
      <c r="F16" s="165">
        <v>0.01</v>
      </c>
      <c r="G16" s="121">
        <f>G14</f>
        <v>45.44</v>
      </c>
      <c r="H16" t="s">
        <v>668</v>
      </c>
    </row>
    <row r="17" spans="2:23">
      <c r="B17" t="s">
        <v>671</v>
      </c>
      <c r="D17">
        <v>0.13</v>
      </c>
      <c r="E17">
        <v>4</v>
      </c>
      <c r="F17" s="165">
        <f t="shared" si="0"/>
        <v>1.4246575342465753E-3</v>
      </c>
      <c r="G17" s="121">
        <v>39.229999999999997</v>
      </c>
      <c r="H17" t="str">
        <f>H15</f>
        <v>Assumption (as for headache)</v>
      </c>
    </row>
    <row r="18" spans="2:23">
      <c r="B18" t="s">
        <v>672</v>
      </c>
      <c r="F18" s="165">
        <v>0.01</v>
      </c>
      <c r="G18" s="121">
        <f>G14</f>
        <v>45.44</v>
      </c>
      <c r="H18" t="s">
        <v>668</v>
      </c>
      <c r="J18" t="s">
        <v>707</v>
      </c>
    </row>
    <row r="19" spans="2:23">
      <c r="B19" t="s">
        <v>673</v>
      </c>
      <c r="F19" s="165">
        <v>0.01</v>
      </c>
      <c r="G19" s="121">
        <f>G14</f>
        <v>45.44</v>
      </c>
      <c r="H19" t="str">
        <f>H18</f>
        <v>Assumption (as for influenza)</v>
      </c>
      <c r="J19" t="s">
        <v>708</v>
      </c>
    </row>
    <row r="20" spans="2:23">
      <c r="B20" t="s">
        <v>674</v>
      </c>
      <c r="D20">
        <v>0.13</v>
      </c>
      <c r="E20">
        <v>4</v>
      </c>
      <c r="F20" s="165">
        <f t="shared" si="0"/>
        <v>1.4246575342465753E-3</v>
      </c>
      <c r="G20" s="121">
        <v>39.229999999999997</v>
      </c>
      <c r="H20" t="str">
        <f>H17</f>
        <v>Assumption (as for headache)</v>
      </c>
    </row>
    <row r="21" spans="2:23">
      <c r="B21" t="s">
        <v>675</v>
      </c>
      <c r="D21">
        <v>0.13</v>
      </c>
      <c r="E21">
        <v>4</v>
      </c>
      <c r="F21" s="165">
        <f t="shared" si="0"/>
        <v>1.4246575342465753E-3</v>
      </c>
      <c r="G21" s="121">
        <v>39.229999999999997</v>
      </c>
      <c r="H21" t="str">
        <f>H20</f>
        <v>Assumption (as for headache)</v>
      </c>
    </row>
    <row r="22" spans="2:23">
      <c r="B22" s="177" t="s">
        <v>676</v>
      </c>
      <c r="C22" s="177"/>
      <c r="D22" s="177">
        <v>0</v>
      </c>
      <c r="E22" s="177">
        <v>1</v>
      </c>
      <c r="F22" s="221">
        <f t="shared" si="0"/>
        <v>0</v>
      </c>
      <c r="G22" s="222">
        <v>39.229999999999997</v>
      </c>
      <c r="H22" s="177" t="str">
        <f>H8</f>
        <v>Assumption</v>
      </c>
    </row>
    <row r="25" spans="2:23">
      <c r="B25" t="s">
        <v>677</v>
      </c>
    </row>
    <row r="26" spans="2:23">
      <c r="D26" s="273" t="s">
        <v>678</v>
      </c>
      <c r="E26" s="273"/>
      <c r="F26" s="273"/>
      <c r="G26" s="273"/>
      <c r="H26" s="273"/>
      <c r="J26" s="273" t="s">
        <v>679</v>
      </c>
      <c r="K26" s="273"/>
      <c r="M26" s="273" t="s">
        <v>680</v>
      </c>
      <c r="N26" s="273"/>
      <c r="O26" s="273"/>
      <c r="P26" s="273"/>
      <c r="Q26" s="273"/>
      <c r="S26" s="273" t="s">
        <v>681</v>
      </c>
      <c r="T26" s="273"/>
      <c r="U26" s="273"/>
      <c r="V26" s="273"/>
      <c r="W26" s="273"/>
    </row>
    <row r="27" spans="2:23">
      <c r="B27" s="111" t="s">
        <v>682</v>
      </c>
      <c r="D27" s="219"/>
      <c r="E27" s="219">
        <v>310</v>
      </c>
      <c r="F27" s="219">
        <v>308</v>
      </c>
      <c r="G27" s="219">
        <v>309</v>
      </c>
      <c r="H27" s="219"/>
      <c r="J27" s="219"/>
      <c r="K27" s="219"/>
      <c r="M27" s="219"/>
      <c r="N27" s="219">
        <f t="shared" ref="N27:Q28" si="1">E27</f>
        <v>310</v>
      </c>
      <c r="O27" s="219">
        <f t="shared" si="1"/>
        <v>308</v>
      </c>
      <c r="P27" s="219">
        <f t="shared" si="1"/>
        <v>309</v>
      </c>
      <c r="Q27" s="219"/>
      <c r="S27" s="219"/>
      <c r="T27" s="219">
        <f t="shared" ref="T27:V28" si="2">N27</f>
        <v>310</v>
      </c>
      <c r="U27" s="219">
        <f t="shared" si="2"/>
        <v>308</v>
      </c>
      <c r="V27" s="219">
        <f t="shared" si="2"/>
        <v>309</v>
      </c>
      <c r="W27" s="219"/>
    </row>
    <row r="28" spans="2:23">
      <c r="B28" s="177" t="s">
        <v>683</v>
      </c>
      <c r="C28" s="177"/>
      <c r="D28" s="223" t="s">
        <v>684</v>
      </c>
      <c r="E28" s="223" t="s">
        <v>685</v>
      </c>
      <c r="F28" s="223" t="s">
        <v>686</v>
      </c>
      <c r="G28" s="223" t="s">
        <v>389</v>
      </c>
      <c r="H28" s="223" t="s">
        <v>687</v>
      </c>
      <c r="I28" s="177"/>
      <c r="J28" s="220" t="s">
        <v>362</v>
      </c>
      <c r="K28" s="220" t="s">
        <v>33</v>
      </c>
      <c r="L28" s="177"/>
      <c r="M28" s="177" t="str">
        <f>D28</f>
        <v>10mg</v>
      </c>
      <c r="N28" s="177" t="str">
        <f t="shared" si="1"/>
        <v>25mg</v>
      </c>
      <c r="O28" s="177" t="str">
        <f t="shared" si="1"/>
        <v>50mg</v>
      </c>
      <c r="P28" s="177" t="str">
        <f t="shared" si="1"/>
        <v>Placebo</v>
      </c>
      <c r="Q28" s="177" t="str">
        <f t="shared" si="1"/>
        <v>25mg (ex.PLB)</v>
      </c>
      <c r="R28" s="177"/>
      <c r="S28" s="177" t="str">
        <f>M28</f>
        <v>10mg</v>
      </c>
      <c r="T28" s="177" t="str">
        <f t="shared" si="2"/>
        <v>25mg</v>
      </c>
      <c r="U28" s="177" t="str">
        <f t="shared" si="2"/>
        <v>50mg</v>
      </c>
      <c r="V28" s="177" t="str">
        <f t="shared" si="2"/>
        <v>Placebo</v>
      </c>
      <c r="W28" s="177" t="str">
        <f>Q28</f>
        <v>25mg (ex.PLB)</v>
      </c>
    </row>
    <row r="29" spans="2:23">
      <c r="B29" t="s">
        <v>655</v>
      </c>
      <c r="E29">
        <v>21</v>
      </c>
      <c r="F29">
        <v>20</v>
      </c>
      <c r="G29">
        <v>20</v>
      </c>
      <c r="J29" s="165">
        <f>F6</f>
        <v>0.01</v>
      </c>
      <c r="K29" s="181">
        <f>G6</f>
        <v>39.229999999999997</v>
      </c>
      <c r="N29" s="165">
        <f>E29*$J29</f>
        <v>0.21</v>
      </c>
      <c r="O29" s="165">
        <f>F29*$J29</f>
        <v>0.2</v>
      </c>
      <c r="P29" s="165">
        <f>G29*$J29</f>
        <v>0.2</v>
      </c>
      <c r="S29" s="83"/>
      <c r="T29" s="9">
        <f t="shared" ref="T29:V37" si="3">E29*$K29</f>
        <v>823.82999999999993</v>
      </c>
      <c r="U29" s="9">
        <f t="shared" si="3"/>
        <v>784.59999999999991</v>
      </c>
      <c r="V29" s="9">
        <f t="shared" si="3"/>
        <v>784.59999999999991</v>
      </c>
      <c r="W29" s="83"/>
    </row>
    <row r="30" spans="2:23">
      <c r="B30" t="s">
        <v>657</v>
      </c>
      <c r="E30">
        <v>16</v>
      </c>
      <c r="F30">
        <v>19</v>
      </c>
      <c r="G30">
        <v>12</v>
      </c>
      <c r="J30" s="165">
        <f>F7</f>
        <v>1.4246575342465753E-3</v>
      </c>
      <c r="K30" s="181">
        <f t="shared" ref="K30:K37" si="4">G7</f>
        <v>39.229999999999997</v>
      </c>
      <c r="N30" s="165">
        <f t="shared" ref="N30:P37" si="5">E30*$J30</f>
        <v>2.2794520547945205E-2</v>
      </c>
      <c r="O30" s="165">
        <f>F30*$J30</f>
        <v>2.7068493150684932E-2</v>
      </c>
      <c r="P30" s="165">
        <f t="shared" si="5"/>
        <v>1.7095890410958905E-2</v>
      </c>
      <c r="S30" s="83"/>
      <c r="T30" s="9">
        <f t="shared" si="3"/>
        <v>627.67999999999995</v>
      </c>
      <c r="U30" s="9">
        <f t="shared" si="3"/>
        <v>745.36999999999989</v>
      </c>
      <c r="V30" s="9">
        <f t="shared" si="3"/>
        <v>470.76</v>
      </c>
      <c r="W30" s="83"/>
    </row>
    <row r="31" spans="2:23">
      <c r="B31" t="s">
        <v>659</v>
      </c>
      <c r="E31">
        <v>4</v>
      </c>
      <c r="F31">
        <v>8</v>
      </c>
      <c r="G31">
        <v>5</v>
      </c>
      <c r="J31" s="165">
        <f t="shared" ref="J31:J37" si="6">F8</f>
        <v>0</v>
      </c>
      <c r="K31" s="181">
        <f t="shared" si="4"/>
        <v>39.229999999999997</v>
      </c>
      <c r="N31" s="165">
        <f t="shared" si="5"/>
        <v>0</v>
      </c>
      <c r="O31" s="165">
        <f>F31*$J31</f>
        <v>0</v>
      </c>
      <c r="P31" s="165">
        <f>G31*$J31</f>
        <v>0</v>
      </c>
      <c r="S31" s="83"/>
      <c r="T31" s="9">
        <f t="shared" si="3"/>
        <v>156.91999999999999</v>
      </c>
      <c r="U31" s="9">
        <f t="shared" si="3"/>
        <v>313.83999999999997</v>
      </c>
      <c r="V31" s="9">
        <f t="shared" si="3"/>
        <v>196.14999999999998</v>
      </c>
      <c r="W31" s="83"/>
    </row>
    <row r="32" spans="2:23">
      <c r="B32" t="s">
        <v>661</v>
      </c>
      <c r="E32">
        <v>7</v>
      </c>
      <c r="F32">
        <v>7</v>
      </c>
      <c r="G32">
        <v>2</v>
      </c>
      <c r="J32" s="165">
        <f t="shared" si="6"/>
        <v>1.4246575342465753E-3</v>
      </c>
      <c r="K32" s="181">
        <f t="shared" si="4"/>
        <v>39.229999999999997</v>
      </c>
      <c r="N32" s="165">
        <f t="shared" si="5"/>
        <v>9.9726027397260275E-3</v>
      </c>
      <c r="O32" s="165">
        <f t="shared" si="5"/>
        <v>9.9726027397260275E-3</v>
      </c>
      <c r="P32" s="165">
        <f t="shared" si="5"/>
        <v>2.8493150684931507E-3</v>
      </c>
      <c r="S32" s="83"/>
      <c r="T32" s="9">
        <f t="shared" si="3"/>
        <v>274.60999999999996</v>
      </c>
      <c r="U32" s="9">
        <f t="shared" si="3"/>
        <v>274.60999999999996</v>
      </c>
      <c r="V32" s="9">
        <f t="shared" si="3"/>
        <v>78.459999999999994</v>
      </c>
      <c r="W32" s="83"/>
    </row>
    <row r="33" spans="2:23">
      <c r="B33" t="s">
        <v>663</v>
      </c>
      <c r="E33">
        <v>6</v>
      </c>
      <c r="F33">
        <v>7</v>
      </c>
      <c r="G33">
        <v>2</v>
      </c>
      <c r="J33" s="165">
        <f t="shared" si="6"/>
        <v>1.4246575342465753E-3</v>
      </c>
      <c r="K33" s="181">
        <f t="shared" si="4"/>
        <v>39.229999999999997</v>
      </c>
      <c r="N33" s="165">
        <f t="shared" si="5"/>
        <v>8.5479452054794524E-3</v>
      </c>
      <c r="O33" s="165">
        <f t="shared" si="5"/>
        <v>9.9726027397260275E-3</v>
      </c>
      <c r="P33" s="165">
        <f t="shared" si="5"/>
        <v>2.8493150684931507E-3</v>
      </c>
      <c r="S33" s="83"/>
      <c r="T33" s="9">
        <f t="shared" si="3"/>
        <v>235.38</v>
      </c>
      <c r="U33" s="9">
        <f t="shared" si="3"/>
        <v>274.60999999999996</v>
      </c>
      <c r="V33" s="9">
        <f t="shared" si="3"/>
        <v>78.459999999999994</v>
      </c>
      <c r="W33" s="83"/>
    </row>
    <row r="34" spans="2:23">
      <c r="B34" t="s">
        <v>664</v>
      </c>
      <c r="E34">
        <v>1</v>
      </c>
      <c r="F34">
        <v>7</v>
      </c>
      <c r="G34">
        <v>3</v>
      </c>
      <c r="J34" s="165">
        <f>F11</f>
        <v>1.4246575342465753E-3</v>
      </c>
      <c r="K34" s="181">
        <f t="shared" si="4"/>
        <v>43.23</v>
      </c>
      <c r="N34" s="165">
        <f t="shared" si="5"/>
        <v>1.4246575342465753E-3</v>
      </c>
      <c r="O34" s="165">
        <f t="shared" si="5"/>
        <v>9.9726027397260275E-3</v>
      </c>
      <c r="P34" s="165">
        <f t="shared" si="5"/>
        <v>4.2739726027397262E-3</v>
      </c>
      <c r="S34" s="83"/>
      <c r="T34" s="9">
        <f t="shared" si="3"/>
        <v>43.23</v>
      </c>
      <c r="U34" s="9">
        <f t="shared" si="3"/>
        <v>302.60999999999996</v>
      </c>
      <c r="V34" s="9">
        <f t="shared" si="3"/>
        <v>129.69</v>
      </c>
      <c r="W34" s="83"/>
    </row>
    <row r="35" spans="2:23">
      <c r="B35" t="s">
        <v>665</v>
      </c>
      <c r="E35">
        <v>11</v>
      </c>
      <c r="F35">
        <v>5</v>
      </c>
      <c r="G35">
        <v>6</v>
      </c>
      <c r="J35" s="165">
        <f t="shared" si="6"/>
        <v>1.4246575342465753E-3</v>
      </c>
      <c r="K35" s="181">
        <f t="shared" si="4"/>
        <v>39.229999999999997</v>
      </c>
      <c r="N35" s="165">
        <f t="shared" si="5"/>
        <v>1.5671232876712328E-2</v>
      </c>
      <c r="O35" s="165">
        <f t="shared" si="5"/>
        <v>7.1232876712328764E-3</v>
      </c>
      <c r="P35" s="165">
        <f t="shared" si="5"/>
        <v>8.5479452054794524E-3</v>
      </c>
      <c r="S35" s="83"/>
      <c r="T35" s="9">
        <f t="shared" si="3"/>
        <v>431.53</v>
      </c>
      <c r="U35" s="9">
        <f t="shared" si="3"/>
        <v>196.14999999999998</v>
      </c>
      <c r="V35" s="9">
        <f t="shared" si="3"/>
        <v>235.38</v>
      </c>
      <c r="W35" s="83"/>
    </row>
    <row r="36" spans="2:23">
      <c r="B36" t="s">
        <v>666</v>
      </c>
      <c r="E36">
        <v>1</v>
      </c>
      <c r="F36">
        <v>1</v>
      </c>
      <c r="G36">
        <v>8</v>
      </c>
      <c r="J36" s="165">
        <f t="shared" si="6"/>
        <v>1.9726027397260273E-3</v>
      </c>
      <c r="K36" s="181">
        <f t="shared" si="4"/>
        <v>68.307999999999993</v>
      </c>
      <c r="N36" s="165">
        <f t="shared" si="5"/>
        <v>1.9726027397260273E-3</v>
      </c>
      <c r="O36" s="165">
        <f>F36*$J36</f>
        <v>1.9726027397260273E-3</v>
      </c>
      <c r="P36" s="165">
        <f t="shared" si="5"/>
        <v>1.5780821917808219E-2</v>
      </c>
      <c r="S36" s="83"/>
      <c r="T36" s="9">
        <f t="shared" si="3"/>
        <v>68.307999999999993</v>
      </c>
      <c r="U36" s="9">
        <f t="shared" si="3"/>
        <v>68.307999999999993</v>
      </c>
      <c r="V36" s="9">
        <f t="shared" si="3"/>
        <v>546.46399999999994</v>
      </c>
      <c r="W36" s="83"/>
    </row>
    <row r="37" spans="2:23">
      <c r="B37" s="177" t="s">
        <v>667</v>
      </c>
      <c r="C37" s="177"/>
      <c r="D37" s="177"/>
      <c r="E37" s="177">
        <v>1</v>
      </c>
      <c r="F37" s="177">
        <v>1</v>
      </c>
      <c r="G37" s="177">
        <v>3</v>
      </c>
      <c r="H37" s="177"/>
      <c r="I37" s="177"/>
      <c r="J37" s="221">
        <f t="shared" si="6"/>
        <v>0.01</v>
      </c>
      <c r="K37" s="222">
        <f t="shared" si="4"/>
        <v>45.44</v>
      </c>
      <c r="L37" s="177"/>
      <c r="M37" s="177"/>
      <c r="N37" s="221">
        <f t="shared" si="5"/>
        <v>0.01</v>
      </c>
      <c r="O37" s="221">
        <f t="shared" si="5"/>
        <v>0.01</v>
      </c>
      <c r="P37" s="221">
        <f t="shared" si="5"/>
        <v>0.03</v>
      </c>
      <c r="Q37" s="177"/>
      <c r="R37" s="177"/>
      <c r="S37" s="224"/>
      <c r="T37" s="200">
        <f t="shared" si="3"/>
        <v>45.44</v>
      </c>
      <c r="U37" s="200">
        <f t="shared" si="3"/>
        <v>45.44</v>
      </c>
      <c r="V37" s="200">
        <f t="shared" si="3"/>
        <v>136.32</v>
      </c>
      <c r="W37" s="224"/>
    </row>
    <row r="38" spans="2:23">
      <c r="B38" s="111" t="s">
        <v>444</v>
      </c>
      <c r="E38">
        <f>SUM(E29:E37)</f>
        <v>68</v>
      </c>
      <c r="F38">
        <f>SUM(F29:F37)</f>
        <v>75</v>
      </c>
      <c r="G38">
        <f>SUM(G29:G37)</f>
        <v>61</v>
      </c>
      <c r="N38" s="165">
        <f>SUM(N29:N37)/N27</f>
        <v>9.0446310207688925E-4</v>
      </c>
      <c r="O38" s="165">
        <f>SUM(O29:O37)/O27</f>
        <v>8.9637075253513616E-4</v>
      </c>
      <c r="P38" s="165">
        <f>SUM(P29:P37)/P27</f>
        <v>9.1067074522321228E-4</v>
      </c>
      <c r="S38" s="83"/>
      <c r="T38" s="181">
        <f>SUM(T29:T37)/T27</f>
        <v>8.7320258064516114</v>
      </c>
      <c r="U38" s="181">
        <f>SUM(U29:U37)/U27</f>
        <v>9.7582402597402602</v>
      </c>
      <c r="V38" s="181">
        <f>SUM(V29:V37)/V27</f>
        <v>8.5963883495145641</v>
      </c>
      <c r="W38" s="83"/>
    </row>
    <row r="39" spans="2:23">
      <c r="B39" s="111" t="s">
        <v>688</v>
      </c>
      <c r="E39">
        <f>E38-$G38</f>
        <v>7</v>
      </c>
      <c r="F39">
        <f>F38-$G38</f>
        <v>14</v>
      </c>
      <c r="G39">
        <f>G38-$G38</f>
        <v>0</v>
      </c>
      <c r="N39" s="165">
        <f>N38-$P38</f>
        <v>-6.2076431463230263E-6</v>
      </c>
      <c r="O39" s="165">
        <f>O38-$P38</f>
        <v>-1.4299992688076115E-5</v>
      </c>
      <c r="P39" s="165">
        <f>P38-$P38</f>
        <v>0</v>
      </c>
      <c r="S39" s="83"/>
      <c r="T39" s="181">
        <f>T38-$V38</f>
        <v>0.13563745693704732</v>
      </c>
      <c r="U39" s="181">
        <f>U38-$V38</f>
        <v>1.1618519102256961</v>
      </c>
      <c r="V39" s="181">
        <f>V38-$V38</f>
        <v>0</v>
      </c>
      <c r="W39" s="83"/>
    </row>
    <row r="41" spans="2:23">
      <c r="D41" s="273" t="s">
        <v>678</v>
      </c>
      <c r="E41" s="273"/>
      <c r="F41" s="273"/>
      <c r="G41" s="273"/>
      <c r="H41" s="273"/>
      <c r="J41" s="273" t="s">
        <v>679</v>
      </c>
      <c r="K41" s="273"/>
      <c r="M41" s="273" t="s">
        <v>680</v>
      </c>
      <c r="N41" s="273"/>
      <c r="O41" s="273"/>
      <c r="P41" s="273"/>
      <c r="Q41" s="273"/>
      <c r="S41" s="273" t="s">
        <v>681</v>
      </c>
      <c r="T41" s="273"/>
      <c r="U41" s="273"/>
      <c r="V41" s="273"/>
      <c r="W41" s="273"/>
    </row>
    <row r="42" spans="2:23">
      <c r="B42" s="111" t="s">
        <v>682</v>
      </c>
      <c r="D42" s="219">
        <v>142</v>
      </c>
      <c r="E42" s="219">
        <v>268</v>
      </c>
      <c r="F42" s="219">
        <v>137</v>
      </c>
      <c r="G42" s="219">
        <v>128</v>
      </c>
      <c r="H42" s="219">
        <v>126</v>
      </c>
      <c r="J42" s="219"/>
      <c r="K42" s="219"/>
      <c r="M42" s="219">
        <f>D42</f>
        <v>142</v>
      </c>
      <c r="N42" s="219">
        <f t="shared" ref="N42:Q43" si="7">E42</f>
        <v>268</v>
      </c>
      <c r="O42" s="219">
        <f t="shared" si="7"/>
        <v>137</v>
      </c>
      <c r="P42" s="219">
        <f t="shared" si="7"/>
        <v>128</v>
      </c>
      <c r="Q42" s="219">
        <f t="shared" si="7"/>
        <v>126</v>
      </c>
      <c r="S42" s="219">
        <f>M42</f>
        <v>142</v>
      </c>
      <c r="T42" s="219">
        <f t="shared" ref="T42:W43" si="8">N42</f>
        <v>268</v>
      </c>
      <c r="U42" s="219">
        <f t="shared" si="8"/>
        <v>137</v>
      </c>
      <c r="V42" s="219">
        <f t="shared" si="8"/>
        <v>128</v>
      </c>
      <c r="W42" s="219">
        <f t="shared" si="8"/>
        <v>126</v>
      </c>
    </row>
    <row r="43" spans="2:23">
      <c r="B43" s="177" t="s">
        <v>689</v>
      </c>
      <c r="C43" s="177"/>
      <c r="D43" s="223" t="s">
        <v>684</v>
      </c>
      <c r="E43" s="223" t="s">
        <v>685</v>
      </c>
      <c r="F43" s="223" t="s">
        <v>686</v>
      </c>
      <c r="G43" s="223" t="s">
        <v>389</v>
      </c>
      <c r="H43" s="223" t="s">
        <v>687</v>
      </c>
      <c r="I43" s="177"/>
      <c r="J43" s="220" t="s">
        <v>362</v>
      </c>
      <c r="K43" s="220" t="s">
        <v>33</v>
      </c>
      <c r="L43" s="177"/>
      <c r="M43" s="177" t="str">
        <f>D43</f>
        <v>10mg</v>
      </c>
      <c r="N43" s="177" t="str">
        <f t="shared" si="7"/>
        <v>25mg</v>
      </c>
      <c r="O43" s="177" t="str">
        <f t="shared" si="7"/>
        <v>50mg</v>
      </c>
      <c r="P43" s="177" t="str">
        <f t="shared" si="7"/>
        <v>Placebo</v>
      </c>
      <c r="Q43" s="177" t="str">
        <f t="shared" si="7"/>
        <v>25mg (ex.PLB)</v>
      </c>
      <c r="R43" s="177"/>
      <c r="S43" s="177" t="str">
        <f>M43</f>
        <v>10mg</v>
      </c>
      <c r="T43" s="177" t="str">
        <f t="shared" si="8"/>
        <v>25mg</v>
      </c>
      <c r="U43" s="177" t="str">
        <f t="shared" si="8"/>
        <v>50mg</v>
      </c>
      <c r="V43" s="177" t="str">
        <f t="shared" si="8"/>
        <v>Placebo</v>
      </c>
      <c r="W43" s="177" t="str">
        <f>Q43</f>
        <v>25mg (ex.PLB)</v>
      </c>
    </row>
    <row r="44" spans="2:23">
      <c r="B44" t="e">
        <f>#REF!</f>
        <v>#REF!</v>
      </c>
      <c r="D44">
        <v>7</v>
      </c>
      <c r="E44">
        <v>13</v>
      </c>
      <c r="F44">
        <v>11</v>
      </c>
      <c r="G44">
        <v>6</v>
      </c>
      <c r="H44">
        <v>11</v>
      </c>
      <c r="J44" s="165">
        <f>F6</f>
        <v>0.01</v>
      </c>
      <c r="K44" s="181">
        <f>G6</f>
        <v>39.229999999999997</v>
      </c>
      <c r="M44" s="165">
        <f>D44*$J44</f>
        <v>7.0000000000000007E-2</v>
      </c>
      <c r="N44" s="165">
        <f t="shared" ref="N44:Q57" si="9">E44*$J44</f>
        <v>0.13</v>
      </c>
      <c r="O44" s="165">
        <f t="shared" si="9"/>
        <v>0.11</v>
      </c>
      <c r="P44" s="165">
        <f t="shared" si="9"/>
        <v>0.06</v>
      </c>
      <c r="Q44" s="165">
        <f t="shared" si="9"/>
        <v>0.11</v>
      </c>
      <c r="S44" s="13">
        <f>D44*$K44</f>
        <v>274.60999999999996</v>
      </c>
      <c r="T44" s="13">
        <f t="shared" ref="T44:W57" si="10">E44*$K44</f>
        <v>509.98999999999995</v>
      </c>
      <c r="U44" s="13">
        <f t="shared" si="10"/>
        <v>431.53</v>
      </c>
      <c r="V44" s="13">
        <f t="shared" si="10"/>
        <v>235.38</v>
      </c>
      <c r="W44" s="13">
        <f t="shared" si="10"/>
        <v>431.53</v>
      </c>
    </row>
    <row r="45" spans="2:23">
      <c r="B45" t="s">
        <v>659</v>
      </c>
      <c r="D45">
        <v>4</v>
      </c>
      <c r="E45">
        <v>3</v>
      </c>
      <c r="F45">
        <v>4</v>
      </c>
      <c r="G45">
        <v>0</v>
      </c>
      <c r="H45">
        <v>4</v>
      </c>
      <c r="J45" s="165">
        <f>F8</f>
        <v>0</v>
      </c>
      <c r="K45" s="181">
        <f>G8</f>
        <v>39.229999999999997</v>
      </c>
      <c r="M45" s="165">
        <f t="shared" ref="M45:M57" si="11">D45*$J45</f>
        <v>0</v>
      </c>
      <c r="N45" s="165">
        <f t="shared" si="9"/>
        <v>0</v>
      </c>
      <c r="O45" s="165">
        <f t="shared" si="9"/>
        <v>0</v>
      </c>
      <c r="P45" s="165">
        <f t="shared" si="9"/>
        <v>0</v>
      </c>
      <c r="Q45" s="165">
        <f t="shared" si="9"/>
        <v>0</v>
      </c>
      <c r="S45" s="13">
        <f t="shared" ref="S45:S57" si="12">D45*$K45</f>
        <v>156.91999999999999</v>
      </c>
      <c r="T45" s="13">
        <f t="shared" si="10"/>
        <v>117.69</v>
      </c>
      <c r="U45" s="13">
        <f t="shared" si="10"/>
        <v>156.91999999999999</v>
      </c>
      <c r="V45" s="13">
        <f t="shared" si="10"/>
        <v>0</v>
      </c>
      <c r="W45" s="13">
        <f t="shared" si="10"/>
        <v>156.91999999999999</v>
      </c>
    </row>
    <row r="46" spans="2:23">
      <c r="B46" t="s">
        <v>665</v>
      </c>
      <c r="D46">
        <v>0</v>
      </c>
      <c r="E46">
        <v>2</v>
      </c>
      <c r="F46">
        <v>4</v>
      </c>
      <c r="G46">
        <v>0</v>
      </c>
      <c r="H46">
        <v>1</v>
      </c>
      <c r="J46" s="165">
        <f>F12</f>
        <v>1.4246575342465753E-3</v>
      </c>
      <c r="K46" s="181">
        <f>G12</f>
        <v>39.229999999999997</v>
      </c>
      <c r="M46" s="165">
        <f t="shared" si="11"/>
        <v>0</v>
      </c>
      <c r="N46" s="165">
        <f t="shared" si="9"/>
        <v>2.8493150684931507E-3</v>
      </c>
      <c r="O46" s="165">
        <f t="shared" si="9"/>
        <v>5.6986301369863013E-3</v>
      </c>
      <c r="P46" s="165">
        <f t="shared" si="9"/>
        <v>0</v>
      </c>
      <c r="Q46" s="165">
        <f t="shared" si="9"/>
        <v>1.4246575342465753E-3</v>
      </c>
      <c r="S46" s="13">
        <f t="shared" si="12"/>
        <v>0</v>
      </c>
      <c r="T46" s="13">
        <f t="shared" si="10"/>
        <v>78.459999999999994</v>
      </c>
      <c r="U46" s="13">
        <f t="shared" si="10"/>
        <v>156.91999999999999</v>
      </c>
      <c r="V46" s="13">
        <f t="shared" si="10"/>
        <v>0</v>
      </c>
      <c r="W46" s="13">
        <f t="shared" si="10"/>
        <v>39.229999999999997</v>
      </c>
    </row>
    <row r="47" spans="2:23">
      <c r="B47" t="s">
        <v>666</v>
      </c>
      <c r="D47">
        <v>2</v>
      </c>
      <c r="E47">
        <v>6</v>
      </c>
      <c r="F47">
        <v>3</v>
      </c>
      <c r="G47">
        <v>2</v>
      </c>
      <c r="H47">
        <v>1</v>
      </c>
      <c r="J47" s="165">
        <f>F13</f>
        <v>1.9726027397260273E-3</v>
      </c>
      <c r="K47" s="181">
        <f>G13</f>
        <v>68.307999999999993</v>
      </c>
      <c r="M47" s="165">
        <f t="shared" si="11"/>
        <v>3.9452054794520547E-3</v>
      </c>
      <c r="N47" s="165">
        <f t="shared" si="9"/>
        <v>1.1835616438356164E-2</v>
      </c>
      <c r="O47" s="165">
        <f t="shared" si="9"/>
        <v>5.917808219178082E-3</v>
      </c>
      <c r="P47" s="165">
        <f t="shared" si="9"/>
        <v>3.9452054794520547E-3</v>
      </c>
      <c r="Q47" s="165">
        <f t="shared" si="9"/>
        <v>1.9726027397260273E-3</v>
      </c>
      <c r="S47" s="13">
        <f t="shared" si="12"/>
        <v>136.61599999999999</v>
      </c>
      <c r="T47" s="13">
        <f t="shared" si="10"/>
        <v>409.84799999999996</v>
      </c>
      <c r="U47" s="13">
        <f t="shared" si="10"/>
        <v>204.92399999999998</v>
      </c>
      <c r="V47" s="13">
        <f t="shared" si="10"/>
        <v>136.61599999999999</v>
      </c>
      <c r="W47" s="13">
        <f t="shared" si="10"/>
        <v>68.307999999999993</v>
      </c>
    </row>
    <row r="48" spans="2:23">
      <c r="B48" t="s">
        <v>657</v>
      </c>
      <c r="D48">
        <v>2</v>
      </c>
      <c r="E48">
        <v>6</v>
      </c>
      <c r="F48">
        <v>3</v>
      </c>
      <c r="G48">
        <v>2</v>
      </c>
      <c r="H48">
        <v>1</v>
      </c>
      <c r="J48" s="165">
        <f>F7</f>
        <v>1.4246575342465753E-3</v>
      </c>
      <c r="K48" s="181">
        <f>G7</f>
        <v>39.229999999999997</v>
      </c>
      <c r="M48" s="165">
        <f t="shared" si="11"/>
        <v>2.8493150684931507E-3</v>
      </c>
      <c r="N48" s="165">
        <f t="shared" si="9"/>
        <v>8.5479452054794524E-3</v>
      </c>
      <c r="O48" s="165">
        <f t="shared" si="9"/>
        <v>4.2739726027397262E-3</v>
      </c>
      <c r="P48" s="165">
        <f t="shared" si="9"/>
        <v>2.8493150684931507E-3</v>
      </c>
      <c r="Q48" s="165">
        <f t="shared" si="9"/>
        <v>1.4246575342465753E-3</v>
      </c>
      <c r="S48" s="13">
        <f t="shared" si="12"/>
        <v>78.459999999999994</v>
      </c>
      <c r="T48" s="13">
        <f t="shared" si="10"/>
        <v>235.38</v>
      </c>
      <c r="U48" s="13">
        <f t="shared" si="10"/>
        <v>117.69</v>
      </c>
      <c r="V48" s="13">
        <f t="shared" si="10"/>
        <v>78.459999999999994</v>
      </c>
      <c r="W48" s="13">
        <f t="shared" si="10"/>
        <v>39.229999999999997</v>
      </c>
    </row>
    <row r="49" spans="2:23">
      <c r="B49" t="s">
        <v>669</v>
      </c>
      <c r="D49">
        <v>2</v>
      </c>
      <c r="E49">
        <v>2</v>
      </c>
      <c r="F49">
        <v>3</v>
      </c>
      <c r="G49">
        <v>0</v>
      </c>
      <c r="H49">
        <v>0</v>
      </c>
      <c r="J49" s="165">
        <f t="shared" ref="J49:K52" si="13">F15</f>
        <v>1.4246575342465753E-3</v>
      </c>
      <c r="K49" s="181">
        <f t="shared" si="13"/>
        <v>39.229999999999997</v>
      </c>
      <c r="M49" s="165">
        <f t="shared" si="11"/>
        <v>2.8493150684931507E-3</v>
      </c>
      <c r="N49" s="165">
        <f t="shared" si="9"/>
        <v>2.8493150684931507E-3</v>
      </c>
      <c r="O49" s="165">
        <f t="shared" si="9"/>
        <v>4.2739726027397262E-3</v>
      </c>
      <c r="P49" s="165">
        <f t="shared" si="9"/>
        <v>0</v>
      </c>
      <c r="Q49" s="165">
        <f t="shared" si="9"/>
        <v>0</v>
      </c>
      <c r="S49" s="13">
        <f t="shared" si="12"/>
        <v>78.459999999999994</v>
      </c>
      <c r="T49" s="13">
        <f t="shared" si="10"/>
        <v>78.459999999999994</v>
      </c>
      <c r="U49" s="13">
        <f t="shared" si="10"/>
        <v>117.69</v>
      </c>
      <c r="V49" s="13">
        <f t="shared" si="10"/>
        <v>0</v>
      </c>
      <c r="W49" s="13">
        <f t="shared" si="10"/>
        <v>0</v>
      </c>
    </row>
    <row r="50" spans="2:23">
      <c r="B50" t="s">
        <v>670</v>
      </c>
      <c r="D50">
        <v>1</v>
      </c>
      <c r="E50">
        <v>1</v>
      </c>
      <c r="F50">
        <v>3</v>
      </c>
      <c r="G50">
        <v>0</v>
      </c>
      <c r="H50">
        <v>1</v>
      </c>
      <c r="J50" s="165">
        <f t="shared" si="13"/>
        <v>0.01</v>
      </c>
      <c r="K50" s="181">
        <f t="shared" si="13"/>
        <v>45.44</v>
      </c>
      <c r="M50" s="165">
        <f t="shared" si="11"/>
        <v>0.01</v>
      </c>
      <c r="N50" s="165">
        <f t="shared" si="9"/>
        <v>0.01</v>
      </c>
      <c r="O50" s="165">
        <f t="shared" si="9"/>
        <v>0.03</v>
      </c>
      <c r="P50" s="165">
        <f t="shared" si="9"/>
        <v>0</v>
      </c>
      <c r="Q50" s="165">
        <f t="shared" si="9"/>
        <v>0.01</v>
      </c>
      <c r="S50" s="13">
        <f t="shared" si="12"/>
        <v>45.44</v>
      </c>
      <c r="T50" s="13">
        <f t="shared" si="10"/>
        <v>45.44</v>
      </c>
      <c r="U50" s="13">
        <f t="shared" si="10"/>
        <v>136.32</v>
      </c>
      <c r="V50" s="13">
        <f t="shared" si="10"/>
        <v>0</v>
      </c>
      <c r="W50" s="13">
        <f t="shared" si="10"/>
        <v>45.44</v>
      </c>
    </row>
    <row r="51" spans="2:23">
      <c r="B51" t="s">
        <v>671</v>
      </c>
      <c r="D51">
        <v>2</v>
      </c>
      <c r="E51">
        <v>5</v>
      </c>
      <c r="F51">
        <v>2</v>
      </c>
      <c r="G51">
        <v>0</v>
      </c>
      <c r="H51">
        <v>3</v>
      </c>
      <c r="J51" s="165">
        <f t="shared" si="13"/>
        <v>1.4246575342465753E-3</v>
      </c>
      <c r="K51" s="181">
        <f t="shared" si="13"/>
        <v>39.229999999999997</v>
      </c>
      <c r="M51" s="165">
        <f t="shared" si="11"/>
        <v>2.8493150684931507E-3</v>
      </c>
      <c r="N51" s="165">
        <f t="shared" si="9"/>
        <v>7.1232876712328764E-3</v>
      </c>
      <c r="O51" s="165">
        <f t="shared" si="9"/>
        <v>2.8493150684931507E-3</v>
      </c>
      <c r="P51" s="165">
        <f t="shared" si="9"/>
        <v>0</v>
      </c>
      <c r="Q51" s="165">
        <f t="shared" si="9"/>
        <v>4.2739726027397262E-3</v>
      </c>
      <c r="S51" s="13">
        <f t="shared" si="12"/>
        <v>78.459999999999994</v>
      </c>
      <c r="T51" s="13">
        <f t="shared" si="10"/>
        <v>196.14999999999998</v>
      </c>
      <c r="U51" s="13">
        <f t="shared" si="10"/>
        <v>78.459999999999994</v>
      </c>
      <c r="V51" s="13">
        <f t="shared" si="10"/>
        <v>0</v>
      </c>
      <c r="W51" s="13">
        <f t="shared" si="10"/>
        <v>117.69</v>
      </c>
    </row>
    <row r="52" spans="2:23">
      <c r="B52" t="s">
        <v>690</v>
      </c>
      <c r="D52">
        <v>0</v>
      </c>
      <c r="E52">
        <v>1</v>
      </c>
      <c r="F52">
        <v>1</v>
      </c>
      <c r="G52">
        <v>0</v>
      </c>
      <c r="H52">
        <v>3</v>
      </c>
      <c r="J52" s="165">
        <f t="shared" si="13"/>
        <v>0.01</v>
      </c>
      <c r="K52" s="181">
        <f t="shared" si="13"/>
        <v>45.44</v>
      </c>
      <c r="M52" s="165">
        <f t="shared" si="11"/>
        <v>0</v>
      </c>
      <c r="N52" s="165">
        <f t="shared" si="9"/>
        <v>0.01</v>
      </c>
      <c r="O52" s="165">
        <f t="shared" si="9"/>
        <v>0.01</v>
      </c>
      <c r="P52" s="165">
        <f t="shared" si="9"/>
        <v>0</v>
      </c>
      <c r="Q52" s="165">
        <f t="shared" si="9"/>
        <v>0.03</v>
      </c>
      <c r="S52" s="13">
        <f t="shared" si="12"/>
        <v>0</v>
      </c>
      <c r="T52" s="13">
        <f t="shared" si="10"/>
        <v>45.44</v>
      </c>
      <c r="U52" s="13">
        <f t="shared" si="10"/>
        <v>45.44</v>
      </c>
      <c r="V52" s="13">
        <f t="shared" si="10"/>
        <v>0</v>
      </c>
      <c r="W52" s="13">
        <f t="shared" si="10"/>
        <v>136.32</v>
      </c>
    </row>
    <row r="53" spans="2:23">
      <c r="B53" t="s">
        <v>667</v>
      </c>
      <c r="D53">
        <v>2</v>
      </c>
      <c r="E53">
        <v>6</v>
      </c>
      <c r="F53">
        <v>0</v>
      </c>
      <c r="G53">
        <v>2</v>
      </c>
      <c r="H53">
        <v>0</v>
      </c>
      <c r="J53" s="165">
        <f>F14</f>
        <v>0.01</v>
      </c>
      <c r="K53" s="181">
        <f>G14</f>
        <v>45.44</v>
      </c>
      <c r="M53" s="165">
        <f t="shared" si="11"/>
        <v>0.02</v>
      </c>
      <c r="N53" s="165">
        <f t="shared" si="9"/>
        <v>0.06</v>
      </c>
      <c r="O53" s="165">
        <f t="shared" si="9"/>
        <v>0</v>
      </c>
      <c r="P53" s="165">
        <f t="shared" si="9"/>
        <v>0.02</v>
      </c>
      <c r="Q53" s="165">
        <f t="shared" si="9"/>
        <v>0</v>
      </c>
      <c r="S53" s="13">
        <f t="shared" si="12"/>
        <v>90.88</v>
      </c>
      <c r="T53" s="13">
        <f t="shared" si="10"/>
        <v>272.64</v>
      </c>
      <c r="U53" s="13">
        <f t="shared" si="10"/>
        <v>0</v>
      </c>
      <c r="V53" s="13">
        <f t="shared" si="10"/>
        <v>90.88</v>
      </c>
      <c r="W53" s="13">
        <f t="shared" si="10"/>
        <v>0</v>
      </c>
    </row>
    <row r="54" spans="2:23">
      <c r="B54" t="s">
        <v>673</v>
      </c>
      <c r="D54">
        <v>4</v>
      </c>
      <c r="E54">
        <v>1</v>
      </c>
      <c r="F54">
        <v>0</v>
      </c>
      <c r="G54">
        <v>1</v>
      </c>
      <c r="H54">
        <v>2</v>
      </c>
      <c r="J54" s="165">
        <f t="shared" ref="J54:K57" si="14">F19</f>
        <v>0.01</v>
      </c>
      <c r="K54" s="181">
        <f t="shared" si="14"/>
        <v>45.44</v>
      </c>
      <c r="M54" s="165">
        <f t="shared" si="11"/>
        <v>0.04</v>
      </c>
      <c r="N54" s="165">
        <f t="shared" si="9"/>
        <v>0.01</v>
      </c>
      <c r="O54" s="165">
        <f t="shared" si="9"/>
        <v>0</v>
      </c>
      <c r="P54" s="165">
        <f t="shared" si="9"/>
        <v>0.01</v>
      </c>
      <c r="Q54" s="165">
        <f t="shared" si="9"/>
        <v>0.02</v>
      </c>
      <c r="S54" s="13">
        <f t="shared" si="12"/>
        <v>181.76</v>
      </c>
      <c r="T54" s="13">
        <f t="shared" si="10"/>
        <v>45.44</v>
      </c>
      <c r="U54" s="13">
        <f t="shared" si="10"/>
        <v>0</v>
      </c>
      <c r="V54" s="13">
        <f t="shared" si="10"/>
        <v>45.44</v>
      </c>
      <c r="W54" s="13">
        <f t="shared" si="10"/>
        <v>90.88</v>
      </c>
    </row>
    <row r="55" spans="2:23">
      <c r="B55" t="s">
        <v>674</v>
      </c>
      <c r="D55">
        <v>3</v>
      </c>
      <c r="E55">
        <v>1</v>
      </c>
      <c r="F55">
        <v>0</v>
      </c>
      <c r="G55">
        <v>1</v>
      </c>
      <c r="H55">
        <v>1</v>
      </c>
      <c r="J55" s="165">
        <f t="shared" si="14"/>
        <v>1.4246575342465753E-3</v>
      </c>
      <c r="K55" s="181">
        <f t="shared" si="14"/>
        <v>39.229999999999997</v>
      </c>
      <c r="M55" s="165">
        <f t="shared" si="11"/>
        <v>4.2739726027397262E-3</v>
      </c>
      <c r="N55" s="165">
        <f t="shared" si="9"/>
        <v>1.4246575342465753E-3</v>
      </c>
      <c r="O55" s="165">
        <f t="shared" si="9"/>
        <v>0</v>
      </c>
      <c r="P55" s="165">
        <f t="shared" si="9"/>
        <v>1.4246575342465753E-3</v>
      </c>
      <c r="Q55" s="165">
        <f t="shared" si="9"/>
        <v>1.4246575342465753E-3</v>
      </c>
      <c r="S55" s="13">
        <f t="shared" si="12"/>
        <v>117.69</v>
      </c>
      <c r="T55" s="13">
        <f t="shared" si="10"/>
        <v>39.229999999999997</v>
      </c>
      <c r="U55" s="13">
        <f t="shared" si="10"/>
        <v>0</v>
      </c>
      <c r="V55" s="13">
        <f t="shared" si="10"/>
        <v>39.229999999999997</v>
      </c>
      <c r="W55" s="13">
        <f t="shared" si="10"/>
        <v>39.229999999999997</v>
      </c>
    </row>
    <row r="56" spans="2:23">
      <c r="B56" t="s">
        <v>691</v>
      </c>
      <c r="D56">
        <v>0</v>
      </c>
      <c r="E56">
        <v>1</v>
      </c>
      <c r="F56">
        <v>0</v>
      </c>
      <c r="G56">
        <v>2</v>
      </c>
      <c r="H56">
        <v>3</v>
      </c>
      <c r="J56" s="165">
        <f t="shared" si="14"/>
        <v>1.4246575342465753E-3</v>
      </c>
      <c r="K56" s="181">
        <f t="shared" si="14"/>
        <v>39.229999999999997</v>
      </c>
      <c r="M56" s="165">
        <f t="shared" si="11"/>
        <v>0</v>
      </c>
      <c r="N56" s="165">
        <f t="shared" si="9"/>
        <v>1.4246575342465753E-3</v>
      </c>
      <c r="O56" s="165">
        <f t="shared" si="9"/>
        <v>0</v>
      </c>
      <c r="P56" s="165">
        <f t="shared" si="9"/>
        <v>2.8493150684931507E-3</v>
      </c>
      <c r="Q56" s="165">
        <f t="shared" si="9"/>
        <v>4.2739726027397262E-3</v>
      </c>
      <c r="S56" s="13">
        <f t="shared" si="12"/>
        <v>0</v>
      </c>
      <c r="T56" s="13">
        <f t="shared" si="10"/>
        <v>39.229999999999997</v>
      </c>
      <c r="U56" s="13">
        <f t="shared" si="10"/>
        <v>0</v>
      </c>
      <c r="V56" s="13">
        <f t="shared" si="10"/>
        <v>78.459999999999994</v>
      </c>
      <c r="W56" s="13">
        <f t="shared" si="10"/>
        <v>117.69</v>
      </c>
    </row>
    <row r="57" spans="2:23">
      <c r="B57" s="177" t="s">
        <v>692</v>
      </c>
      <c r="C57" s="177"/>
      <c r="D57" s="177">
        <v>1</v>
      </c>
      <c r="E57" s="177">
        <v>0</v>
      </c>
      <c r="F57" s="177">
        <v>0</v>
      </c>
      <c r="G57" s="177">
        <v>0</v>
      </c>
      <c r="H57" s="177">
        <v>3</v>
      </c>
      <c r="I57" s="177"/>
      <c r="J57" s="221">
        <f t="shared" si="14"/>
        <v>0</v>
      </c>
      <c r="K57" s="222">
        <f t="shared" si="14"/>
        <v>39.229999999999997</v>
      </c>
      <c r="L57" s="177"/>
      <c r="M57" s="221">
        <f t="shared" si="11"/>
        <v>0</v>
      </c>
      <c r="N57" s="221">
        <f t="shared" si="9"/>
        <v>0</v>
      </c>
      <c r="O57" s="221">
        <f t="shared" si="9"/>
        <v>0</v>
      </c>
      <c r="P57" s="221">
        <f t="shared" si="9"/>
        <v>0</v>
      </c>
      <c r="Q57" s="221">
        <f t="shared" si="9"/>
        <v>0</v>
      </c>
      <c r="R57" s="177"/>
      <c r="S57" s="225">
        <f t="shared" si="12"/>
        <v>39.229999999999997</v>
      </c>
      <c r="T57" s="225">
        <f t="shared" si="10"/>
        <v>0</v>
      </c>
      <c r="U57" s="225">
        <f t="shared" si="10"/>
        <v>0</v>
      </c>
      <c r="V57" s="225">
        <f t="shared" si="10"/>
        <v>0</v>
      </c>
      <c r="W57" s="225">
        <f t="shared" si="10"/>
        <v>117.69</v>
      </c>
    </row>
    <row r="58" spans="2:23">
      <c r="B58" s="111" t="s">
        <v>444</v>
      </c>
      <c r="D58">
        <f>SUM(D44:D57)</f>
        <v>30</v>
      </c>
      <c r="E58">
        <f>SUM(E44:E57)</f>
        <v>48</v>
      </c>
      <c r="F58">
        <f>SUM(F44:F57)</f>
        <v>34</v>
      </c>
      <c r="G58">
        <f>SUM(G44:G57)</f>
        <v>16</v>
      </c>
      <c r="H58">
        <f>SUM(H44:H57)</f>
        <v>34</v>
      </c>
      <c r="M58" s="165">
        <f>SUM(M44:M57)/M42</f>
        <v>1.1039938259695156E-3</v>
      </c>
      <c r="N58" s="165">
        <f>SUM(N44:N57)/N42</f>
        <v>9.5542833776323874E-4</v>
      </c>
      <c r="O58" s="165">
        <f>SUM(O44:O57)/O42</f>
        <v>1.2628737126287373E-3</v>
      </c>
      <c r="P58" s="165">
        <f>SUM(P44:P57)/P42</f>
        <v>7.8959760273972592E-4</v>
      </c>
      <c r="Q58" s="165">
        <f>SUM(Q44:Q57)/Q42</f>
        <v>1.4666231789519462E-3</v>
      </c>
      <c r="S58" s="13">
        <f>SUM(S44:S57)/S42</f>
        <v>9.0037042253521147</v>
      </c>
      <c r="T58" s="13">
        <f>SUM(T44:T57)/T42</f>
        <v>7.8858134328358211</v>
      </c>
      <c r="U58" s="13">
        <f>SUM(U44:U57)/U42</f>
        <v>10.553970802919707</v>
      </c>
      <c r="V58" s="13">
        <f>SUM(V44:V57)/V42</f>
        <v>5.503640625000001</v>
      </c>
      <c r="W58" s="13">
        <f>SUM(W44:W57)/W42</f>
        <v>11.112365079365079</v>
      </c>
    </row>
    <row r="59" spans="2:23">
      <c r="B59" s="111" t="s">
        <v>688</v>
      </c>
      <c r="D59">
        <f>D58-$G58</f>
        <v>14</v>
      </c>
      <c r="E59">
        <f>E58-$G58</f>
        <v>32</v>
      </c>
      <c r="F59">
        <f>F58-$G58</f>
        <v>18</v>
      </c>
      <c r="G59">
        <f>G58-$G58</f>
        <v>0</v>
      </c>
      <c r="H59">
        <f>H58-$G58</f>
        <v>18</v>
      </c>
      <c r="M59" s="165">
        <f>M58-$P58</f>
        <v>3.1439622322978968E-4</v>
      </c>
      <c r="N59" s="165">
        <f>N58-$P58</f>
        <v>1.6583073502351281E-4</v>
      </c>
      <c r="O59" s="165">
        <f>O58-$P58</f>
        <v>4.7327610988901142E-4</v>
      </c>
      <c r="P59" s="165">
        <f>P58-$P58</f>
        <v>0</v>
      </c>
      <c r="Q59" s="165">
        <f>Q58-$P58</f>
        <v>6.7702557621222023E-4</v>
      </c>
      <c r="S59" s="13">
        <f>S58-$V58</f>
        <v>3.5000636003521137</v>
      </c>
      <c r="T59" s="13">
        <f>T58-$V58</f>
        <v>2.3821728078358202</v>
      </c>
      <c r="U59" s="13">
        <f>U58-$V58</f>
        <v>5.0503301779197063</v>
      </c>
      <c r="V59" s="13">
        <f>V58-$V58</f>
        <v>0</v>
      </c>
      <c r="W59" s="13">
        <f>W58-$V58</f>
        <v>5.6087244543650776</v>
      </c>
    </row>
  </sheetData>
  <mergeCells count="9">
    <mergeCell ref="D41:H41"/>
    <mergeCell ref="J41:K41"/>
    <mergeCell ref="M41:Q41"/>
    <mergeCell ref="S41:W41"/>
    <mergeCell ref="D4:H4"/>
    <mergeCell ref="D26:H26"/>
    <mergeCell ref="J26:K26"/>
    <mergeCell ref="M26:Q26"/>
    <mergeCell ref="S26:W26"/>
  </mergeCells>
  <pageMargins left="0.7" right="0.7" top="0.75" bottom="0.75" header="0.3" footer="0.3"/>
  <pageSetup paperSize="9" orientation="portrait" horizontalDpi="0" verticalDpi="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6319D-B05E-0A42-A504-1D7E763ADB72}">
  <sheetPr codeName="Sheet10">
    <tabColor theme="3"/>
  </sheetPr>
  <dimension ref="B2:R18"/>
  <sheetViews>
    <sheetView showGridLines="0" topLeftCell="B4" zoomScale="130" zoomScaleNormal="130" workbookViewId="0">
      <selection activeCell="P18" sqref="P18"/>
    </sheetView>
  </sheetViews>
  <sheetFormatPr baseColWidth="10" defaultColWidth="11" defaultRowHeight="16"/>
  <sheetData>
    <row r="2" spans="2:18" ht="21">
      <c r="B2" s="5" t="s">
        <v>315</v>
      </c>
    </row>
    <row r="6" spans="2:18" ht="17">
      <c r="B6" s="154" t="s">
        <v>709</v>
      </c>
    </row>
    <row r="7" spans="2:18" ht="24">
      <c r="B7" s="155" t="s">
        <v>301</v>
      </c>
      <c r="C7" s="156" t="s">
        <v>316</v>
      </c>
      <c r="D7" s="156" t="s">
        <v>11</v>
      </c>
      <c r="E7" s="156" t="s">
        <v>317</v>
      </c>
      <c r="F7" s="156" t="s">
        <v>47</v>
      </c>
      <c r="G7" s="156" t="s">
        <v>48</v>
      </c>
      <c r="H7" s="156" t="s">
        <v>49</v>
      </c>
      <c r="I7" s="156" t="s">
        <v>12</v>
      </c>
      <c r="J7" s="156" t="s">
        <v>13</v>
      </c>
      <c r="K7" s="156" t="s">
        <v>318</v>
      </c>
      <c r="L7" s="156" t="s">
        <v>319</v>
      </c>
      <c r="M7" s="156" t="s">
        <v>320</v>
      </c>
      <c r="N7" s="156" t="s">
        <v>321</v>
      </c>
      <c r="O7" s="156" t="s">
        <v>305</v>
      </c>
      <c r="P7" s="156" t="s">
        <v>322</v>
      </c>
      <c r="Q7" s="156" t="s">
        <v>305</v>
      </c>
    </row>
    <row r="8" spans="2:18">
      <c r="B8" s="157" t="s">
        <v>710</v>
      </c>
      <c r="C8" s="162">
        <v>137</v>
      </c>
      <c r="D8" s="233">
        <v>19.899999999999999</v>
      </c>
      <c r="E8" s="231">
        <v>3.7</v>
      </c>
      <c r="F8" s="162">
        <v>18</v>
      </c>
      <c r="G8" s="162">
        <v>20</v>
      </c>
      <c r="H8" s="162">
        <v>22</v>
      </c>
      <c r="I8" s="162">
        <v>11</v>
      </c>
      <c r="J8" s="162">
        <v>28</v>
      </c>
      <c r="K8" s="150"/>
      <c r="L8" s="150"/>
      <c r="M8" s="106"/>
      <c r="N8" s="150"/>
      <c r="P8" s="158">
        <v>11.903234586175</v>
      </c>
      <c r="R8" s="3"/>
    </row>
    <row r="9" spans="2:18">
      <c r="B9" s="159" t="s">
        <v>324</v>
      </c>
      <c r="C9" s="162">
        <v>104</v>
      </c>
      <c r="D9" s="233">
        <v>11.3</v>
      </c>
      <c r="E9" s="231">
        <v>6.6</v>
      </c>
      <c r="F9" s="162">
        <v>7</v>
      </c>
      <c r="G9" s="162">
        <v>10</v>
      </c>
      <c r="H9" s="162">
        <v>16</v>
      </c>
      <c r="I9" s="162">
        <v>0</v>
      </c>
      <c r="J9" s="162">
        <v>28</v>
      </c>
      <c r="K9" s="160">
        <v>33</v>
      </c>
      <c r="L9" s="160">
        <v>104</v>
      </c>
      <c r="M9" s="161">
        <v>0.24087591240875914</v>
      </c>
      <c r="N9" s="158">
        <v>-8.5999999999999979</v>
      </c>
      <c r="O9" s="151">
        <v>0.72025909306681013</v>
      </c>
      <c r="P9" s="158">
        <v>-0.60323458617499881</v>
      </c>
      <c r="Q9" s="151">
        <v>0.72025909306681013</v>
      </c>
      <c r="R9" s="3"/>
    </row>
    <row r="10" spans="2:18">
      <c r="B10" s="159" t="s">
        <v>325</v>
      </c>
      <c r="C10" s="162">
        <v>95</v>
      </c>
      <c r="D10" s="233">
        <v>10.7</v>
      </c>
      <c r="E10" s="231">
        <v>6.7</v>
      </c>
      <c r="F10" s="162">
        <v>6</v>
      </c>
      <c r="G10" s="162">
        <v>10</v>
      </c>
      <c r="H10" s="162">
        <v>16</v>
      </c>
      <c r="I10" s="162">
        <v>0</v>
      </c>
      <c r="J10" s="162">
        <v>24</v>
      </c>
      <c r="K10" s="160">
        <v>9</v>
      </c>
      <c r="L10" s="160">
        <v>95</v>
      </c>
      <c r="M10" s="161">
        <v>8.6538461538461536E-2</v>
      </c>
      <c r="N10" s="158">
        <v>-9.1999999999999993</v>
      </c>
      <c r="O10" s="151">
        <v>0.75660645192117137</v>
      </c>
      <c r="P10" s="158">
        <v>-1.2032345861750002</v>
      </c>
      <c r="Q10" s="151">
        <v>0.75660645192117137</v>
      </c>
      <c r="R10" s="3"/>
    </row>
    <row r="11" spans="2:18">
      <c r="B11" s="159" t="s">
        <v>326</v>
      </c>
      <c r="C11" s="162">
        <v>83</v>
      </c>
      <c r="D11" s="233">
        <v>10.199999999999999</v>
      </c>
      <c r="E11" s="231">
        <v>6.4</v>
      </c>
      <c r="F11" s="162">
        <v>5</v>
      </c>
      <c r="G11" s="162">
        <v>10</v>
      </c>
      <c r="H11" s="162">
        <v>15</v>
      </c>
      <c r="I11" s="162">
        <v>0</v>
      </c>
      <c r="J11" s="162">
        <v>25</v>
      </c>
      <c r="K11" s="160">
        <v>12</v>
      </c>
      <c r="L11" s="160">
        <v>83</v>
      </c>
      <c r="M11" s="161">
        <v>0.12631578947368421</v>
      </c>
      <c r="N11" s="150">
        <v>-9.6999999999999993</v>
      </c>
      <c r="O11" s="151">
        <v>0.7703382264972215</v>
      </c>
      <c r="P11" s="158">
        <v>-1.7032345861750002</v>
      </c>
      <c r="Q11" s="151">
        <v>0.7703382264972215</v>
      </c>
      <c r="R11" s="3"/>
    </row>
    <row r="13" spans="2:18" ht="17">
      <c r="B13" s="154" t="s">
        <v>343</v>
      </c>
    </row>
    <row r="14" spans="2:18" ht="24">
      <c r="B14" s="155" t="s">
        <v>301</v>
      </c>
      <c r="C14" s="156" t="s">
        <v>316</v>
      </c>
      <c r="D14" s="156" t="s">
        <v>11</v>
      </c>
      <c r="E14" s="156" t="s">
        <v>317</v>
      </c>
      <c r="F14" s="156" t="s">
        <v>47</v>
      </c>
      <c r="G14" s="156" t="s">
        <v>48</v>
      </c>
      <c r="H14" s="156" t="s">
        <v>49</v>
      </c>
      <c r="I14" s="156" t="s">
        <v>12</v>
      </c>
      <c r="J14" s="156" t="s">
        <v>13</v>
      </c>
      <c r="K14" s="156" t="s">
        <v>318</v>
      </c>
      <c r="L14" s="156" t="s">
        <v>319</v>
      </c>
      <c r="M14" s="156" t="s">
        <v>320</v>
      </c>
      <c r="N14" s="156" t="s">
        <v>321</v>
      </c>
      <c r="O14" s="156" t="s">
        <v>305</v>
      </c>
      <c r="P14" s="156" t="s">
        <v>322</v>
      </c>
      <c r="Q14" s="156" t="s">
        <v>305</v>
      </c>
    </row>
    <row r="15" spans="2:18">
      <c r="B15" s="157" t="s">
        <v>327</v>
      </c>
      <c r="C15" s="162">
        <v>128</v>
      </c>
      <c r="D15" s="232">
        <v>19.3984375</v>
      </c>
      <c r="E15" s="232">
        <v>3.9987002686601398</v>
      </c>
      <c r="F15" s="162">
        <v>17</v>
      </c>
      <c r="G15" s="162">
        <v>20</v>
      </c>
      <c r="H15" s="162">
        <v>22</v>
      </c>
      <c r="I15" s="162">
        <v>10</v>
      </c>
      <c r="J15" s="162">
        <v>28</v>
      </c>
      <c r="K15" s="150"/>
      <c r="L15" s="150"/>
      <c r="M15" s="106"/>
      <c r="N15" s="150"/>
      <c r="P15" s="158">
        <v>13.8307207307717</v>
      </c>
    </row>
    <row r="16" spans="2:18">
      <c r="B16" s="159" t="s">
        <v>324</v>
      </c>
      <c r="C16" s="162">
        <v>90</v>
      </c>
      <c r="D16" s="232">
        <v>12.8555555555556</v>
      </c>
      <c r="E16" s="232">
        <v>6.3979651103345896</v>
      </c>
      <c r="F16" s="162">
        <v>8</v>
      </c>
      <c r="G16" s="162">
        <v>13</v>
      </c>
      <c r="H16" s="162">
        <v>17</v>
      </c>
      <c r="I16" s="162">
        <v>0</v>
      </c>
      <c r="J16" s="162">
        <v>26</v>
      </c>
      <c r="K16" s="160">
        <f>C15-C16</f>
        <v>38</v>
      </c>
      <c r="L16" s="160">
        <f>C16</f>
        <v>90</v>
      </c>
      <c r="M16" s="161">
        <f>K16/SUM(K16:L16)</f>
        <v>0.296875</v>
      </c>
      <c r="N16" s="150">
        <f>D16-D15</f>
        <v>-6.5428819444443995</v>
      </c>
      <c r="O16" s="151">
        <f>SQRT(E15^2/C15+E16^2/C16)</f>
        <v>0.76140694150924848</v>
      </c>
      <c r="P16" s="158">
        <f>D16-P15</f>
        <v>-0.97516517521609991</v>
      </c>
      <c r="Q16" s="151">
        <f>O16</f>
        <v>0.76140694150924848</v>
      </c>
    </row>
    <row r="17" spans="2:17">
      <c r="B17" s="159" t="s">
        <v>325</v>
      </c>
      <c r="C17" s="162">
        <v>75</v>
      </c>
      <c r="D17" s="232">
        <v>12.3466666666667</v>
      </c>
      <c r="E17" s="232">
        <v>6.3554474045272196</v>
      </c>
      <c r="F17" s="162">
        <v>7</v>
      </c>
      <c r="G17" s="162">
        <v>13</v>
      </c>
      <c r="H17" s="162">
        <v>17.5</v>
      </c>
      <c r="I17" s="162">
        <v>0</v>
      </c>
      <c r="J17" s="162">
        <v>28</v>
      </c>
      <c r="K17" s="160">
        <f>C16-C17</f>
        <v>15</v>
      </c>
      <c r="L17" s="160">
        <f>C17</f>
        <v>75</v>
      </c>
      <c r="M17" s="161">
        <f>K17/SUM(K17:L17)</f>
        <v>0.16666666666666666</v>
      </c>
      <c r="N17" s="150">
        <f>D17-D15</f>
        <v>-7.0517708333333005</v>
      </c>
      <c r="O17" s="151">
        <f>SQRT(E15^2/C15+E17^2/C17)</f>
        <v>0.81453970814508736</v>
      </c>
      <c r="P17" s="158">
        <f>D17-P15</f>
        <v>-1.4840540641050008</v>
      </c>
      <c r="Q17" s="151">
        <f>O17</f>
        <v>0.81453970814508736</v>
      </c>
    </row>
    <row r="18" spans="2:17">
      <c r="B18" s="159" t="s">
        <v>326</v>
      </c>
      <c r="C18" s="162">
        <v>71</v>
      </c>
      <c r="D18" s="232">
        <v>11.830985915493001</v>
      </c>
      <c r="E18" s="232">
        <v>6.8971752302621399</v>
      </c>
      <c r="F18" s="162">
        <v>7</v>
      </c>
      <c r="G18" s="162">
        <v>12</v>
      </c>
      <c r="H18" s="162">
        <v>16.5</v>
      </c>
      <c r="I18" s="162">
        <v>0</v>
      </c>
      <c r="J18" s="162">
        <v>28</v>
      </c>
      <c r="K18" s="160">
        <f>C17-C18</f>
        <v>4</v>
      </c>
      <c r="L18" s="160">
        <f>C18</f>
        <v>71</v>
      </c>
      <c r="M18" s="161">
        <f>K18/SUM(K18:L18)</f>
        <v>5.3333333333333337E-2</v>
      </c>
      <c r="N18" s="150">
        <f>D18-D15</f>
        <v>-7.5674515845069994</v>
      </c>
      <c r="O18" s="151">
        <f>SQRT(E15^2/C15+E18^2/C18)</f>
        <v>0.8915902830917336</v>
      </c>
      <c r="P18" s="158">
        <f>D18-P15</f>
        <v>-1.9997348152786998</v>
      </c>
      <c r="Q18" s="151">
        <f>O18</f>
        <v>0.8915902830917336</v>
      </c>
    </row>
  </sheetData>
  <pageMargins left="0.7" right="0.7" top="0.75" bottom="0.75" header="0.3" footer="0.3"/>
  <pageSetup paperSize="9"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BBDF8-F172-634E-9A92-EEC6F1FAB916}">
  <sheetPr codeName="Sheet17">
    <tabColor rgb="FF4C627F"/>
  </sheetPr>
  <dimension ref="B2:H40"/>
  <sheetViews>
    <sheetView topLeftCell="A28" workbookViewId="0">
      <selection activeCell="B49" sqref="B49"/>
    </sheetView>
  </sheetViews>
  <sheetFormatPr baseColWidth="10" defaultColWidth="11" defaultRowHeight="16"/>
  <sheetData>
    <row r="2" spans="2:8" ht="21">
      <c r="B2" s="5" t="s">
        <v>256</v>
      </c>
    </row>
    <row r="3" spans="2:8">
      <c r="B3" t="s">
        <v>257</v>
      </c>
    </row>
    <row r="5" spans="2:8">
      <c r="B5" s="135" t="s">
        <v>55</v>
      </c>
      <c r="C5" s="308" t="s">
        <v>243</v>
      </c>
      <c r="D5" s="308"/>
      <c r="E5" s="308"/>
      <c r="F5" s="308" t="s">
        <v>244</v>
      </c>
      <c r="G5" s="308"/>
      <c r="H5" s="308"/>
    </row>
    <row r="6" spans="2:8" ht="18">
      <c r="B6" s="136"/>
      <c r="C6" s="137" t="s">
        <v>245</v>
      </c>
      <c r="D6" s="137" t="s">
        <v>246</v>
      </c>
      <c r="E6" s="137" t="s">
        <v>247</v>
      </c>
      <c r="F6" s="137" t="s">
        <v>245</v>
      </c>
      <c r="G6" s="137" t="s">
        <v>246</v>
      </c>
      <c r="H6" s="137" t="s">
        <v>248</v>
      </c>
    </row>
    <row r="7" spans="2:8">
      <c r="B7" s="135">
        <v>0</v>
      </c>
      <c r="C7" s="138">
        <v>100000</v>
      </c>
      <c r="D7" s="139">
        <v>4.7460000000000002E-3</v>
      </c>
      <c r="E7" s="140">
        <v>78.97</v>
      </c>
      <c r="F7" s="138">
        <v>100000</v>
      </c>
      <c r="G7" s="139">
        <v>3.8110000000000002E-3</v>
      </c>
      <c r="H7" s="140">
        <v>82.8</v>
      </c>
    </row>
    <row r="8" spans="2:8">
      <c r="B8" s="135">
        <v>10</v>
      </c>
      <c r="C8" s="138">
        <v>99403</v>
      </c>
      <c r="D8" s="139">
        <v>9.1000000000000003E-5</v>
      </c>
      <c r="E8" s="140">
        <v>69.430000000000007</v>
      </c>
      <c r="F8" s="138">
        <v>99516</v>
      </c>
      <c r="G8" s="139">
        <v>7.1000000000000005E-5</v>
      </c>
      <c r="H8" s="140">
        <v>73.19</v>
      </c>
    </row>
    <row r="9" spans="2:8">
      <c r="B9" s="135">
        <v>20</v>
      </c>
      <c r="C9" s="138">
        <v>99195</v>
      </c>
      <c r="D9" s="139">
        <v>4.9600000000000002E-4</v>
      </c>
      <c r="E9" s="140">
        <v>59.57</v>
      </c>
      <c r="F9" s="138">
        <v>99393</v>
      </c>
      <c r="G9" s="139">
        <v>2.0000000000000001E-4</v>
      </c>
      <c r="H9" s="140">
        <v>63.27</v>
      </c>
    </row>
    <row r="10" spans="2:8">
      <c r="B10" s="135">
        <v>30</v>
      </c>
      <c r="C10" s="138">
        <v>98636</v>
      </c>
      <c r="D10" s="139">
        <v>7.2800000000000002E-4</v>
      </c>
      <c r="E10" s="140">
        <v>49.87</v>
      </c>
      <c r="F10" s="138">
        <v>99141</v>
      </c>
      <c r="G10" s="139">
        <v>3.59E-4</v>
      </c>
      <c r="H10" s="140">
        <v>53.42</v>
      </c>
    </row>
    <row r="11" spans="2:8">
      <c r="B11" s="135">
        <v>40</v>
      </c>
      <c r="C11" s="138">
        <v>97668</v>
      </c>
      <c r="D11" s="139">
        <v>1.4729999999999999E-3</v>
      </c>
      <c r="E11" s="140">
        <v>40.31</v>
      </c>
      <c r="F11" s="138">
        <v>98599</v>
      </c>
      <c r="G11" s="139">
        <v>8.5999999999999998E-4</v>
      </c>
      <c r="H11" s="140">
        <v>43.68</v>
      </c>
    </row>
    <row r="12" spans="2:8">
      <c r="B12" s="135">
        <v>50</v>
      </c>
      <c r="C12" s="138">
        <v>95635</v>
      </c>
      <c r="D12" s="139">
        <v>3.1050000000000001E-3</v>
      </c>
      <c r="E12" s="140">
        <v>31.05</v>
      </c>
      <c r="F12" s="138">
        <v>97292</v>
      </c>
      <c r="G12" s="139">
        <v>2.137E-3</v>
      </c>
      <c r="H12" s="140">
        <v>34.19</v>
      </c>
    </row>
    <row r="13" spans="2:8">
      <c r="B13" s="135">
        <v>60</v>
      </c>
      <c r="C13" s="138">
        <v>90975</v>
      </c>
      <c r="D13" s="139">
        <v>8.0160000000000006E-3</v>
      </c>
      <c r="E13" s="140">
        <v>22.35</v>
      </c>
      <c r="F13" s="138">
        <v>94082</v>
      </c>
      <c r="G13" s="139">
        <v>5.3280000000000003E-3</v>
      </c>
      <c r="H13" s="140">
        <v>25.17</v>
      </c>
    </row>
    <row r="14" spans="2:8">
      <c r="B14" s="135">
        <v>70</v>
      </c>
      <c r="C14" s="138">
        <v>80300</v>
      </c>
      <c r="D14" s="139">
        <v>2.0691000000000001E-2</v>
      </c>
      <c r="E14" s="140">
        <v>14.56</v>
      </c>
      <c r="F14" s="138">
        <v>86773</v>
      </c>
      <c r="G14" s="139">
        <v>1.3309E-2</v>
      </c>
      <c r="H14" s="140">
        <v>16.809999999999999</v>
      </c>
    </row>
    <row r="15" spans="2:8">
      <c r="B15" s="135">
        <v>80</v>
      </c>
      <c r="C15" s="138">
        <v>57096</v>
      </c>
      <c r="D15" s="139">
        <v>5.7401000000000001E-2</v>
      </c>
      <c r="E15" s="140">
        <v>8.2200000000000006</v>
      </c>
      <c r="F15" s="138">
        <v>69035</v>
      </c>
      <c r="G15" s="139">
        <v>4.0696999999999997E-2</v>
      </c>
      <c r="H15" s="140">
        <v>9.65</v>
      </c>
    </row>
    <row r="16" spans="2:8">
      <c r="B16" s="135">
        <v>90</v>
      </c>
      <c r="C16" s="138">
        <v>19903</v>
      </c>
      <c r="D16" s="141">
        <v>0.16814000000000001</v>
      </c>
      <c r="E16" s="140">
        <v>4.07</v>
      </c>
      <c r="F16" s="138">
        <v>31496</v>
      </c>
      <c r="G16" s="139">
        <v>0.13508700000000001</v>
      </c>
      <c r="H16" s="140">
        <v>4.72</v>
      </c>
    </row>
    <row r="17" spans="2:8">
      <c r="B17" s="142">
        <v>100</v>
      </c>
      <c r="C17" s="143">
        <v>1098</v>
      </c>
      <c r="D17" s="144">
        <v>0.36187200000000003</v>
      </c>
      <c r="E17" s="145">
        <v>2.0499999999999998</v>
      </c>
      <c r="F17" s="143">
        <v>2823</v>
      </c>
      <c r="G17" s="144">
        <v>0.32133699999999998</v>
      </c>
      <c r="H17" s="145">
        <v>2.29</v>
      </c>
    </row>
    <row r="18" spans="2:8">
      <c r="B18" s="309" t="s">
        <v>249</v>
      </c>
      <c r="C18" s="309"/>
      <c r="D18" s="309"/>
      <c r="E18" s="309"/>
      <c r="F18" s="309"/>
      <c r="G18" s="309"/>
      <c r="H18" s="309"/>
    </row>
    <row r="19" spans="2:8">
      <c r="B19" s="310" t="s">
        <v>250</v>
      </c>
      <c r="C19" s="310"/>
      <c r="D19" s="310"/>
      <c r="E19" s="310"/>
      <c r="F19" s="310"/>
      <c r="G19" s="310"/>
      <c r="H19" s="310"/>
    </row>
    <row r="20" spans="2:8" ht="31.25" customHeight="1">
      <c r="B20" s="307" t="s">
        <v>251</v>
      </c>
      <c r="C20" s="307"/>
      <c r="D20" s="307"/>
      <c r="E20" s="307"/>
      <c r="F20" s="307"/>
      <c r="G20" s="307"/>
      <c r="H20" s="307"/>
    </row>
    <row r="21" spans="2:8" ht="31.25" customHeight="1">
      <c r="B21" s="307" t="s">
        <v>252</v>
      </c>
      <c r="C21" s="307"/>
      <c r="D21" s="307"/>
      <c r="E21" s="307"/>
      <c r="F21" s="307"/>
      <c r="G21" s="307"/>
      <c r="H21" s="307"/>
    </row>
    <row r="22" spans="2:8" ht="47" customHeight="1">
      <c r="B22" s="307" t="s">
        <v>253</v>
      </c>
      <c r="C22" s="307"/>
      <c r="D22" s="307"/>
      <c r="E22" s="307"/>
      <c r="F22" s="307"/>
      <c r="G22" s="307"/>
      <c r="H22" s="307"/>
    </row>
    <row r="24" spans="2:8">
      <c r="B24" t="s">
        <v>255</v>
      </c>
    </row>
    <row r="25" spans="2:8">
      <c r="B25" s="146" t="s">
        <v>254</v>
      </c>
    </row>
    <row r="28" spans="2:8">
      <c r="B28" t="s">
        <v>258</v>
      </c>
    </row>
    <row r="29" spans="2:8">
      <c r="B29" s="147" t="s">
        <v>55</v>
      </c>
      <c r="C29" s="147" t="str">
        <f>D6</f>
        <v>qx</v>
      </c>
      <c r="D29" s="147" t="str">
        <f>E6</f>
        <v>e x</v>
      </c>
    </row>
    <row r="30" spans="2:8">
      <c r="B30">
        <f>B7</f>
        <v>0</v>
      </c>
      <c r="C30" s="134">
        <f>AVERAGE(D7,G7)</f>
        <v>4.2785000000000002E-3</v>
      </c>
      <c r="D30" s="114">
        <f>AVERAGE(E7,H7)</f>
        <v>80.884999999999991</v>
      </c>
    </row>
    <row r="31" spans="2:8">
      <c r="B31">
        <f t="shared" ref="B31:B40" si="0">B8</f>
        <v>10</v>
      </c>
      <c r="C31" s="134">
        <f t="shared" ref="C31:C38" si="1">AVERAGE(D8,G8)</f>
        <v>8.1000000000000004E-5</v>
      </c>
      <c r="D31" s="114">
        <f t="shared" ref="D31:D40" si="2">AVERAGE(E8,H8)</f>
        <v>71.31</v>
      </c>
    </row>
    <row r="32" spans="2:8">
      <c r="B32">
        <f t="shared" si="0"/>
        <v>20</v>
      </c>
      <c r="C32" s="134">
        <f t="shared" si="1"/>
        <v>3.48E-4</v>
      </c>
      <c r="D32" s="114">
        <f t="shared" si="2"/>
        <v>61.42</v>
      </c>
    </row>
    <row r="33" spans="2:4">
      <c r="B33">
        <f t="shared" si="0"/>
        <v>30</v>
      </c>
      <c r="C33" s="134">
        <f t="shared" si="1"/>
        <v>5.4350000000000004E-4</v>
      </c>
      <c r="D33" s="114">
        <f t="shared" si="2"/>
        <v>51.644999999999996</v>
      </c>
    </row>
    <row r="34" spans="2:4">
      <c r="B34">
        <f t="shared" si="0"/>
        <v>40</v>
      </c>
      <c r="C34" s="134">
        <f t="shared" si="1"/>
        <v>1.1665E-3</v>
      </c>
      <c r="D34" s="114">
        <f t="shared" si="2"/>
        <v>41.995000000000005</v>
      </c>
    </row>
    <row r="35" spans="2:4">
      <c r="B35">
        <f t="shared" si="0"/>
        <v>50</v>
      </c>
      <c r="C35" s="134">
        <f t="shared" si="1"/>
        <v>2.6210000000000001E-3</v>
      </c>
      <c r="D35" s="114">
        <f t="shared" si="2"/>
        <v>32.619999999999997</v>
      </c>
    </row>
    <row r="36" spans="2:4">
      <c r="B36">
        <f t="shared" si="0"/>
        <v>60</v>
      </c>
      <c r="C36" s="134">
        <f t="shared" si="1"/>
        <v>6.6720000000000008E-3</v>
      </c>
      <c r="D36" s="114">
        <f t="shared" si="2"/>
        <v>23.76</v>
      </c>
    </row>
    <row r="37" spans="2:4">
      <c r="B37">
        <f t="shared" si="0"/>
        <v>70</v>
      </c>
      <c r="C37" s="134">
        <f t="shared" si="1"/>
        <v>1.7000000000000001E-2</v>
      </c>
      <c r="D37" s="114">
        <f t="shared" si="2"/>
        <v>15.684999999999999</v>
      </c>
    </row>
    <row r="38" spans="2:4">
      <c r="B38">
        <f t="shared" si="0"/>
        <v>80</v>
      </c>
      <c r="C38" s="134">
        <f t="shared" si="1"/>
        <v>4.9048999999999995E-2</v>
      </c>
      <c r="D38" s="114">
        <f t="shared" si="2"/>
        <v>8.9350000000000005</v>
      </c>
    </row>
    <row r="39" spans="2:4">
      <c r="B39">
        <f>B16</f>
        <v>90</v>
      </c>
      <c r="C39" s="134">
        <f>AVERAGE(D16,G16)</f>
        <v>0.15161350000000001</v>
      </c>
      <c r="D39" s="114">
        <f t="shared" si="2"/>
        <v>4.3949999999999996</v>
      </c>
    </row>
    <row r="40" spans="2:4">
      <c r="B40">
        <f t="shared" si="0"/>
        <v>100</v>
      </c>
      <c r="C40" s="134">
        <f>AVERAGE(D17,G17)</f>
        <v>0.34160449999999998</v>
      </c>
      <c r="D40" s="114">
        <f t="shared" si="2"/>
        <v>2.17</v>
      </c>
    </row>
  </sheetData>
  <mergeCells count="7">
    <mergeCell ref="B22:H22"/>
    <mergeCell ref="C5:E5"/>
    <mergeCell ref="F5:H5"/>
    <mergeCell ref="B18:H18"/>
    <mergeCell ref="B19:H19"/>
    <mergeCell ref="B20:H20"/>
    <mergeCell ref="B21:H21"/>
  </mergeCells>
  <hyperlinks>
    <hyperlink ref="B25" r:id="rId1" xr:uid="{11B66DF5-C3EA-D145-BBF6-6B5F2F6994C5}"/>
  </hyperlinks>
  <pageMargins left="0.7" right="0.7" top="0.75" bottom="0.75" header="0.3" footer="0.3"/>
  <pageSetup paperSize="9"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F9BF1-FA3C-EA44-9E91-71D62E3F55F9}">
  <sheetPr codeName="Sheet9">
    <tabColor rgb="FF4C627F"/>
  </sheetPr>
  <dimension ref="B2:K20"/>
  <sheetViews>
    <sheetView zoomScale="140" zoomScaleNormal="140" workbookViewId="0">
      <selection activeCell="C5" sqref="C5:K15"/>
    </sheetView>
  </sheetViews>
  <sheetFormatPr baseColWidth="10" defaultColWidth="11" defaultRowHeight="16"/>
  <cols>
    <col min="4" max="6" width="13.6640625" customWidth="1"/>
    <col min="7" max="7" width="5.6640625" customWidth="1"/>
    <col min="8" max="8" width="13.6640625" customWidth="1"/>
    <col min="9" max="9" width="17.1640625" customWidth="1"/>
    <col min="12" max="12" width="12.1640625" customWidth="1"/>
  </cols>
  <sheetData>
    <row r="2" spans="2:11" ht="21">
      <c r="B2" s="5" t="s">
        <v>445</v>
      </c>
    </row>
    <row r="4" spans="2:11">
      <c r="C4" t="s">
        <v>446</v>
      </c>
      <c r="E4" t="s">
        <v>447</v>
      </c>
      <c r="F4" t="s">
        <v>448</v>
      </c>
      <c r="H4" t="s">
        <v>450</v>
      </c>
      <c r="I4" t="s">
        <v>447</v>
      </c>
      <c r="J4" t="s">
        <v>451</v>
      </c>
      <c r="K4" t="s">
        <v>448</v>
      </c>
    </row>
    <row r="5" spans="2:11">
      <c r="C5" s="13">
        <f t="shared" ref="C5:C15" si="0">F5-E5</f>
        <v>204.05635148750298</v>
      </c>
      <c r="D5" t="s">
        <v>730</v>
      </c>
      <c r="E5" s="249">
        <v>25107.267866196838</v>
      </c>
      <c r="F5" s="249">
        <v>25311.324217684341</v>
      </c>
      <c r="H5" t="str">
        <f t="shared" ref="H5:H15" si="1">D5</f>
        <v>Unit Costs</v>
      </c>
      <c r="I5" s="13">
        <f t="shared" ref="I5:I15" si="2">E5</f>
        <v>25107.267866196838</v>
      </c>
      <c r="J5" s="13">
        <f t="shared" ref="J5:J15" si="3">$D$17-I5</f>
        <v>-8825.0305451208915</v>
      </c>
      <c r="K5" s="13">
        <f t="shared" ref="K5:K15" si="4">F5-$D$17</f>
        <v>9029.0868966083945</v>
      </c>
    </row>
    <row r="6" spans="2:11">
      <c r="C6" s="13">
        <f t="shared" si="0"/>
        <v>296.70805653715433</v>
      </c>
      <c r="D6" t="s">
        <v>729</v>
      </c>
      <c r="E6" s="13">
        <v>25034.256984993946</v>
      </c>
      <c r="F6" s="13">
        <v>25330.965041531101</v>
      </c>
      <c r="H6" t="str">
        <f t="shared" si="1"/>
        <v>PerTotal</v>
      </c>
      <c r="I6" s="13">
        <f t="shared" si="2"/>
        <v>25034.256984993946</v>
      </c>
      <c r="J6" s="13">
        <f t="shared" si="3"/>
        <v>-8752.0196639179994</v>
      </c>
      <c r="K6" s="13">
        <f t="shared" si="4"/>
        <v>9048.7277204551538</v>
      </c>
    </row>
    <row r="7" spans="2:11">
      <c r="C7" s="13">
        <f t="shared" si="0"/>
        <v>500.11593589446056</v>
      </c>
      <c r="D7" t="s">
        <v>137</v>
      </c>
      <c r="E7" s="13">
        <v>24925.430066852954</v>
      </c>
      <c r="F7" s="13">
        <v>25425.546002747415</v>
      </c>
      <c r="H7" t="str">
        <f t="shared" si="1"/>
        <v>ER visits</v>
      </c>
      <c r="I7" s="13">
        <f t="shared" si="2"/>
        <v>24925.430066852954</v>
      </c>
      <c r="J7" s="13">
        <f t="shared" si="3"/>
        <v>-8643.1927457770071</v>
      </c>
      <c r="K7" s="13">
        <f t="shared" si="4"/>
        <v>9143.3086816714676</v>
      </c>
    </row>
    <row r="8" spans="2:11">
      <c r="C8" s="13">
        <f t="shared" si="0"/>
        <v>791.7839976346113</v>
      </c>
      <c r="D8" t="s">
        <v>138</v>
      </c>
      <c r="E8" s="13">
        <v>24804.429261727098</v>
      </c>
      <c r="F8" s="13">
        <v>25596.21325936171</v>
      </c>
      <c r="H8" t="str">
        <f t="shared" si="1"/>
        <v>GP visits</v>
      </c>
      <c r="I8" s="13">
        <f t="shared" si="2"/>
        <v>24804.429261727098</v>
      </c>
      <c r="J8" s="13">
        <f t="shared" si="3"/>
        <v>-8522.1919406511515</v>
      </c>
      <c r="K8" s="13">
        <f t="shared" si="4"/>
        <v>9313.9759382857628</v>
      </c>
    </row>
    <row r="9" spans="2:11">
      <c r="C9" s="13">
        <f t="shared" si="0"/>
        <v>967.49875728148982</v>
      </c>
      <c r="D9" t="s">
        <v>452</v>
      </c>
      <c r="E9" s="13">
        <v>24757.244618480305</v>
      </c>
      <c r="F9" s="13">
        <v>25724.743375761795</v>
      </c>
      <c r="H9" t="str">
        <f t="shared" si="1"/>
        <v>drop-out</v>
      </c>
      <c r="I9" s="13">
        <f t="shared" si="2"/>
        <v>24757.244618480305</v>
      </c>
      <c r="J9" s="13">
        <f t="shared" si="3"/>
        <v>-8475.0072974043578</v>
      </c>
      <c r="K9" s="13">
        <f t="shared" si="4"/>
        <v>9442.5060546858476</v>
      </c>
    </row>
    <row r="10" spans="2:11">
      <c r="C10" s="13">
        <f t="shared" si="0"/>
        <v>1365.9432896658145</v>
      </c>
      <c r="D10" t="s">
        <v>453</v>
      </c>
      <c r="E10" s="13">
        <v>24513.414106945937</v>
      </c>
      <c r="F10" s="13">
        <v>25879.357396611751</v>
      </c>
      <c r="H10" t="str">
        <f t="shared" si="1"/>
        <v>IP visits</v>
      </c>
      <c r="I10" s="13">
        <f t="shared" si="2"/>
        <v>24513.414106945937</v>
      </c>
      <c r="J10" s="13">
        <f t="shared" si="3"/>
        <v>-8231.1767858699895</v>
      </c>
      <c r="K10" s="13">
        <f t="shared" si="4"/>
        <v>9597.1200755358041</v>
      </c>
    </row>
    <row r="11" spans="2:11">
      <c r="C11" s="13">
        <f t="shared" si="0"/>
        <v>1521.9663540896545</v>
      </c>
      <c r="D11" t="s">
        <v>718</v>
      </c>
      <c r="E11" s="13">
        <v>24474.972310685142</v>
      </c>
      <c r="F11" s="13">
        <v>25996.938664774796</v>
      </c>
      <c r="H11" t="str">
        <f t="shared" si="1"/>
        <v>Adverse Events</v>
      </c>
      <c r="I11" s="13">
        <f t="shared" si="2"/>
        <v>24474.972310685142</v>
      </c>
      <c r="J11" s="13">
        <f t="shared" si="3"/>
        <v>-8192.7349896091946</v>
      </c>
      <c r="K11" s="13">
        <f t="shared" si="4"/>
        <v>9714.7013436988491</v>
      </c>
    </row>
    <row r="12" spans="2:11">
      <c r="C12" s="13">
        <f t="shared" si="0"/>
        <v>1844.7591162181998</v>
      </c>
      <c r="D12" t="s">
        <v>743</v>
      </c>
      <c r="E12" s="249">
        <v>24616.160397497792</v>
      </c>
      <c r="F12" s="249">
        <v>26460.919513715991</v>
      </c>
      <c r="H12" t="str">
        <f t="shared" si="1"/>
        <v>GP Training</v>
      </c>
      <c r="I12" s="13">
        <f t="shared" si="2"/>
        <v>24616.160397497792</v>
      </c>
      <c r="J12" s="13">
        <f t="shared" si="3"/>
        <v>-8333.9230764218446</v>
      </c>
      <c r="K12" s="13">
        <f t="shared" si="4"/>
        <v>10178.682192640044</v>
      </c>
    </row>
    <row r="13" spans="2:11">
      <c r="C13" s="13">
        <f t="shared" si="0"/>
        <v>2914.3567103647147</v>
      </c>
      <c r="D13" t="s">
        <v>449</v>
      </c>
      <c r="E13" s="13">
        <v>23745.855560565287</v>
      </c>
      <c r="F13" s="13">
        <v>26660.212270930002</v>
      </c>
      <c r="H13" t="str">
        <f t="shared" si="1"/>
        <v>utility</v>
      </c>
      <c r="I13" s="13">
        <f t="shared" si="2"/>
        <v>23745.855560565287</v>
      </c>
      <c r="J13" s="13">
        <f t="shared" si="3"/>
        <v>-7463.6182394893403</v>
      </c>
      <c r="K13" s="13">
        <f t="shared" si="4"/>
        <v>10377.974949854055</v>
      </c>
    </row>
    <row r="14" spans="2:11">
      <c r="C14" s="13">
        <f t="shared" si="0"/>
        <v>20408.47670974987</v>
      </c>
      <c r="D14" t="s">
        <v>485</v>
      </c>
      <c r="E14" s="13">
        <v>18586.809314258382</v>
      </c>
      <c r="F14" s="13">
        <v>38995.286024008252</v>
      </c>
      <c r="H14" t="str">
        <f t="shared" si="1"/>
        <v>ISI values 301</v>
      </c>
      <c r="I14" s="13">
        <f t="shared" si="2"/>
        <v>18586.809314258382</v>
      </c>
      <c r="J14" s="13">
        <f t="shared" si="3"/>
        <v>-2304.5719931824351</v>
      </c>
      <c r="K14" s="13">
        <f t="shared" si="4"/>
        <v>22713.048702932305</v>
      </c>
    </row>
    <row r="15" spans="2:11">
      <c r="C15" s="13">
        <f t="shared" si="0"/>
        <v>27682.136566011119</v>
      </c>
      <c r="D15" t="s">
        <v>486</v>
      </c>
      <c r="E15" s="13">
        <v>17781.53916801064</v>
      </c>
      <c r="F15" s="13">
        <v>45463.675734021759</v>
      </c>
      <c r="H15" t="str">
        <f t="shared" si="1"/>
        <v>ISI values 303</v>
      </c>
      <c r="I15" s="13">
        <f t="shared" si="2"/>
        <v>17781.53916801064</v>
      </c>
      <c r="J15" s="13">
        <f t="shared" si="3"/>
        <v>-1499.3018469346935</v>
      </c>
      <c r="K15" s="13">
        <f t="shared" si="4"/>
        <v>29181.438412945812</v>
      </c>
    </row>
    <row r="16" spans="2:11">
      <c r="C16" s="13"/>
      <c r="E16" s="13"/>
      <c r="F16" s="13"/>
      <c r="I16" s="13"/>
      <c r="J16" s="13"/>
      <c r="K16" s="13"/>
    </row>
    <row r="17" spans="3:11">
      <c r="C17" s="13" t="s">
        <v>456</v>
      </c>
      <c r="D17" s="9">
        <f>'Model | 1 Year'!D105</f>
        <v>16282.237321075947</v>
      </c>
      <c r="E17" s="13" t="s">
        <v>457</v>
      </c>
      <c r="F17" s="13"/>
      <c r="I17" s="13"/>
      <c r="J17" s="13"/>
      <c r="K17" s="13"/>
    </row>
    <row r="18" spans="3:11">
      <c r="D18" s="9">
        <v>25204</v>
      </c>
    </row>
    <row r="20" spans="3:11">
      <c r="E20" s="249"/>
      <c r="F20" s="249"/>
    </row>
  </sheetData>
  <sortState xmlns:xlrd2="http://schemas.microsoft.com/office/spreadsheetml/2017/richdata2" ref="C5:K15">
    <sortCondition ref="C5:C15"/>
  </sortState>
  <phoneticPr fontId="31" type="noConversion"/>
  <pageMargins left="0.7" right="0.7" top="0.75" bottom="0.75" header="0.3" footer="0.3"/>
  <pageSetup paperSize="9"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3A505-CCC3-274B-8DC8-45A50610B3B1}">
  <sheetPr>
    <tabColor theme="3"/>
  </sheetPr>
  <dimension ref="B2:Q45"/>
  <sheetViews>
    <sheetView topLeftCell="D10" workbookViewId="0">
      <selection activeCell="T33" sqref="T33"/>
    </sheetView>
  </sheetViews>
  <sheetFormatPr baseColWidth="10" defaultRowHeight="16"/>
  <cols>
    <col min="2" max="2" width="13.33203125" customWidth="1"/>
  </cols>
  <sheetData>
    <row r="2" spans="2:5" ht="17" thickBot="1"/>
    <row r="3" spans="2:5" ht="17" thickBot="1">
      <c r="B3" s="268"/>
      <c r="C3" s="314"/>
      <c r="D3" s="314"/>
      <c r="E3" s="314"/>
    </row>
    <row r="4" spans="2:5">
      <c r="B4" s="269" t="s">
        <v>762</v>
      </c>
      <c r="C4" s="267" t="s">
        <v>305</v>
      </c>
      <c r="D4" s="267" t="s">
        <v>766</v>
      </c>
      <c r="E4" s="267" t="s">
        <v>767</v>
      </c>
    </row>
    <row r="5" spans="2:5">
      <c r="B5" s="269" t="s">
        <v>763</v>
      </c>
      <c r="C5" s="267" t="s">
        <v>765</v>
      </c>
      <c r="D5" s="267" t="s">
        <v>765</v>
      </c>
      <c r="E5" s="267" t="s">
        <v>768</v>
      </c>
    </row>
    <row r="6" spans="2:5" ht="17" thickBot="1">
      <c r="B6" s="270" t="s">
        <v>764</v>
      </c>
      <c r="C6" s="272"/>
      <c r="D6" s="272"/>
      <c r="E6" s="271" t="s">
        <v>769</v>
      </c>
    </row>
    <row r="7" spans="2:5">
      <c r="B7" s="315"/>
      <c r="C7" s="315"/>
      <c r="D7" s="315"/>
      <c r="E7" s="315"/>
    </row>
    <row r="8" spans="2:5">
      <c r="B8" s="313" t="s">
        <v>770</v>
      </c>
      <c r="C8" s="313"/>
      <c r="D8" s="313"/>
      <c r="E8" s="313"/>
    </row>
    <row r="9" spans="2:5" ht="26">
      <c r="B9" s="269" t="s">
        <v>771</v>
      </c>
      <c r="C9" s="269">
        <v>0.84099999999999997</v>
      </c>
      <c r="D9" s="269" t="s">
        <v>772</v>
      </c>
      <c r="E9" s="269">
        <v>0.15870000000000001</v>
      </c>
    </row>
    <row r="10" spans="2:5" ht="26">
      <c r="B10" s="269" t="s">
        <v>773</v>
      </c>
      <c r="C10" s="269">
        <v>0.83699999999999997</v>
      </c>
      <c r="D10" s="269" t="s">
        <v>774</v>
      </c>
      <c r="E10" s="269">
        <v>1.4500000000000001E-2</v>
      </c>
    </row>
    <row r="11" spans="2:5">
      <c r="B11" s="269" t="s">
        <v>775</v>
      </c>
      <c r="C11" s="269" t="s">
        <v>776</v>
      </c>
      <c r="D11" s="269" t="s">
        <v>777</v>
      </c>
      <c r="E11" s="269" t="s">
        <v>778</v>
      </c>
    </row>
    <row r="12" spans="2:5">
      <c r="B12" s="312"/>
      <c r="C12" s="312"/>
      <c r="D12" s="312"/>
      <c r="E12" s="312"/>
    </row>
    <row r="13" spans="2:5">
      <c r="B13" s="313" t="s">
        <v>779</v>
      </c>
      <c r="C13" s="313"/>
      <c r="D13" s="313"/>
      <c r="E13" s="313"/>
    </row>
    <row r="14" spans="2:5" ht="26">
      <c r="B14" s="269" t="s">
        <v>771</v>
      </c>
      <c r="C14" s="269">
        <v>0.96299999999999997</v>
      </c>
      <c r="D14" s="269" t="s">
        <v>780</v>
      </c>
      <c r="E14" s="269">
        <v>0.87539999999999996</v>
      </c>
    </row>
    <row r="15" spans="2:5" ht="26">
      <c r="B15" s="269" t="s">
        <v>773</v>
      </c>
      <c r="C15" s="269">
        <v>0.95899999999999996</v>
      </c>
      <c r="D15" s="269" t="s">
        <v>781</v>
      </c>
      <c r="E15" s="269">
        <v>3.5799999999999998E-2</v>
      </c>
    </row>
    <row r="16" spans="2:5">
      <c r="B16" s="269" t="s">
        <v>775</v>
      </c>
      <c r="C16" s="269" t="s">
        <v>776</v>
      </c>
      <c r="D16" s="269" t="s">
        <v>777</v>
      </c>
      <c r="E16" s="269" t="s">
        <v>778</v>
      </c>
    </row>
    <row r="17" spans="2:5">
      <c r="B17" s="312"/>
      <c r="C17" s="312"/>
      <c r="D17" s="312"/>
      <c r="E17" s="312"/>
    </row>
    <row r="18" spans="2:5">
      <c r="B18" s="313" t="s">
        <v>782</v>
      </c>
      <c r="C18" s="313"/>
      <c r="D18" s="313"/>
      <c r="E18" s="313"/>
    </row>
    <row r="19" spans="2:5" ht="26">
      <c r="B19" s="269" t="s">
        <v>771</v>
      </c>
      <c r="C19" s="269">
        <v>1.1339999999999999</v>
      </c>
      <c r="D19" s="269" t="s">
        <v>783</v>
      </c>
      <c r="E19" s="269">
        <v>0.25280000000000002</v>
      </c>
    </row>
    <row r="20" spans="2:5" ht="26">
      <c r="B20" s="269" t="s">
        <v>773</v>
      </c>
      <c r="C20" s="269">
        <v>1.1279999999999999</v>
      </c>
      <c r="D20" s="269" t="s">
        <v>784</v>
      </c>
      <c r="E20" s="269">
        <v>5.1900000000000002E-2</v>
      </c>
    </row>
    <row r="21" spans="2:5">
      <c r="B21" s="269" t="s">
        <v>775</v>
      </c>
      <c r="C21" s="269" t="s">
        <v>776</v>
      </c>
      <c r="D21" s="269" t="s">
        <v>777</v>
      </c>
      <c r="E21" s="269" t="s">
        <v>778</v>
      </c>
    </row>
    <row r="22" spans="2:5">
      <c r="B22" s="312"/>
      <c r="C22" s="312"/>
      <c r="D22" s="312"/>
      <c r="E22" s="312"/>
    </row>
    <row r="23" spans="2:5">
      <c r="B23" s="313" t="s">
        <v>785</v>
      </c>
      <c r="C23" s="313"/>
      <c r="D23" s="313"/>
      <c r="E23" s="313"/>
    </row>
    <row r="24" spans="2:5" ht="26">
      <c r="B24" s="269" t="s">
        <v>771</v>
      </c>
      <c r="C24" s="269">
        <v>1.1859999999999999</v>
      </c>
      <c r="D24" s="269" t="s">
        <v>786</v>
      </c>
      <c r="E24" s="269">
        <v>0.40820000000000001</v>
      </c>
    </row>
    <row r="25" spans="2:5" ht="26">
      <c r="B25" s="269" t="s">
        <v>773</v>
      </c>
      <c r="C25" s="269">
        <v>1.1839999999999999</v>
      </c>
      <c r="D25" s="269" t="s">
        <v>787</v>
      </c>
      <c r="E25" s="269">
        <v>3.7900000000000003E-2</v>
      </c>
    </row>
    <row r="26" spans="2:5">
      <c r="B26" s="269" t="s">
        <v>775</v>
      </c>
      <c r="C26" s="269" t="s">
        <v>776</v>
      </c>
      <c r="D26" s="269" t="s">
        <v>777</v>
      </c>
      <c r="E26" s="269" t="s">
        <v>778</v>
      </c>
    </row>
    <row r="27" spans="2:5">
      <c r="B27" s="312"/>
      <c r="C27" s="312"/>
      <c r="D27" s="312"/>
      <c r="E27" s="312"/>
    </row>
    <row r="28" spans="2:5">
      <c r="B28" s="313" t="s">
        <v>788</v>
      </c>
      <c r="C28" s="313"/>
      <c r="D28" s="313"/>
      <c r="E28" s="313"/>
    </row>
    <row r="29" spans="2:5" ht="26">
      <c r="B29" s="269" t="s">
        <v>771</v>
      </c>
      <c r="C29" s="269">
        <v>1.1910000000000001</v>
      </c>
      <c r="D29" s="269" t="s">
        <v>789</v>
      </c>
      <c r="E29" s="269">
        <v>0.9254</v>
      </c>
    </row>
    <row r="30" spans="2:5" ht="26">
      <c r="B30" s="269" t="s">
        <v>773</v>
      </c>
      <c r="C30" s="269">
        <v>1.19</v>
      </c>
      <c r="D30" s="269" t="s">
        <v>790</v>
      </c>
      <c r="E30" s="269">
        <v>0.24759999999999999</v>
      </c>
    </row>
    <row r="31" spans="2:5">
      <c r="B31" s="269" t="s">
        <v>775</v>
      </c>
      <c r="C31" s="269" t="s">
        <v>776</v>
      </c>
      <c r="D31" s="269" t="s">
        <v>777</v>
      </c>
      <c r="E31" s="269" t="s">
        <v>778</v>
      </c>
    </row>
    <row r="32" spans="2:5" ht="17" thickBot="1">
      <c r="B32" s="311"/>
      <c r="C32" s="311"/>
      <c r="D32" s="311"/>
      <c r="E32" s="311"/>
    </row>
    <row r="35" spans="2:17">
      <c r="H35" t="s">
        <v>791</v>
      </c>
      <c r="I35" t="s">
        <v>792</v>
      </c>
      <c r="J35" t="s">
        <v>793</v>
      </c>
      <c r="K35" t="s">
        <v>794</v>
      </c>
      <c r="L35" t="s">
        <v>795</v>
      </c>
      <c r="M35" t="s">
        <v>796</v>
      </c>
      <c r="N35" t="s">
        <v>797</v>
      </c>
      <c r="O35" t="s">
        <v>798</v>
      </c>
      <c r="P35" t="s">
        <v>799</v>
      </c>
      <c r="Q35" t="s">
        <v>800</v>
      </c>
    </row>
    <row r="36" spans="2:17">
      <c r="B36" t="s">
        <v>791</v>
      </c>
      <c r="C36">
        <f>C10</f>
        <v>0.83699999999999997</v>
      </c>
      <c r="G36" t="s">
        <v>791</v>
      </c>
      <c r="H36">
        <v>0.2092</v>
      </c>
      <c r="I36">
        <v>0.15870000000000001</v>
      </c>
      <c r="J36">
        <v>0.11119999999999999</v>
      </c>
      <c r="K36">
        <v>0.13980000000000001</v>
      </c>
      <c r="L36">
        <v>0.12379999999999999</v>
      </c>
      <c r="M36">
        <v>9.8700000000000003E-4</v>
      </c>
      <c r="N36">
        <v>1.1310000000000001E-3</v>
      </c>
      <c r="O36">
        <v>1.864E-3</v>
      </c>
      <c r="P36">
        <v>1.5349999999999999E-3</v>
      </c>
      <c r="Q36">
        <v>1.6000000000000001E-3</v>
      </c>
    </row>
    <row r="37" spans="2:17">
      <c r="B37" t="s">
        <v>792</v>
      </c>
      <c r="C37">
        <f>C15</f>
        <v>0.95899999999999996</v>
      </c>
      <c r="G37" t="s">
        <v>792</v>
      </c>
      <c r="H37">
        <v>0.15870000000000001</v>
      </c>
      <c r="I37">
        <v>0.27460000000000001</v>
      </c>
      <c r="J37">
        <v>0.1953</v>
      </c>
      <c r="K37">
        <v>0.19719999999999999</v>
      </c>
      <c r="L37">
        <v>0.2024</v>
      </c>
      <c r="M37">
        <v>1.1540000000000001E-3</v>
      </c>
      <c r="N37">
        <v>7.85E-4</v>
      </c>
      <c r="O37">
        <v>1.5889999999999999E-3</v>
      </c>
      <c r="P37">
        <v>1.359E-3</v>
      </c>
      <c r="Q37">
        <v>1.358E-3</v>
      </c>
    </row>
    <row r="38" spans="2:17">
      <c r="B38" t="s">
        <v>793</v>
      </c>
      <c r="C38">
        <f>C20</f>
        <v>1.1279999999999999</v>
      </c>
      <c r="G38" t="s">
        <v>793</v>
      </c>
      <c r="H38">
        <v>0.11119999999999999</v>
      </c>
      <c r="I38">
        <v>0.1953</v>
      </c>
      <c r="J38">
        <v>0.375</v>
      </c>
      <c r="K38">
        <v>0.2581</v>
      </c>
      <c r="L38">
        <v>0.26750000000000002</v>
      </c>
      <c r="M38">
        <v>1.3929999999999999E-3</v>
      </c>
      <c r="N38">
        <v>1.0859999999999999E-3</v>
      </c>
      <c r="O38">
        <v>1.5120000000000001E-3</v>
      </c>
      <c r="P38">
        <v>1.4890000000000001E-3</v>
      </c>
      <c r="Q38">
        <v>1.477E-3</v>
      </c>
    </row>
    <row r="39" spans="2:17">
      <c r="B39" t="s">
        <v>794</v>
      </c>
      <c r="C39">
        <f>C25</f>
        <v>1.1839999999999999</v>
      </c>
      <c r="G39" t="s">
        <v>794</v>
      </c>
      <c r="H39">
        <v>0.13980000000000001</v>
      </c>
      <c r="I39">
        <v>0.19719999999999999</v>
      </c>
      <c r="J39">
        <v>0.2581</v>
      </c>
      <c r="K39">
        <v>0.4037</v>
      </c>
      <c r="L39">
        <v>0.31169999999999998</v>
      </c>
      <c r="M39">
        <v>1.222E-3</v>
      </c>
      <c r="N39">
        <v>1.0219999999999999E-3</v>
      </c>
      <c r="O39">
        <v>1.691E-3</v>
      </c>
      <c r="P39">
        <v>1.1540000000000001E-3</v>
      </c>
      <c r="Q39">
        <v>1.255E-3</v>
      </c>
    </row>
    <row r="40" spans="2:17">
      <c r="B40" t="s">
        <v>795</v>
      </c>
      <c r="C40">
        <f>C30</f>
        <v>1.19</v>
      </c>
      <c r="G40" t="s">
        <v>795</v>
      </c>
      <c r="H40">
        <v>0.12379999999999999</v>
      </c>
      <c r="I40">
        <v>0.2024</v>
      </c>
      <c r="J40">
        <v>0.26750000000000002</v>
      </c>
      <c r="K40">
        <v>0.31169999999999998</v>
      </c>
      <c r="L40">
        <v>0.42530000000000001</v>
      </c>
      <c r="M40">
        <v>1.2440000000000001E-3</v>
      </c>
      <c r="N40">
        <v>9.4700000000000003E-4</v>
      </c>
      <c r="O40">
        <v>1.624E-3</v>
      </c>
      <c r="P40">
        <v>1.158E-3</v>
      </c>
      <c r="Q40">
        <v>1.2390000000000001E-3</v>
      </c>
    </row>
    <row r="41" spans="2:17">
      <c r="B41" t="s">
        <v>796</v>
      </c>
      <c r="G41" t="s">
        <v>796</v>
      </c>
      <c r="H41">
        <v>9.8700000000000003E-4</v>
      </c>
      <c r="I41">
        <v>1.1540000000000001E-3</v>
      </c>
      <c r="J41">
        <v>1.3929999999999999E-3</v>
      </c>
      <c r="K41">
        <v>1.222E-3</v>
      </c>
      <c r="L41">
        <v>1.2440000000000001E-3</v>
      </c>
      <c r="M41">
        <v>0.49309999999999998</v>
      </c>
      <c r="N41">
        <v>0.37540000000000001</v>
      </c>
      <c r="O41">
        <v>0.26069999999999999</v>
      </c>
      <c r="P41">
        <v>0.33029999999999998</v>
      </c>
      <c r="Q41">
        <v>0.29149999999999998</v>
      </c>
    </row>
    <row r="42" spans="2:17">
      <c r="B42" t="s">
        <v>797</v>
      </c>
      <c r="G42" t="s">
        <v>797</v>
      </c>
      <c r="H42">
        <v>1.1310000000000001E-3</v>
      </c>
      <c r="I42">
        <v>7.85E-4</v>
      </c>
      <c r="J42">
        <v>1.0859999999999999E-3</v>
      </c>
      <c r="K42">
        <v>1.0219999999999999E-3</v>
      </c>
      <c r="L42">
        <v>9.4700000000000003E-4</v>
      </c>
      <c r="M42">
        <v>0.37540000000000001</v>
      </c>
      <c r="N42">
        <v>0.64700000000000002</v>
      </c>
      <c r="O42">
        <v>0.4647</v>
      </c>
      <c r="P42">
        <v>0.46939999999999998</v>
      </c>
      <c r="Q42">
        <v>0.48149999999999998</v>
      </c>
    </row>
    <row r="43" spans="2:17">
      <c r="B43" t="s">
        <v>798</v>
      </c>
      <c r="G43" t="s">
        <v>798</v>
      </c>
      <c r="H43">
        <v>1.864E-3</v>
      </c>
      <c r="I43">
        <v>1.5889999999999999E-3</v>
      </c>
      <c r="J43">
        <v>1.5120000000000001E-3</v>
      </c>
      <c r="K43">
        <v>1.691E-3</v>
      </c>
      <c r="L43">
        <v>1.624E-3</v>
      </c>
      <c r="M43">
        <v>0.26069999999999999</v>
      </c>
      <c r="N43">
        <v>0.4647</v>
      </c>
      <c r="O43">
        <v>0.9002</v>
      </c>
      <c r="P43">
        <v>0.61550000000000005</v>
      </c>
      <c r="Q43">
        <v>0.63929999999999998</v>
      </c>
    </row>
    <row r="44" spans="2:17">
      <c r="B44" t="s">
        <v>799</v>
      </c>
      <c r="G44" t="s">
        <v>799</v>
      </c>
      <c r="H44">
        <v>1.5349999999999999E-3</v>
      </c>
      <c r="I44">
        <v>1.359E-3</v>
      </c>
      <c r="J44">
        <v>1.4890000000000001E-3</v>
      </c>
      <c r="K44">
        <v>1.1540000000000001E-3</v>
      </c>
      <c r="L44">
        <v>1.158E-3</v>
      </c>
      <c r="M44">
        <v>0.33029999999999998</v>
      </c>
      <c r="N44">
        <v>0.46939999999999998</v>
      </c>
      <c r="O44">
        <v>0.61550000000000005</v>
      </c>
      <c r="P44">
        <v>0.99950000000000006</v>
      </c>
      <c r="Q44">
        <v>0.74470000000000003</v>
      </c>
    </row>
    <row r="45" spans="2:17">
      <c r="B45" t="s">
        <v>800</v>
      </c>
      <c r="G45" t="s">
        <v>800</v>
      </c>
      <c r="H45">
        <v>1.6000000000000001E-3</v>
      </c>
      <c r="I45">
        <v>1.358E-3</v>
      </c>
      <c r="J45">
        <v>1.477E-3</v>
      </c>
      <c r="K45">
        <v>1.255E-3</v>
      </c>
      <c r="L45">
        <v>1.2390000000000001E-3</v>
      </c>
      <c r="M45">
        <v>0.29149999999999998</v>
      </c>
      <c r="N45">
        <v>0.48149999999999998</v>
      </c>
      <c r="O45">
        <v>0.63929999999999998</v>
      </c>
      <c r="P45">
        <v>0.74470000000000003</v>
      </c>
      <c r="Q45">
        <v>0.99209999999999998</v>
      </c>
    </row>
  </sheetData>
  <mergeCells count="12">
    <mergeCell ref="C3:E3"/>
    <mergeCell ref="B7:E7"/>
    <mergeCell ref="B8:E8"/>
    <mergeCell ref="B12:E12"/>
    <mergeCell ref="B13:E13"/>
    <mergeCell ref="B32:E32"/>
    <mergeCell ref="B17:E17"/>
    <mergeCell ref="B18:E18"/>
    <mergeCell ref="B22:E22"/>
    <mergeCell ref="B23:E23"/>
    <mergeCell ref="B27:E27"/>
    <mergeCell ref="B28:E2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bbcf6ee-9fbd-400c-b917-9fe3efcb3dea" xsi:nil="true"/>
    <lcf76f155ced4ddcb4097134ff3c332f xmlns="24c4de50-e83f-4422-8c12-f3d756fdd75f">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7781C7CC1634D4880B952C67A35F335" ma:contentTypeVersion="14" ma:contentTypeDescription="Create a new document." ma:contentTypeScope="" ma:versionID="774b3bfcd32c5c010e2271755f2b6f87">
  <xsd:schema xmlns:xsd="http://www.w3.org/2001/XMLSchema" xmlns:xs="http://www.w3.org/2001/XMLSchema" xmlns:p="http://schemas.microsoft.com/office/2006/metadata/properties" xmlns:ns2="24c4de50-e83f-4422-8c12-f3d756fdd75f" xmlns:ns3="84ab6a1e-10a2-483a-becb-da14b67a39c6" xmlns:ns4="fbbcf6ee-9fbd-400c-b917-9fe3efcb3dea" targetNamespace="http://schemas.microsoft.com/office/2006/metadata/properties" ma:root="true" ma:fieldsID="579d864ae69f1d210ca29fe2e175e22c" ns2:_="" ns3:_="" ns4:_="">
    <xsd:import namespace="24c4de50-e83f-4422-8c12-f3d756fdd75f"/>
    <xsd:import namespace="84ab6a1e-10a2-483a-becb-da14b67a39c6"/>
    <xsd:import namespace="fbbcf6ee-9fbd-400c-b917-9fe3efcb3de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ServiceDocTag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4c4de50-e83f-4422-8c12-f3d756fdd75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b68784c8-5187-4d12-af89-ac967a811220"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ocTags" ma:index="20" nillable="true" ma:displayName="MediaServiceDocTags" ma:hidden="true" ma:internalName="MediaServiceDocTags" ma:readOnly="true">
      <xsd:simpleType>
        <xsd:restriction base="dms:Note"/>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4ab6a1e-10a2-483a-becb-da14b67a39c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bbcf6ee-9fbd-400c-b917-9fe3efcb3dea"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7e35a2e0-c846-485c-a5b7-57a80a6267af}" ma:internalName="TaxCatchAll" ma:showField="CatchAllData" ma:web="84ab6a1e-10a2-483a-becb-da14b67a39c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1FB163-0DDA-459E-B9AB-AC7F3E7420A9}">
  <ds:schemaRefs>
    <ds:schemaRef ds:uri="http://schemas.microsoft.com/office/2006/documentManagement/types"/>
    <ds:schemaRef ds:uri="24c4de50-e83f-4422-8c12-f3d756fdd75f"/>
    <ds:schemaRef ds:uri="84ab6a1e-10a2-483a-becb-da14b67a39c6"/>
    <ds:schemaRef ds:uri="http://www.w3.org/XML/1998/namespace"/>
    <ds:schemaRef ds:uri="http://purl.org/dc/terms/"/>
    <ds:schemaRef ds:uri="fbbcf6ee-9fbd-400c-b917-9fe3efcb3dea"/>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A0D28C80-193A-4C25-8C39-8F3236C174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4c4de50-e83f-4422-8c12-f3d756fdd75f"/>
    <ds:schemaRef ds:uri="84ab6a1e-10a2-483a-becb-da14b67a39c6"/>
    <ds:schemaRef ds:uri="fbbcf6ee-9fbd-400c-b917-9fe3efcb3de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6DE59F9-4870-4473-AD3A-DBA4630D90FB}">
  <ds:schemaRefs>
    <ds:schemaRef ds:uri="http://schemas.microsoft.com/sharepoint/v3/contenttype/forms"/>
  </ds:schemaRefs>
</ds:datastoreItem>
</file>

<file path=docMetadata/LabelInfo.xml><?xml version="1.0" encoding="utf-8"?>
<clbl:labelList xmlns:clbl="http://schemas.microsoft.com/office/2020/mipLabelMetadata">
  <clbl:label id="{5989ece0-f90e-40bf-9c79-1a7beccdb861}" enabled="0" method="" siteId="{5989ece0-f90e-40bf-9c79-1a7beccdb861}" removed="1"/>
</clbl:labelLis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6" baseType="variant">
      <vt:variant>
        <vt:lpstr>Worksheets</vt:lpstr>
      </vt:variant>
      <vt:variant>
        <vt:i4>17</vt:i4>
      </vt:variant>
      <vt:variant>
        <vt:lpstr>Charts</vt:lpstr>
      </vt:variant>
      <vt:variant>
        <vt:i4>10</vt:i4>
      </vt:variant>
      <vt:variant>
        <vt:lpstr>Named Ranges</vt:lpstr>
      </vt:variant>
      <vt:variant>
        <vt:i4>71</vt:i4>
      </vt:variant>
    </vt:vector>
  </HeadingPairs>
  <TitlesOfParts>
    <vt:vector size="98" baseType="lpstr">
      <vt:lpstr>Title</vt:lpstr>
      <vt:lpstr>Background</vt:lpstr>
      <vt:lpstr>Guide</vt:lpstr>
      <vt:lpstr>Model | Parameters</vt:lpstr>
      <vt:lpstr>Model | ISI analysis (live)</vt:lpstr>
      <vt:lpstr>Model | 1 Year</vt:lpstr>
      <vt:lpstr>Model | Lifetime</vt:lpstr>
      <vt:lpstr>Model | Simulation</vt:lpstr>
      <vt:lpstr>Ref | NHWS utility</vt:lpstr>
      <vt:lpstr>Ref | NHWS utility2</vt:lpstr>
      <vt:lpstr>Ref | NHWS RU</vt:lpstr>
      <vt:lpstr>Ref | SDS</vt:lpstr>
      <vt:lpstr>Ref | AEs</vt:lpstr>
      <vt:lpstr>Ref | Study 303</vt:lpstr>
      <vt:lpstr>Ref | ONS Lifetable</vt:lpstr>
      <vt:lpstr>Ref | DSA</vt:lpstr>
      <vt:lpstr>Ref | Mixed Model</vt:lpstr>
      <vt:lpstr>GRAPH | 1 year ISI</vt:lpstr>
      <vt:lpstr>GRAPH | 1 year QALY</vt:lpstr>
      <vt:lpstr>GRAPH | HCRU</vt:lpstr>
      <vt:lpstr>GRAPH | HCRU Δ</vt:lpstr>
      <vt:lpstr>GRAPH | WPAI</vt:lpstr>
      <vt:lpstr>GRAPH | WPAI Δ</vt:lpstr>
      <vt:lpstr>GRAPH | CE Plane</vt:lpstr>
      <vt:lpstr>GRAPH | Tornado</vt:lpstr>
      <vt:lpstr>GRAPH | SDS</vt:lpstr>
      <vt:lpstr>GRAPH | Waning</vt:lpstr>
      <vt:lpstr>_303ISI12m</vt:lpstr>
      <vt:lpstr>_303ISI12mPLA</vt:lpstr>
      <vt:lpstr>_303ISI6m</vt:lpstr>
      <vt:lpstr>_303ISI6mPLA</vt:lpstr>
      <vt:lpstr>_303ISI9m</vt:lpstr>
      <vt:lpstr>_303ISI9mPLA</vt:lpstr>
      <vt:lpstr>Age</vt:lpstr>
      <vt:lpstr>ALDVMM</vt:lpstr>
      <vt:lpstr>annualWR</vt:lpstr>
      <vt:lpstr>baseISI</vt:lpstr>
      <vt:lpstr>baseISIadj</vt:lpstr>
      <vt:lpstr>baseISIadjM1</vt:lpstr>
      <vt:lpstr>Beta1</vt:lpstr>
      <vt:lpstr>Beta2</vt:lpstr>
      <vt:lpstr>Beta3</vt:lpstr>
      <vt:lpstr>blw6hrs</vt:lpstr>
      <vt:lpstr>btw67_</vt:lpstr>
      <vt:lpstr>cAE</vt:lpstr>
      <vt:lpstr>cDR</vt:lpstr>
      <vt:lpstr>challenge</vt:lpstr>
      <vt:lpstr>cons</vt:lpstr>
      <vt:lpstr>consAbsent</vt:lpstr>
      <vt:lpstr>consER</vt:lpstr>
      <vt:lpstr>consGP</vt:lpstr>
      <vt:lpstr>consIP</vt:lpstr>
      <vt:lpstr>consM1</vt:lpstr>
      <vt:lpstr>consPresent</vt:lpstr>
      <vt:lpstr>consU</vt:lpstr>
      <vt:lpstr>covarsC</vt:lpstr>
      <vt:lpstr>covarsP</vt:lpstr>
      <vt:lpstr>D50mg</vt:lpstr>
      <vt:lpstr>D50mgM1</vt:lpstr>
      <vt:lpstr>D67_</vt:lpstr>
      <vt:lpstr>D7plus</vt:lpstr>
      <vt:lpstr>Dblw6</vt:lpstr>
      <vt:lpstr>delta1</vt:lpstr>
      <vt:lpstr>delta2</vt:lpstr>
      <vt:lpstr>dom1_</vt:lpstr>
      <vt:lpstr>dom12_</vt:lpstr>
      <vt:lpstr>dom3_</vt:lpstr>
      <vt:lpstr>dom6_</vt:lpstr>
      <vt:lpstr>dom9_</vt:lpstr>
      <vt:lpstr>doRate</vt:lpstr>
      <vt:lpstr>hourlyWR</vt:lpstr>
      <vt:lpstr>hrsTrain</vt:lpstr>
      <vt:lpstr>'Ref | Mixed Model'!IDX</vt:lpstr>
      <vt:lpstr>ISItotAbsent</vt:lpstr>
      <vt:lpstr>ISItotER</vt:lpstr>
      <vt:lpstr>ISItotGP</vt:lpstr>
      <vt:lpstr>ISItotIP</vt:lpstr>
      <vt:lpstr>ISItotPresent</vt:lpstr>
      <vt:lpstr>ISItotU</vt:lpstr>
      <vt:lpstr>Lifetable</vt:lpstr>
      <vt:lpstr>mnAge</vt:lpstr>
      <vt:lpstr>NT67_</vt:lpstr>
      <vt:lpstr>NT7plus</vt:lpstr>
      <vt:lpstr>NTblw6</vt:lpstr>
      <vt:lpstr>oDR</vt:lpstr>
      <vt:lpstr>perTot</vt:lpstr>
      <vt:lpstr>ps1.1</vt:lpstr>
      <vt:lpstr>psi.2</vt:lpstr>
      <vt:lpstr>ptsAnnum</vt:lpstr>
      <vt:lpstr>qAE</vt:lpstr>
      <vt:lpstr>sigma1</vt:lpstr>
      <vt:lpstr>sigma2</vt:lpstr>
      <vt:lpstr>sigma3</vt:lpstr>
      <vt:lpstr>TxC</vt:lpstr>
      <vt:lpstr>ucER</vt:lpstr>
      <vt:lpstr>ucGP</vt:lpstr>
      <vt:lpstr>ucIP</vt:lpstr>
      <vt:lpstr>'Model | Parameters'!waning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Andrew Briggs</cp:lastModifiedBy>
  <cp:lastPrinted>2023-04-20T15:19:39Z</cp:lastPrinted>
  <dcterms:created xsi:type="dcterms:W3CDTF">2022-02-12T15:07:38Z</dcterms:created>
  <dcterms:modified xsi:type="dcterms:W3CDTF">2024-10-25T14:50:54Z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0x010100B7781C7CC1634D4880B952C67A35F335</vt:lpwstr>
  </property>
  <property fmtid="{D5CDD505-2E9C-101B-9397-08002B2CF9AE}" pid="3" name="MediaServiceImageTags">
    <vt:lpwstr/>
  </property>
</Properties>
</file>