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2" autoFilterDateGrouping="1"/>
  </bookViews>
  <sheets>
    <sheet name="AVS-2024" sheetId="1" state="visible" r:id="rId1"/>
    <sheet name="indicators" sheetId="2" state="visible" r:id="rId2"/>
    <sheet name="backtrace" sheetId="3" state="visible" r:id="rId3"/>
  </sheets>
  <definedNames>
    <definedName name="_xlnm._FilterDatabase" localSheetId="0" hidden="1">'AVS-2024'!$A$1:$BB$499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7">
    <font>
      <name val="Arial"/>
      <color rgb="FF000000"/>
      <sz val="10"/>
      <scheme val="minor"/>
    </font>
    <font>
      <name val="Arial"/>
      <b val="1"/>
      <color rgb="FF374151"/>
      <sz val="10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Calibri"/>
      <color theme="1"/>
      <sz val="11"/>
    </font>
    <font>
      <name val="Arial"/>
      <b val="1"/>
      <sz val="10"/>
    </font>
    <font>
      <b val="1"/>
    </font>
  </fonts>
  <fills count="5">
    <fill>
      <patternFill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3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3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3" fontId="2" fillId="3" borderId="1" applyAlignment="1" pivotButton="0" quotePrefix="0" xfId="0">
      <alignment horizontal="center" vertical="center"/>
    </xf>
    <xf numFmtId="3" fontId="2" fillId="0" borderId="0" applyAlignment="1" pivotButton="0" quotePrefix="0" xfId="0">
      <alignment horizontal="center" vertical="center"/>
    </xf>
    <xf numFmtId="3" fontId="2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3" fontId="2" fillId="4" borderId="0" applyAlignment="1" pivotButton="0" quotePrefix="0" xfId="0">
      <alignment horizontal="center" vertical="center"/>
    </xf>
    <xf numFmtId="0" fontId="3" fillId="4" borderId="0" pivotButton="0" quotePrefix="0" xfId="0"/>
    <xf numFmtId="0" fontId="4" fillId="0" borderId="1" applyAlignment="1" pivotButton="0" quotePrefix="0" xfId="0">
      <alignment horizontal="center"/>
    </xf>
    <xf numFmtId="3" fontId="3" fillId="0" borderId="1" applyAlignment="1" pivotButton="0" quotePrefix="0" xfId="0">
      <alignment horizontal="center"/>
    </xf>
    <xf numFmtId="10" fontId="3" fillId="0" borderId="1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10" fontId="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 vertical="top"/>
    </xf>
    <xf numFmtId="164" fontId="0" fillId="0" borderId="0" pivotButton="0" quotePrefix="0" xfId="0"/>
    <xf numFmtId="0" fontId="6" fillId="0" borderId="3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/>
  </cellStyles>
  <dxfs count="6">
    <dxf>
      <font>
        <b val="1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38761D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K499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28125" defaultRowHeight="15.75" customHeight="1"/>
  <cols>
    <col width="12.453125" customWidth="1" min="1" max="1"/>
    <col width="7.26953125" customWidth="1" min="2" max="2"/>
    <col width="7.7265625" customWidth="1" min="3" max="3"/>
    <col width="7.6328125" customWidth="1" min="4" max="5"/>
    <col width="11" customWidth="1" min="6" max="6"/>
    <col width="9.36328125" customWidth="1" min="7" max="7"/>
    <col width="10.26953125" customWidth="1" min="8" max="8"/>
    <col width="12.6328125" customWidth="1" min="9" max="9"/>
    <col width="9.36328125" customWidth="1" min="10" max="10"/>
    <col width="12.90625" customWidth="1" min="11" max="11"/>
    <col width="13.7265625" customWidth="1" min="12" max="13"/>
    <col width="13.453125" customWidth="1" min="14" max="14"/>
    <col width="10.6328125" customWidth="1" min="15" max="15"/>
    <col width="13.36328125" customWidth="1" min="16" max="16"/>
    <col width="10.453125" customWidth="1" min="17" max="17"/>
    <col width="6.36328125" customWidth="1" min="18" max="18"/>
    <col hidden="1" width="8.6328125" customWidth="1" min="19" max="19"/>
    <col hidden="1" width="4.36328125" customWidth="1" min="20" max="20"/>
    <col hidden="1" width="4.7265625" customWidth="1" min="21" max="22"/>
    <col hidden="1" width="13.36328125" customWidth="1" min="23" max="23"/>
    <col hidden="1" width="4.36328125" customWidth="1" min="24" max="24"/>
    <col hidden="1" width="10.453125" customWidth="1" min="25" max="25"/>
    <col hidden="1" width="5.36328125" customWidth="1" min="26" max="26"/>
    <col hidden="1" width="4.7265625" customWidth="1" min="27" max="27"/>
    <col hidden="1" width="6.36328125" customWidth="1" min="28" max="28"/>
    <col hidden="1" width="8.6328125" customWidth="1" min="29" max="29"/>
    <col hidden="1" width="4.36328125" customWidth="1" min="30" max="30"/>
    <col hidden="1" width="4.7265625" customWidth="1" min="31" max="32"/>
    <col hidden="1" width="13.453125" customWidth="1" min="33" max="33"/>
    <col hidden="1" width="3" customWidth="1" min="34" max="34"/>
    <col hidden="1" width="10.6328125" customWidth="1" min="35" max="35"/>
    <col hidden="1" width="5.36328125" customWidth="1" min="36" max="36"/>
    <col hidden="1" width="4.7265625" customWidth="1" min="37" max="37"/>
  </cols>
  <sheetData>
    <row r="1" ht="15.75" customHeight="1">
      <c r="A1" s="1" t="inlineStr">
        <is>
          <t>NSE Code</t>
        </is>
      </c>
      <c r="B1" s="2" t="inlineStr">
        <is>
          <t>CMP</t>
        </is>
      </c>
      <c r="C1" s="2" t="inlineStr">
        <is>
          <t>Open
Price</t>
        </is>
      </c>
      <c r="D1" s="2" t="inlineStr">
        <is>
          <t xml:space="preserve">High
Price </t>
        </is>
      </c>
      <c r="E1" s="2" t="inlineStr">
        <is>
          <t>Low
Price</t>
        </is>
      </c>
      <c r="F1" s="2" t="inlineStr">
        <is>
          <t>Preivious
Close</t>
        </is>
      </c>
      <c r="G1" s="2" t="inlineStr">
        <is>
          <t>Price
change</t>
        </is>
      </c>
      <c r="H1" s="2" t="inlineStr">
        <is>
          <t>Stock
Volume</t>
        </is>
      </c>
      <c r="I1" s="2" t="inlineStr">
        <is>
          <t>20 day AVG
Volume</t>
        </is>
      </c>
      <c r="J1" s="2" t="inlineStr">
        <is>
          <t>Volume
change</t>
        </is>
      </c>
      <c r="K1" s="2" t="inlineStr">
        <is>
          <t>5 days SMA</t>
        </is>
      </c>
      <c r="L1" s="2" t="inlineStr">
        <is>
          <t>13 days SMA</t>
        </is>
      </c>
      <c r="M1" s="2" t="inlineStr">
        <is>
          <t>21 days SMA</t>
        </is>
      </c>
      <c r="N1" s="3" t="inlineStr">
        <is>
          <t>Action_1</t>
        </is>
      </c>
      <c r="O1" s="4" t="inlineStr">
        <is>
          <t>Action_2</t>
        </is>
      </c>
      <c r="P1" s="5" t="inlineStr">
        <is>
          <t>Action_1</t>
        </is>
      </c>
      <c r="Q1" s="6" t="inlineStr">
        <is>
          <t>Action_2</t>
        </is>
      </c>
      <c r="R1" s="7" t="n"/>
      <c r="S1" s="8" t="inlineStr">
        <is>
          <t>Action</t>
        </is>
      </c>
      <c r="T1" s="8" t="inlineStr">
        <is>
          <t>x</t>
        </is>
      </c>
      <c r="U1" s="8" t="inlineStr">
        <is>
          <t>x</t>
        </is>
      </c>
      <c r="V1" s="9" t="inlineStr">
        <is>
          <t>x</t>
        </is>
      </c>
      <c r="W1" s="9" t="inlineStr">
        <is>
          <t>Action_1</t>
        </is>
      </c>
      <c r="X1" s="8" t="inlineStr">
        <is>
          <t>x</t>
        </is>
      </c>
      <c r="Y1" s="8" t="inlineStr">
        <is>
          <t>Action_2</t>
        </is>
      </c>
      <c r="Z1" s="8" t="inlineStr">
        <is>
          <t>xx</t>
        </is>
      </c>
      <c r="AA1" s="8" t="inlineStr">
        <is>
          <t>x</t>
        </is>
      </c>
      <c r="AB1" s="7" t="n"/>
      <c r="AC1" s="10" t="inlineStr">
        <is>
          <t>Action</t>
        </is>
      </c>
      <c r="AD1" s="10" t="inlineStr">
        <is>
          <t>x</t>
        </is>
      </c>
      <c r="AE1" s="10" t="inlineStr">
        <is>
          <t>x</t>
        </is>
      </c>
      <c r="AF1" s="11" t="inlineStr">
        <is>
          <t>x</t>
        </is>
      </c>
      <c r="AG1" s="11" t="inlineStr">
        <is>
          <t>Action_1</t>
        </is>
      </c>
      <c r="AH1" s="10" t="inlineStr">
        <is>
          <t>x</t>
        </is>
      </c>
      <c r="AI1" s="10" t="inlineStr">
        <is>
          <t>Action_2</t>
        </is>
      </c>
      <c r="AJ1" s="10" t="inlineStr">
        <is>
          <t>xx</t>
        </is>
      </c>
      <c r="AK1" s="10" t="inlineStr">
        <is>
          <t>x</t>
        </is>
      </c>
    </row>
    <row r="2" ht="15.75" customHeight="1">
      <c r="A2" s="12" t="inlineStr">
        <is>
          <t>AARTIPHARM</t>
        </is>
      </c>
      <c r="B2" s="13">
        <f>IFERROR(__xludf.DUMMYFUNCTION("GOOGLEFINANCE(""NSE:""&amp;A2,""PRICE"")"),624.65)</f>
        <v/>
      </c>
      <c r="C2" s="13">
        <f>IFERROR(__xludf.DUMMYFUNCTION("GOOGLEFINANCE(""NSE:""&amp;A2,""PRICEOPEN"")"),634.95)</f>
        <v/>
      </c>
      <c r="D2" s="13">
        <f>IFERROR(__xludf.DUMMYFUNCTION("GOOGLEFINANCE(""NSE:""&amp;A2,""HIGH"")"),636.8)</f>
        <v/>
      </c>
      <c r="E2" s="13">
        <f>IFERROR(__xludf.DUMMYFUNCTION("GOOGLEFINANCE(""NSE:""&amp;A2,""LOW"")"),620.55)</f>
        <v/>
      </c>
      <c r="F2" s="13">
        <f>IFERROR(__xludf.DUMMYFUNCTION("GOOGLEFINANCE(""NSE:""&amp;A2,""closeyest"")"),631.8)</f>
        <v/>
      </c>
      <c r="G2" s="14">
        <f>(B2-C2)/B2</f>
        <v/>
      </c>
      <c r="H2" s="13">
        <f>IFERROR(__xludf.DUMMYFUNCTION("GOOGLEFINANCE(""NSE:""&amp;A2,""VOLUME"")"),96917)</f>
        <v/>
      </c>
      <c r="I2" s="13">
        <f>IFERROR(__xludf.DUMMYFUNCTION("AVERAGE(index(GOOGLEFINANCE(""NSE:""&amp;$A2, ""volume"", today()-21, today()-1), , 2))"),"#N/A")</f>
        <v/>
      </c>
      <c r="J2" s="14">
        <f>(H2-I2)/I2</f>
        <v/>
      </c>
      <c r="K2" s="13">
        <f>IFERROR(__xludf.DUMMYFUNCTION("AVERAGE(index(GOOGLEFINANCE(""NSE:""&amp;$A2, ""close"", today()-6, today()-1), , 2))"),"#N/A")</f>
        <v/>
      </c>
      <c r="L2" s="13">
        <f>IFERROR(__xludf.DUMMYFUNCTION("AVERAGE(index(GOOGLEFINANCE(""NSE:""&amp;$A2, ""close"", today()-14, today()-1), , 2))"),"#N/A")</f>
        <v/>
      </c>
      <c r="M2" s="13">
        <f>IFERROR(__xludf.DUMMYFUNCTION("AVERAGE(index(GOOGLEFINANCE(""NSE:""&amp;$A2, ""close"", today()-22, today()-1), , 2))"),"#N/A")</f>
        <v/>
      </c>
      <c r="N2" s="13">
        <f>AG2</f>
        <v/>
      </c>
      <c r="O2" s="13">
        <f>AI2</f>
        <v/>
      </c>
      <c r="P2" s="13">
        <f>W2</f>
        <v/>
      </c>
      <c r="Q2" s="13">
        <f>Y2</f>
        <v/>
      </c>
      <c r="R2" s="15" t="n"/>
      <c r="S2" s="15">
        <f>LEFT(W2,2)&amp;LEFT(Y2,2)</f>
        <v/>
      </c>
      <c r="T2" s="15" t="n"/>
      <c r="U2" s="15">
        <f>IF(K2&lt;L2,1,0)</f>
        <v/>
      </c>
      <c r="V2" s="15">
        <f>IF(H2&gt;I2,1,0)</f>
        <v/>
      </c>
      <c r="W2" s="15">
        <f>IF(SUM(U2:V2)=2,"Anticipatory_Sell","No_Action")</f>
        <v/>
      </c>
      <c r="X2" s="15" t="n"/>
      <c r="Y2" s="15">
        <f>IF(SUM(Z2:AA2)=2,"Confirm_Sell","No_Action")</f>
        <v/>
      </c>
      <c r="Z2" s="15">
        <f>IF(H2&gt;I2,1,0)</f>
        <v/>
      </c>
      <c r="AA2" s="15">
        <f>IF(K2&lt;M2,1,0)</f>
        <v/>
      </c>
      <c r="AB2" s="15" t="n"/>
      <c r="AC2" s="15">
        <f>LEFT(AG2,2)&amp;LEFT(AI2,2)</f>
        <v/>
      </c>
      <c r="AD2" s="15" t="n"/>
      <c r="AE2" s="15">
        <f>IF(K2&gt;L2,1,0)</f>
        <v/>
      </c>
      <c r="AF2" s="16">
        <f>IF(H2&gt;I2,1,0)</f>
        <v/>
      </c>
      <c r="AG2" s="16">
        <f>IF(SUM(AE2:AF2)=2,"Anticipatory_Buy","No_Action")</f>
        <v/>
      </c>
      <c r="AH2" s="15" t="n"/>
      <c r="AI2" s="15">
        <f>IF(SUM(AJ2:AK2)=2,"Confirm_Buy","No_Action")</f>
        <v/>
      </c>
      <c r="AJ2" s="15">
        <f>IF(H2&gt;I2,1,0)</f>
        <v/>
      </c>
      <c r="AK2" s="15">
        <f>IF(K2&gt;M2,1,0)</f>
        <v/>
      </c>
    </row>
    <row r="3" ht="15.75" customHeight="1">
      <c r="A3" s="12" t="inlineStr">
        <is>
          <t>AAVAS</t>
        </is>
      </c>
      <c r="B3" s="13">
        <f>IFERROR(__xludf.DUMMYFUNCTION("GOOGLEFINANCE(""NSE:""&amp;A3,""PRICE"")"),1661.95)</f>
        <v/>
      </c>
      <c r="C3" s="13">
        <f>IFERROR(__xludf.DUMMYFUNCTION("GOOGLEFINANCE(""NSE:""&amp;A3,""PRICEOPEN"")"),1650.5)</f>
        <v/>
      </c>
      <c r="D3" s="13">
        <f>IFERROR(__xludf.DUMMYFUNCTION("GOOGLEFINANCE(""NSE:""&amp;A3,""HIGH"")"),1667.2)</f>
        <v/>
      </c>
      <c r="E3" s="13">
        <f>IFERROR(__xludf.DUMMYFUNCTION("GOOGLEFINANCE(""NSE:""&amp;A3,""LOW"")"),1645)</f>
        <v/>
      </c>
      <c r="F3" s="13">
        <f>IFERROR(__xludf.DUMMYFUNCTION("GOOGLEFINANCE(""NSE:""&amp;A3,""closeyest"")"),1653.15)</f>
        <v/>
      </c>
      <c r="G3" s="14">
        <f>(B3-C3)/B3</f>
        <v/>
      </c>
      <c r="H3" s="13">
        <f>IFERROR(__xludf.DUMMYFUNCTION("GOOGLEFINANCE(""NSE:""&amp;A3,""VOLUME"")"),57781)</f>
        <v/>
      </c>
      <c r="I3" s="13">
        <f>IFERROR(__xludf.DUMMYFUNCTION("AVERAGE(index(GOOGLEFINANCE(""NSE:""&amp;$A3, ""volume"", today()-21, today()-1), , 2))"),"#N/A")</f>
        <v/>
      </c>
      <c r="J3" s="14">
        <f>(H3-I3)/I3</f>
        <v/>
      </c>
      <c r="K3" s="13">
        <f>IFERROR(__xludf.DUMMYFUNCTION("AVERAGE(index(GOOGLEFINANCE(""NSE:""&amp;$A3, ""close"", today()-6, today()-1), , 2))"),"#N/A")</f>
        <v/>
      </c>
      <c r="L3" s="13">
        <f>IFERROR(__xludf.DUMMYFUNCTION("AVERAGE(index(GOOGLEFINANCE(""NSE:""&amp;$A3, ""close"", today()-14, today()-1), , 2))"),"#N/A")</f>
        <v/>
      </c>
      <c r="M3" s="13">
        <f>IFERROR(__xludf.DUMMYFUNCTION("AVERAGE(index(GOOGLEFINANCE(""NSE:""&amp;$A3, ""close"", today()-22, today()-1), , 2))"),"#N/A")</f>
        <v/>
      </c>
      <c r="N3" s="13">
        <f>AG3</f>
        <v/>
      </c>
      <c r="O3" s="13">
        <f>AI3</f>
        <v/>
      </c>
      <c r="P3" s="13">
        <f>W3</f>
        <v/>
      </c>
      <c r="Q3" s="13">
        <f>Y3</f>
        <v/>
      </c>
      <c r="R3" s="15" t="n"/>
      <c r="S3" s="15">
        <f>LEFT(W3,2)&amp;LEFT(Y3,2)</f>
        <v/>
      </c>
      <c r="T3" s="15" t="n"/>
      <c r="U3" s="15">
        <f>IF(K3&lt;L3,1,0)</f>
        <v/>
      </c>
      <c r="V3" s="15">
        <f>IF(H3&gt;I3,1,0)</f>
        <v/>
      </c>
      <c r="W3" s="15">
        <f>IF(SUM(U3:V3)=2,"Anticipatory_Sell","No_Action")</f>
        <v/>
      </c>
      <c r="X3" s="15" t="n"/>
      <c r="Y3" s="15">
        <f>IF(SUM(Z3:AA3)=2,"Confirm_Sell","No_Action")</f>
        <v/>
      </c>
      <c r="Z3" s="15">
        <f>IF(H3&gt;I3,1,0)</f>
        <v/>
      </c>
      <c r="AA3" s="15">
        <f>IF(K3&lt;M3,1,0)</f>
        <v/>
      </c>
      <c r="AB3" s="15" t="n"/>
      <c r="AC3" s="15">
        <f>LEFT(AG3,2)&amp;LEFT(AI3,2)</f>
        <v/>
      </c>
      <c r="AD3" s="15" t="n"/>
      <c r="AE3" s="15">
        <f>IF(K3&gt;L3,1,0)</f>
        <v/>
      </c>
      <c r="AF3" s="16">
        <f>IF(H3&gt;I3,1,0)</f>
        <v/>
      </c>
      <c r="AG3" s="16">
        <f>IF(SUM(AE3:AF3)=2,"Anticipatory_Buy","No_Action")</f>
        <v/>
      </c>
      <c r="AH3" s="15" t="n"/>
      <c r="AI3" s="15">
        <f>IF(SUM(AJ3:AK3)=2,"Confirm_Buy","No_Action")</f>
        <v/>
      </c>
      <c r="AJ3" s="15">
        <f>IF(H3&gt;I3,1,0)</f>
        <v/>
      </c>
      <c r="AK3" s="15">
        <f>IF(K3&gt;M3,1,0)</f>
        <v/>
      </c>
    </row>
    <row r="4" ht="15.75" customHeight="1">
      <c r="A4" s="12" t="inlineStr">
        <is>
          <t>ACC</t>
        </is>
      </c>
      <c r="B4" s="13">
        <f>IFERROR(__xludf.DUMMYFUNCTION("GOOGLEFINANCE(""NSE:""&amp;A4,""PRICE"")"),2263.05)</f>
        <v/>
      </c>
      <c r="C4" s="13">
        <f>IFERROR(__xludf.DUMMYFUNCTION("GOOGLEFINANCE(""NSE:""&amp;A4,""PRICEOPEN"")"),2258.35)</f>
        <v/>
      </c>
      <c r="D4" s="13">
        <f>IFERROR(__xludf.DUMMYFUNCTION("GOOGLEFINANCE(""NSE:""&amp;A4,""HIGH"")"),2273.05)</f>
        <v/>
      </c>
      <c r="E4" s="13">
        <f>IFERROR(__xludf.DUMMYFUNCTION("GOOGLEFINANCE(""NSE:""&amp;A4,""LOW"")"),2246.05)</f>
        <v/>
      </c>
      <c r="F4" s="13">
        <f>IFERROR(__xludf.DUMMYFUNCTION("GOOGLEFINANCE(""NSE:""&amp;A4,""closeyest"")"),2258.35)</f>
        <v/>
      </c>
      <c r="G4" s="14">
        <f>(B4-C4)/B4</f>
        <v/>
      </c>
      <c r="H4" s="13">
        <f>IFERROR(__xludf.DUMMYFUNCTION("GOOGLEFINANCE(""NSE:""&amp;A4,""VOLUME"")"),132854)</f>
        <v/>
      </c>
      <c r="I4" s="13">
        <f>IFERROR(__xludf.DUMMYFUNCTION("AVERAGE(index(GOOGLEFINANCE(""NSE:""&amp;$A4, ""volume"", today()-21, today()-1), , 2))"),"#N/A")</f>
        <v/>
      </c>
      <c r="J4" s="14">
        <f>(H4-I4)/I4</f>
        <v/>
      </c>
      <c r="K4" s="13">
        <f>IFERROR(__xludf.DUMMYFUNCTION("AVERAGE(index(GOOGLEFINANCE(""NSE:""&amp;$A4, ""close"", today()-6, today()-1), , 2))"),"#N/A")</f>
        <v/>
      </c>
      <c r="L4" s="13">
        <f>IFERROR(__xludf.DUMMYFUNCTION("AVERAGE(index(GOOGLEFINANCE(""NSE:""&amp;$A4, ""close"", today()-14, today()-1), , 2))"),"#N/A")</f>
        <v/>
      </c>
      <c r="M4" s="13">
        <f>IFERROR(__xludf.DUMMYFUNCTION("AVERAGE(index(GOOGLEFINANCE(""NSE:""&amp;$A4, ""close"", today()-22, today()-1), , 2))"),"#N/A")</f>
        <v/>
      </c>
      <c r="N4" s="13">
        <f>AG4</f>
        <v/>
      </c>
      <c r="O4" s="13">
        <f>AI4</f>
        <v/>
      </c>
      <c r="P4" s="13">
        <f>W4</f>
        <v/>
      </c>
      <c r="Q4" s="13">
        <f>Y4</f>
        <v/>
      </c>
      <c r="R4" s="15" t="n"/>
      <c r="S4" s="15">
        <f>LEFT(W4,2)&amp;LEFT(Y4,2)</f>
        <v/>
      </c>
      <c r="T4" s="15" t="n"/>
      <c r="U4" s="15">
        <f>IF(K4&lt;L4,1,0)</f>
        <v/>
      </c>
      <c r="V4" s="15">
        <f>IF(H4&gt;I4,1,0)</f>
        <v/>
      </c>
      <c r="W4" s="15">
        <f>IF(SUM(U4:V4)=2,"Anticipatory_Sell","No_Action")</f>
        <v/>
      </c>
      <c r="X4" s="15" t="n"/>
      <c r="Y4" s="15">
        <f>IF(SUM(Z4:AA4)=2,"Confirm_Sell","No_Action")</f>
        <v/>
      </c>
      <c r="Z4" s="15">
        <f>IF(H4&gt;I4,1,0)</f>
        <v/>
      </c>
      <c r="AA4" s="15">
        <f>IF(K4&lt;M4,1,0)</f>
        <v/>
      </c>
      <c r="AB4" s="15" t="n"/>
      <c r="AC4" s="15">
        <f>LEFT(AG4,2)&amp;LEFT(AI4,2)</f>
        <v/>
      </c>
      <c r="AD4" s="15" t="n"/>
      <c r="AE4" s="15">
        <f>IF(K4&gt;L4,1,0)</f>
        <v/>
      </c>
      <c r="AF4" s="16">
        <f>IF(H4&gt;I4,1,0)</f>
        <v/>
      </c>
      <c r="AG4" s="16">
        <f>IF(SUM(AE4:AF4)=2,"Anticipatory_Buy","No_Action")</f>
        <v/>
      </c>
      <c r="AH4" s="15" t="n"/>
      <c r="AI4" s="15">
        <f>IF(SUM(AJ4:AK4)=2,"Confirm_Buy","No_Action")</f>
        <v/>
      </c>
      <c r="AJ4" s="15">
        <f>IF(H4&gt;I4,1,0)</f>
        <v/>
      </c>
      <c r="AK4" s="15">
        <f>IF(K4&gt;M4,1,0)</f>
        <v/>
      </c>
    </row>
    <row r="5" ht="15.75" customHeight="1">
      <c r="A5" s="12" t="inlineStr">
        <is>
          <t>ADANIPORTS</t>
        </is>
      </c>
      <c r="B5" s="13">
        <f>IFERROR(__xludf.DUMMYFUNCTION("GOOGLEFINANCE(""NSE:""&amp;A5,""PRICE"")"),1266.35)</f>
        <v/>
      </c>
      <c r="C5" s="13">
        <f>IFERROR(__xludf.DUMMYFUNCTION("GOOGLEFINANCE(""NSE:""&amp;A5,""PRICEOPEN"")"),1257.8)</f>
        <v/>
      </c>
      <c r="D5" s="13">
        <f>IFERROR(__xludf.DUMMYFUNCTION("GOOGLEFINANCE(""NSE:""&amp;A5,""HIGH"")"),1277.55)</f>
        <v/>
      </c>
      <c r="E5" s="13">
        <f>IFERROR(__xludf.DUMMYFUNCTION("GOOGLEFINANCE(""NSE:""&amp;A5,""LOW"")"),1249)</f>
        <v/>
      </c>
      <c r="F5" s="13">
        <f>IFERROR(__xludf.DUMMYFUNCTION("GOOGLEFINANCE(""NSE:""&amp;A5,""closeyest"")"),1259.05)</f>
        <v/>
      </c>
      <c r="G5" s="14">
        <f>(B5-C5)/B5</f>
        <v/>
      </c>
      <c r="H5" s="13">
        <f>IFERROR(__xludf.DUMMYFUNCTION("GOOGLEFINANCE(""NSE:""&amp;A5,""VOLUME"")"),2849557)</f>
        <v/>
      </c>
      <c r="I5" s="13">
        <f>IFERROR(__xludf.DUMMYFUNCTION("AVERAGE(index(GOOGLEFINANCE(""NSE:""&amp;$A5, ""volume"", today()-21, today()-1), , 2))"),"#N/A")</f>
        <v/>
      </c>
      <c r="J5" s="14">
        <f>(H5-I5)/I5</f>
        <v/>
      </c>
      <c r="K5" s="13">
        <f>IFERROR(__xludf.DUMMYFUNCTION("AVERAGE(index(GOOGLEFINANCE(""NSE:""&amp;$A5, ""close"", today()-6, today()-1), , 2))"),"#N/A")</f>
        <v/>
      </c>
      <c r="L5" s="13">
        <f>IFERROR(__xludf.DUMMYFUNCTION("AVERAGE(index(GOOGLEFINANCE(""NSE:""&amp;$A5, ""close"", today()-14, today()-1), , 2))"),"#N/A")</f>
        <v/>
      </c>
      <c r="M5" s="13">
        <f>IFERROR(__xludf.DUMMYFUNCTION("AVERAGE(index(GOOGLEFINANCE(""NSE:""&amp;$A5, ""close"", today()-22, today()-1), , 2))"),"#N/A")</f>
        <v/>
      </c>
      <c r="N5" s="13">
        <f>AG5</f>
        <v/>
      </c>
      <c r="O5" s="13">
        <f>AI5</f>
        <v/>
      </c>
      <c r="P5" s="13">
        <f>W5</f>
        <v/>
      </c>
      <c r="Q5" s="13">
        <f>Y5</f>
        <v/>
      </c>
      <c r="R5" s="15" t="n"/>
      <c r="S5" s="15">
        <f>LEFT(W5,2)&amp;LEFT(Y5,2)</f>
        <v/>
      </c>
      <c r="T5" s="15" t="n"/>
      <c r="U5" s="15">
        <f>IF(K5&lt;L5,1,0)</f>
        <v/>
      </c>
      <c r="V5" s="15">
        <f>IF(H5&gt;I5,1,0)</f>
        <v/>
      </c>
      <c r="W5" s="15">
        <f>IF(SUM(U5:V5)=2,"Anticipatory_Sell","No_Action")</f>
        <v/>
      </c>
      <c r="X5" s="15" t="n"/>
      <c r="Y5" s="15">
        <f>IF(SUM(Z5:AA5)=2,"Confirm_Sell","No_Action")</f>
        <v/>
      </c>
      <c r="Z5" s="15">
        <f>IF(H5&gt;I5,1,0)</f>
        <v/>
      </c>
      <c r="AA5" s="15">
        <f>IF(K5&lt;M5,1,0)</f>
        <v/>
      </c>
      <c r="AB5" s="15" t="n"/>
      <c r="AC5" s="15">
        <f>LEFT(AG5,2)&amp;LEFT(AI5,2)</f>
        <v/>
      </c>
      <c r="AD5" s="15" t="n"/>
      <c r="AE5" s="15">
        <f>IF(K5&gt;L5,1,0)</f>
        <v/>
      </c>
      <c r="AF5" s="16">
        <f>IF(H5&gt;I5,1,0)</f>
        <v/>
      </c>
      <c r="AG5" s="16">
        <f>IF(SUM(AE5:AF5)=2,"Anticipatory_Buy","No_Action")</f>
        <v/>
      </c>
      <c r="AH5" s="15" t="n"/>
      <c r="AI5" s="15">
        <f>IF(SUM(AJ5:AK5)=2,"Confirm_Buy","No_Action")</f>
        <v/>
      </c>
      <c r="AJ5" s="15">
        <f>IF(H5&gt;I5,1,0)</f>
        <v/>
      </c>
      <c r="AK5" s="15">
        <f>IF(K5&gt;M5,1,0)</f>
        <v/>
      </c>
    </row>
    <row r="6" ht="15.75" customHeight="1">
      <c r="A6" s="12" t="inlineStr">
        <is>
          <t>ADANIPOWER</t>
        </is>
      </c>
      <c r="B6" s="13">
        <f>IFERROR(__xludf.DUMMYFUNCTION("GOOGLEFINANCE(""NSE:""&amp;A6,""PRICE"")"),536)</f>
        <v/>
      </c>
      <c r="C6" s="13">
        <f>IFERROR(__xludf.DUMMYFUNCTION("GOOGLEFINANCE(""NSE:""&amp;A6,""PRICEOPEN"")"),539)</f>
        <v/>
      </c>
      <c r="D6" s="13">
        <f>IFERROR(__xludf.DUMMYFUNCTION("GOOGLEFINANCE(""NSE:""&amp;A6,""HIGH"")"),544.15)</f>
        <v/>
      </c>
      <c r="E6" s="13">
        <f>IFERROR(__xludf.DUMMYFUNCTION("GOOGLEFINANCE(""NSE:""&amp;A6,""LOW"")"),534.2)</f>
        <v/>
      </c>
      <c r="F6" s="13">
        <f>IFERROR(__xludf.DUMMYFUNCTION("GOOGLEFINANCE(""NSE:""&amp;A6,""closeyest"")"),536.1)</f>
        <v/>
      </c>
      <c r="G6" s="14">
        <f>(B6-C6)/B6</f>
        <v/>
      </c>
      <c r="H6" s="13">
        <f>IFERROR(__xludf.DUMMYFUNCTION("GOOGLEFINANCE(""NSE:""&amp;A6,""VOLUME"")"),3749073)</f>
        <v/>
      </c>
      <c r="I6" s="13">
        <f>IFERROR(__xludf.DUMMYFUNCTION("AVERAGE(index(GOOGLEFINANCE(""NSE:""&amp;$A6, ""volume"", today()-21, today()-1), , 2))"),"#N/A")</f>
        <v/>
      </c>
      <c r="J6" s="14">
        <f>(H6-I6)/I6</f>
        <v/>
      </c>
      <c r="K6" s="13">
        <f>IFERROR(__xludf.DUMMYFUNCTION("AVERAGE(index(GOOGLEFINANCE(""NSE:""&amp;$A6, ""close"", today()-6, today()-1), , 2))"),"#N/A")</f>
        <v/>
      </c>
      <c r="L6" s="13">
        <f>IFERROR(__xludf.DUMMYFUNCTION("AVERAGE(index(GOOGLEFINANCE(""NSE:""&amp;$A6, ""close"", today()-14, today()-1), , 2))"),"#N/A")</f>
        <v/>
      </c>
      <c r="M6" s="13">
        <f>IFERROR(__xludf.DUMMYFUNCTION("AVERAGE(index(GOOGLEFINANCE(""NSE:""&amp;$A6, ""close"", today()-22, today()-1), , 2))"),"#N/A")</f>
        <v/>
      </c>
      <c r="N6" s="13">
        <f>AG6</f>
        <v/>
      </c>
      <c r="O6" s="13">
        <f>AI6</f>
        <v/>
      </c>
      <c r="P6" s="13">
        <f>W6</f>
        <v/>
      </c>
      <c r="Q6" s="13">
        <f>Y6</f>
        <v/>
      </c>
      <c r="R6" s="15" t="n"/>
      <c r="S6" s="15">
        <f>LEFT(W6,2)&amp;LEFT(Y6,2)</f>
        <v/>
      </c>
      <c r="T6" s="15" t="n"/>
      <c r="U6" s="15">
        <f>IF(K6&lt;L6,1,0)</f>
        <v/>
      </c>
      <c r="V6" s="15">
        <f>IF(H6&gt;I6,1,0)</f>
        <v/>
      </c>
      <c r="W6" s="15">
        <f>IF(SUM(U6:V6)=2,"Anticipatory_Sell","No_Action")</f>
        <v/>
      </c>
      <c r="X6" s="15" t="n"/>
      <c r="Y6" s="15">
        <f>IF(SUM(Z6:AA6)=2,"Confirm_Sell","No_Action")</f>
        <v/>
      </c>
      <c r="Z6" s="15">
        <f>IF(H6&gt;I6,1,0)</f>
        <v/>
      </c>
      <c r="AA6" s="15">
        <f>IF(K6&lt;M6,1,0)</f>
        <v/>
      </c>
      <c r="AB6" s="15" t="n"/>
      <c r="AC6" s="15">
        <f>LEFT(AG6,2)&amp;LEFT(AI6,2)</f>
        <v/>
      </c>
      <c r="AD6" s="15" t="n"/>
      <c r="AE6" s="15">
        <f>IF(K6&gt;L6,1,0)</f>
        <v/>
      </c>
      <c r="AF6" s="16">
        <f>IF(H6&gt;I6,1,0)</f>
        <v/>
      </c>
      <c r="AG6" s="16">
        <f>IF(SUM(AE6:AF6)=2,"Anticipatory_Buy","No_Action")</f>
        <v/>
      </c>
      <c r="AH6" s="15" t="n"/>
      <c r="AI6" s="15">
        <f>IF(SUM(AJ6:AK6)=2,"Confirm_Buy","No_Action")</f>
        <v/>
      </c>
      <c r="AJ6" s="15">
        <f>IF(H6&gt;I6,1,0)</f>
        <v/>
      </c>
      <c r="AK6" s="15">
        <f>IF(K6&gt;M6,1,0)</f>
        <v/>
      </c>
    </row>
    <row r="7" ht="15.75" customHeight="1">
      <c r="A7" s="12" t="inlineStr">
        <is>
          <t>ADFFOODS</t>
        </is>
      </c>
      <c r="B7" s="13">
        <f>IFERROR(__xludf.DUMMYFUNCTION("GOOGLEFINANCE(""NSE:""&amp;A7,""PRICE"")"),336)</f>
        <v/>
      </c>
      <c r="C7" s="13">
        <f>IFERROR(__xludf.DUMMYFUNCTION("GOOGLEFINANCE(""NSE:""&amp;A7,""PRICEOPEN"")"),335.95)</f>
        <v/>
      </c>
      <c r="D7" s="13">
        <f>IFERROR(__xludf.DUMMYFUNCTION("GOOGLEFINANCE(""NSE:""&amp;A7,""HIGH"")"),343.1)</f>
        <v/>
      </c>
      <c r="E7" s="13">
        <f>IFERROR(__xludf.DUMMYFUNCTION("GOOGLEFINANCE(""NSE:""&amp;A7,""LOW"")"),331.55)</f>
        <v/>
      </c>
      <c r="F7" s="13">
        <f>IFERROR(__xludf.DUMMYFUNCTION("GOOGLEFINANCE(""NSE:""&amp;A7,""closeyest"")"),335.2)</f>
        <v/>
      </c>
      <c r="G7" s="14">
        <f>(B7-C7)/B7</f>
        <v/>
      </c>
      <c r="H7" s="13">
        <f>IFERROR(__xludf.DUMMYFUNCTION("GOOGLEFINANCE(""NSE:""&amp;A7,""VOLUME"")"),259899)</f>
        <v/>
      </c>
      <c r="I7" s="13">
        <f>IFERROR(__xludf.DUMMYFUNCTION("AVERAGE(index(GOOGLEFINANCE(""NSE:""&amp;$A7, ""volume"", today()-21, today()-1), , 2))"),"#N/A")</f>
        <v/>
      </c>
      <c r="J7" s="14">
        <f>(H7-I7)/I7</f>
        <v/>
      </c>
      <c r="K7" s="13">
        <f>IFERROR(__xludf.DUMMYFUNCTION("AVERAGE(index(GOOGLEFINANCE(""NSE:""&amp;$A7, ""close"", today()-6, today()-1), , 2))"),"#N/A")</f>
        <v/>
      </c>
      <c r="L7" s="13">
        <f>IFERROR(__xludf.DUMMYFUNCTION("AVERAGE(index(GOOGLEFINANCE(""NSE:""&amp;$A7, ""close"", today()-14, today()-1), , 2))"),"#N/A")</f>
        <v/>
      </c>
      <c r="M7" s="13">
        <f>IFERROR(__xludf.DUMMYFUNCTION("AVERAGE(index(GOOGLEFINANCE(""NSE:""&amp;$A7, ""close"", today()-22, today()-1), , 2))"),"#N/A")</f>
        <v/>
      </c>
      <c r="N7" s="13">
        <f>AG7</f>
        <v/>
      </c>
      <c r="O7" s="13">
        <f>AI7</f>
        <v/>
      </c>
      <c r="P7" s="13">
        <f>W7</f>
        <v/>
      </c>
      <c r="Q7" s="13">
        <f>Y7</f>
        <v/>
      </c>
      <c r="R7" s="15" t="n"/>
      <c r="S7" s="15">
        <f>LEFT(W7,2)&amp;LEFT(Y7,2)</f>
        <v/>
      </c>
      <c r="T7" s="15" t="n"/>
      <c r="U7" s="15">
        <f>IF(K7&lt;L7,1,0)</f>
        <v/>
      </c>
      <c r="V7" s="15">
        <f>IF(H7&gt;I7,1,0)</f>
        <v/>
      </c>
      <c r="W7" s="15">
        <f>IF(SUM(U7:V7)=2,"Anticipatory_Sell","No_Action")</f>
        <v/>
      </c>
      <c r="X7" s="15" t="n"/>
      <c r="Y7" s="15">
        <f>IF(SUM(Z7:AA7)=2,"Confirm_Sell","No_Action")</f>
        <v/>
      </c>
      <c r="Z7" s="15">
        <f>IF(H7&gt;I7,1,0)</f>
        <v/>
      </c>
      <c r="AA7" s="15">
        <f>IF(K7&lt;M7,1,0)</f>
        <v/>
      </c>
      <c r="AB7" s="15" t="n"/>
      <c r="AC7" s="15">
        <f>LEFT(AG7,2)&amp;LEFT(AI7,2)</f>
        <v/>
      </c>
      <c r="AD7" s="15" t="n"/>
      <c r="AE7" s="15">
        <f>IF(K7&gt;L7,1,0)</f>
        <v/>
      </c>
      <c r="AF7" s="16">
        <f>IF(H7&gt;I7,1,0)</f>
        <v/>
      </c>
      <c r="AG7" s="16">
        <f>IF(SUM(AE7:AF7)=2,"Anticipatory_Buy","No_Action")</f>
        <v/>
      </c>
      <c r="AH7" s="15" t="n"/>
      <c r="AI7" s="15">
        <f>IF(SUM(AJ7:AK7)=2,"Confirm_Buy","No_Action")</f>
        <v/>
      </c>
      <c r="AJ7" s="15">
        <f>IF(H7&gt;I7,1,0)</f>
        <v/>
      </c>
      <c r="AK7" s="15">
        <f>IF(K7&gt;M7,1,0)</f>
        <v/>
      </c>
    </row>
    <row r="8" ht="15.75" customHeight="1">
      <c r="A8" s="12" t="inlineStr">
        <is>
          <t>ABSLAMC</t>
        </is>
      </c>
      <c r="B8" s="13">
        <f>IFERROR(__xludf.DUMMYFUNCTION("GOOGLEFINANCE(""NSE:""&amp;A8,""PRICE"")"),845.35)</f>
        <v/>
      </c>
      <c r="C8" s="13">
        <f>IFERROR(__xludf.DUMMYFUNCTION("GOOGLEFINANCE(""NSE:""&amp;A8,""PRICEOPEN"")"),854.4)</f>
        <v/>
      </c>
      <c r="D8" s="13">
        <f>IFERROR(__xludf.DUMMYFUNCTION("GOOGLEFINANCE(""NSE:""&amp;A8,""HIGH"")"),872.2)</f>
        <v/>
      </c>
      <c r="E8" s="13">
        <f>IFERROR(__xludf.DUMMYFUNCTION("GOOGLEFINANCE(""NSE:""&amp;A8,""LOW"")"),845)</f>
        <v/>
      </c>
      <c r="F8" s="13">
        <f>IFERROR(__xludf.DUMMYFUNCTION("GOOGLEFINANCE(""NSE:""&amp;A8,""closeyest"")"),849.6)</f>
        <v/>
      </c>
      <c r="G8" s="14">
        <f>(B8-C8)/B8</f>
        <v/>
      </c>
      <c r="H8" s="13">
        <f>IFERROR(__xludf.DUMMYFUNCTION("GOOGLEFINANCE(""NSE:""&amp;A8,""VOLUME"")"),565781)</f>
        <v/>
      </c>
      <c r="I8" s="13">
        <f>IFERROR(__xludf.DUMMYFUNCTION("AVERAGE(index(GOOGLEFINANCE(""NSE:""&amp;$A8, ""volume"", today()-21, today()-1), , 2))"),"#N/A")</f>
        <v/>
      </c>
      <c r="J8" s="14">
        <f>(H8-I8)/I8</f>
        <v/>
      </c>
      <c r="K8" s="13">
        <f>IFERROR(__xludf.DUMMYFUNCTION("AVERAGE(index(GOOGLEFINANCE(""NSE:""&amp;$A8, ""close"", today()-6, today()-1), , 2))"),"#N/A")</f>
        <v/>
      </c>
      <c r="L8" s="13">
        <f>IFERROR(__xludf.DUMMYFUNCTION("AVERAGE(index(GOOGLEFINANCE(""NSE:""&amp;$A8, ""close"", today()-14, today()-1), , 2))"),"#N/A")</f>
        <v/>
      </c>
      <c r="M8" s="13">
        <f>IFERROR(__xludf.DUMMYFUNCTION("AVERAGE(index(GOOGLEFINANCE(""NSE:""&amp;$A8, ""close"", today()-22, today()-1), , 2))"),"#N/A")</f>
        <v/>
      </c>
      <c r="N8" s="13">
        <f>AG8</f>
        <v/>
      </c>
      <c r="O8" s="13">
        <f>AI8</f>
        <v/>
      </c>
      <c r="P8" s="13">
        <f>W8</f>
        <v/>
      </c>
      <c r="Q8" s="13">
        <f>Y8</f>
        <v/>
      </c>
      <c r="R8" s="15" t="n"/>
      <c r="S8" s="15">
        <f>LEFT(W8,2)&amp;LEFT(Y8,2)</f>
        <v/>
      </c>
      <c r="T8" s="15" t="n"/>
      <c r="U8" s="15">
        <f>IF(K8&lt;L8,1,0)</f>
        <v/>
      </c>
      <c r="V8" s="15">
        <f>IF(H8&gt;I8,1,0)</f>
        <v/>
      </c>
      <c r="W8" s="15">
        <f>IF(SUM(U8:V8)=2,"Anticipatory_Sell","No_Action")</f>
        <v/>
      </c>
      <c r="X8" s="15" t="n"/>
      <c r="Y8" s="15">
        <f>IF(SUM(Z8:AA8)=2,"Confirm_Sell","No_Action")</f>
        <v/>
      </c>
      <c r="Z8" s="15">
        <f>IF(H8&gt;I8,1,0)</f>
        <v/>
      </c>
      <c r="AA8" s="15">
        <f>IF(K8&lt;M8,1,0)</f>
        <v/>
      </c>
      <c r="AB8" s="15" t="n"/>
      <c r="AC8" s="15">
        <f>LEFT(AG8,2)&amp;LEFT(AI8,2)</f>
        <v/>
      </c>
      <c r="AD8" s="15" t="n"/>
      <c r="AE8" s="15">
        <f>IF(K8&gt;L8,1,0)</f>
        <v/>
      </c>
      <c r="AF8" s="16">
        <f>IF(H8&gt;I8,1,0)</f>
        <v/>
      </c>
      <c r="AG8" s="16">
        <f>IF(SUM(AE8:AF8)=2,"Anticipatory_Buy","No_Action")</f>
        <v/>
      </c>
      <c r="AH8" s="15" t="n"/>
      <c r="AI8" s="15">
        <f>IF(SUM(AJ8:AK8)=2,"Confirm_Buy","No_Action")</f>
        <v/>
      </c>
      <c r="AJ8" s="15">
        <f>IF(H8&gt;I8,1,0)</f>
        <v/>
      </c>
      <c r="AK8" s="15">
        <f>IF(K8&gt;M8,1,0)</f>
        <v/>
      </c>
    </row>
    <row r="9" ht="15.75" customHeight="1">
      <c r="A9" s="12" t="inlineStr">
        <is>
          <t>ABFRL</t>
        </is>
      </c>
      <c r="B9" s="13">
        <f>IFERROR(__xludf.DUMMYFUNCTION("GOOGLEFINANCE(""NSE:""&amp;A9,""PRICE"")"),308.45)</f>
        <v/>
      </c>
      <c r="C9" s="13">
        <f>IFERROR(__xludf.DUMMYFUNCTION("GOOGLEFINANCE(""NSE:""&amp;A9,""PRICEOPEN"")"),308.5)</f>
        <v/>
      </c>
      <c r="D9" s="13">
        <f>IFERROR(__xludf.DUMMYFUNCTION("GOOGLEFINANCE(""NSE:""&amp;A9,""HIGH"")"),312.05)</f>
        <v/>
      </c>
      <c r="E9" s="13">
        <f>IFERROR(__xludf.DUMMYFUNCTION("GOOGLEFINANCE(""NSE:""&amp;A9,""LOW"")"),305.75)</f>
        <v/>
      </c>
      <c r="F9" s="13">
        <f>IFERROR(__xludf.DUMMYFUNCTION("GOOGLEFINANCE(""NSE:""&amp;A9,""closeyest"")"),307.2)</f>
        <v/>
      </c>
      <c r="G9" s="14">
        <f>(B9-C9)/B9</f>
        <v/>
      </c>
      <c r="H9" s="13">
        <f>IFERROR(__xludf.DUMMYFUNCTION("GOOGLEFINANCE(""NSE:""&amp;A9,""VOLUME"")"),5006645)</f>
        <v/>
      </c>
      <c r="I9" s="13">
        <f>IFERROR(__xludf.DUMMYFUNCTION("AVERAGE(index(GOOGLEFINANCE(""NSE:""&amp;$A9, ""volume"", today()-21, today()-1), , 2))"),"#N/A")</f>
        <v/>
      </c>
      <c r="J9" s="14">
        <f>(H9-I9)/I9</f>
        <v/>
      </c>
      <c r="K9" s="13">
        <f>IFERROR(__xludf.DUMMYFUNCTION("AVERAGE(index(GOOGLEFINANCE(""NSE:""&amp;$A9, ""close"", today()-6, today()-1), , 2))"),"#N/A")</f>
        <v/>
      </c>
      <c r="L9" s="13">
        <f>IFERROR(__xludf.DUMMYFUNCTION("AVERAGE(index(GOOGLEFINANCE(""NSE:""&amp;$A9, ""close"", today()-14, today()-1), , 2))"),"#N/A")</f>
        <v/>
      </c>
      <c r="M9" s="13">
        <f>IFERROR(__xludf.DUMMYFUNCTION("AVERAGE(index(GOOGLEFINANCE(""NSE:""&amp;$A9, ""close"", today()-22, today()-1), , 2))"),"#N/A")</f>
        <v/>
      </c>
      <c r="N9" s="13">
        <f>AG9</f>
        <v/>
      </c>
      <c r="O9" s="13">
        <f>AI9</f>
        <v/>
      </c>
      <c r="P9" s="13">
        <f>W9</f>
        <v/>
      </c>
      <c r="Q9" s="13">
        <f>Y9</f>
        <v/>
      </c>
      <c r="R9" s="15" t="n"/>
      <c r="S9" s="15">
        <f>LEFT(W9,2)&amp;LEFT(Y9,2)</f>
        <v/>
      </c>
      <c r="T9" s="15" t="n"/>
      <c r="U9" s="15">
        <f>IF(K9&lt;L9,1,0)</f>
        <v/>
      </c>
      <c r="V9" s="15">
        <f>IF(H9&gt;I9,1,0)</f>
        <v/>
      </c>
      <c r="W9" s="15">
        <f>IF(SUM(U9:V9)=2,"Anticipatory_Sell","No_Action")</f>
        <v/>
      </c>
      <c r="X9" s="15" t="n"/>
      <c r="Y9" s="15">
        <f>IF(SUM(Z9:AA9)=2,"Confirm_Sell","No_Action")</f>
        <v/>
      </c>
      <c r="Z9" s="15">
        <f>IF(H9&gt;I9,1,0)</f>
        <v/>
      </c>
      <c r="AA9" s="15">
        <f>IF(K9&lt;M9,1,0)</f>
        <v/>
      </c>
      <c r="AB9" s="15" t="n"/>
      <c r="AC9" s="15">
        <f>LEFT(AG9,2)&amp;LEFT(AI9,2)</f>
        <v/>
      </c>
      <c r="AD9" s="15" t="n"/>
      <c r="AE9" s="15">
        <f>IF(K9&gt;L9,1,0)</f>
        <v/>
      </c>
      <c r="AF9" s="16">
        <f>IF(H9&gt;I9,1,0)</f>
        <v/>
      </c>
      <c r="AG9" s="16">
        <f>IF(SUM(AE9:AF9)=2,"Anticipatory_Buy","No_Action")</f>
        <v/>
      </c>
      <c r="AH9" s="15" t="n"/>
      <c r="AI9" s="15">
        <f>IF(SUM(AJ9:AK9)=2,"Confirm_Buy","No_Action")</f>
        <v/>
      </c>
      <c r="AJ9" s="15">
        <f>IF(H9&gt;I9,1,0)</f>
        <v/>
      </c>
      <c r="AK9" s="15">
        <f>IF(K9&gt;M9,1,0)</f>
        <v/>
      </c>
    </row>
    <row r="10" ht="15.75" customHeight="1">
      <c r="A10" s="12" t="inlineStr">
        <is>
          <t>ABCAPITAL</t>
        </is>
      </c>
      <c r="B10" s="13">
        <f>IFERROR(__xludf.DUMMYFUNCTION("GOOGLEFINANCE(""NSE:""&amp;A10,""PRICE"")"),196.82)</f>
        <v/>
      </c>
      <c r="C10" s="13">
        <f>IFERROR(__xludf.DUMMYFUNCTION("GOOGLEFINANCE(""NSE:""&amp;A10,""PRICEOPEN"")"),198.55)</f>
        <v/>
      </c>
      <c r="D10" s="13">
        <f>IFERROR(__xludf.DUMMYFUNCTION("GOOGLEFINANCE(""NSE:""&amp;A10,""HIGH"")"),199.85)</f>
        <v/>
      </c>
      <c r="E10" s="13">
        <f>IFERROR(__xludf.DUMMYFUNCTION("GOOGLEFINANCE(""NSE:""&amp;A10,""LOW"")"),196.19)</f>
        <v/>
      </c>
      <c r="F10" s="13">
        <f>IFERROR(__xludf.DUMMYFUNCTION("GOOGLEFINANCE(""NSE:""&amp;A10,""closeyest"")"),198.68)</f>
        <v/>
      </c>
      <c r="G10" s="14">
        <f>(B10-C10)/B10</f>
        <v/>
      </c>
      <c r="H10" s="13">
        <f>IFERROR(__xludf.DUMMYFUNCTION("GOOGLEFINANCE(""NSE:""&amp;A10,""VOLUME"")"),4213741)</f>
        <v/>
      </c>
      <c r="I10" s="13">
        <f>IFERROR(__xludf.DUMMYFUNCTION("AVERAGE(index(GOOGLEFINANCE(""NSE:""&amp;$A10, ""volume"", today()-21, today()-1), , 2))"),"#N/A")</f>
        <v/>
      </c>
      <c r="J10" s="14">
        <f>(H10-I10)/I10</f>
        <v/>
      </c>
      <c r="K10" s="13">
        <f>IFERROR(__xludf.DUMMYFUNCTION("AVERAGE(index(GOOGLEFINANCE(""NSE:""&amp;$A10, ""close"", today()-6, today()-1), , 2))"),"#N/A")</f>
        <v/>
      </c>
      <c r="L10" s="13">
        <f>IFERROR(__xludf.DUMMYFUNCTION("AVERAGE(index(GOOGLEFINANCE(""NSE:""&amp;$A10, ""close"", today()-14, today()-1), , 2))"),"#N/A")</f>
        <v/>
      </c>
      <c r="M10" s="13">
        <f>IFERROR(__xludf.DUMMYFUNCTION("AVERAGE(index(GOOGLEFINANCE(""NSE:""&amp;$A10, ""close"", today()-22, today()-1), , 2))"),"#N/A")</f>
        <v/>
      </c>
      <c r="N10" s="13">
        <f>AG10</f>
        <v/>
      </c>
      <c r="O10" s="13">
        <f>AI10</f>
        <v/>
      </c>
      <c r="P10" s="13">
        <f>W10</f>
        <v/>
      </c>
      <c r="Q10" s="13">
        <f>Y10</f>
        <v/>
      </c>
      <c r="R10" s="15" t="n"/>
      <c r="S10" s="15">
        <f>LEFT(W10,2)&amp;LEFT(Y10,2)</f>
        <v/>
      </c>
      <c r="T10" s="15" t="n"/>
      <c r="U10" s="15">
        <f>IF(K10&lt;L10,1,0)</f>
        <v/>
      </c>
      <c r="V10" s="15">
        <f>IF(H10&gt;I10,1,0)</f>
        <v/>
      </c>
      <c r="W10" s="15">
        <f>IF(SUM(U10:V10)=2,"Anticipatory_Sell","No_Action")</f>
        <v/>
      </c>
      <c r="X10" s="15" t="n"/>
      <c r="Y10" s="15">
        <f>IF(SUM(Z10:AA10)=2,"Confirm_Sell","No_Action")</f>
        <v/>
      </c>
      <c r="Z10" s="15">
        <f>IF(H10&gt;I10,1,0)</f>
        <v/>
      </c>
      <c r="AA10" s="15">
        <f>IF(K10&lt;M10,1,0)</f>
        <v/>
      </c>
      <c r="AB10" s="15" t="n"/>
      <c r="AC10" s="15">
        <f>LEFT(AG10,2)&amp;LEFT(AI10,2)</f>
        <v/>
      </c>
      <c r="AD10" s="15" t="n"/>
      <c r="AE10" s="15">
        <f>IF(K10&gt;L10,1,0)</f>
        <v/>
      </c>
      <c r="AF10" s="16">
        <f>IF(H10&gt;I10,1,0)</f>
        <v/>
      </c>
      <c r="AG10" s="16">
        <f>IF(SUM(AE10:AF10)=2,"Anticipatory_Buy","No_Action")</f>
        <v/>
      </c>
      <c r="AH10" s="15" t="n"/>
      <c r="AI10" s="15">
        <f>IF(SUM(AJ10:AK10)=2,"Confirm_Buy","No_Action")</f>
        <v/>
      </c>
      <c r="AJ10" s="15">
        <f>IF(H10&gt;I10,1,0)</f>
        <v/>
      </c>
      <c r="AK10" s="15">
        <f>IF(K10&gt;M10,1,0)</f>
        <v/>
      </c>
    </row>
    <row r="11" ht="15.75" customHeight="1">
      <c r="A11" s="12" t="inlineStr">
        <is>
          <t>ADVENZYMES</t>
        </is>
      </c>
      <c r="B11" s="13">
        <f>IFERROR(__xludf.DUMMYFUNCTION("GOOGLEFINANCE(""NSE:""&amp;A11,""PRICE"")"),391)</f>
        <v/>
      </c>
      <c r="C11" s="13">
        <f>IFERROR(__xludf.DUMMYFUNCTION("GOOGLEFINANCE(""NSE:""&amp;A11,""PRICEOPEN"")"),377.6)</f>
        <v/>
      </c>
      <c r="D11" s="13">
        <f>IFERROR(__xludf.DUMMYFUNCTION("GOOGLEFINANCE(""NSE:""&amp;A11,""HIGH"")"),391.05)</f>
        <v/>
      </c>
      <c r="E11" s="13">
        <f>IFERROR(__xludf.DUMMYFUNCTION("GOOGLEFINANCE(""NSE:""&amp;A11,""LOW"")"),376.55)</f>
        <v/>
      </c>
      <c r="F11" s="13">
        <f>IFERROR(__xludf.DUMMYFUNCTION("GOOGLEFINANCE(""NSE:""&amp;A11,""closeyest"")"),376.55)</f>
        <v/>
      </c>
      <c r="G11" s="14">
        <f>(B11-C11)/B11</f>
        <v/>
      </c>
      <c r="H11" s="13">
        <f>IFERROR(__xludf.DUMMYFUNCTION("GOOGLEFINANCE(""NSE:""&amp;A11,""VOLUME"")"),228149)</f>
        <v/>
      </c>
      <c r="I11" s="13">
        <f>IFERROR(__xludf.DUMMYFUNCTION("AVERAGE(index(GOOGLEFINANCE(""NSE:""&amp;$A11, ""volume"", today()-21, today()-1), , 2))"),"#N/A")</f>
        <v/>
      </c>
      <c r="J11" s="14">
        <f>(H11-I11)/I11</f>
        <v/>
      </c>
      <c r="K11" s="13">
        <f>IFERROR(__xludf.DUMMYFUNCTION("AVERAGE(index(GOOGLEFINANCE(""NSE:""&amp;$A11, ""close"", today()-6, today()-1), , 2))"),"#N/A")</f>
        <v/>
      </c>
      <c r="L11" s="13">
        <f>IFERROR(__xludf.DUMMYFUNCTION("AVERAGE(index(GOOGLEFINANCE(""NSE:""&amp;$A11, ""close"", today()-14, today()-1), , 2))"),"#N/A")</f>
        <v/>
      </c>
      <c r="M11" s="13">
        <f>IFERROR(__xludf.DUMMYFUNCTION("AVERAGE(index(GOOGLEFINANCE(""NSE:""&amp;$A11, ""close"", today()-22, today()-1), , 2))"),"#N/A")</f>
        <v/>
      </c>
      <c r="N11" s="13">
        <f>AG11</f>
        <v/>
      </c>
      <c r="O11" s="13">
        <f>AI11</f>
        <v/>
      </c>
      <c r="P11" s="13">
        <f>W11</f>
        <v/>
      </c>
      <c r="Q11" s="13">
        <f>Y11</f>
        <v/>
      </c>
      <c r="R11" s="15" t="n"/>
      <c r="S11" s="15">
        <f>LEFT(W11,2)&amp;LEFT(Y11,2)</f>
        <v/>
      </c>
      <c r="T11" s="15" t="n"/>
      <c r="U11" s="15">
        <f>IF(K11&lt;L11,1,0)</f>
        <v/>
      </c>
      <c r="V11" s="15">
        <f>IF(H11&gt;I11,1,0)</f>
        <v/>
      </c>
      <c r="W11" s="15">
        <f>IF(SUM(U11:V11)=2,"Anticipatory_Sell","No_Action")</f>
        <v/>
      </c>
      <c r="X11" s="15" t="n"/>
      <c r="Y11" s="15">
        <f>IF(SUM(Z11:AA11)=2,"Confirm_Sell","No_Action")</f>
        <v/>
      </c>
      <c r="Z11" s="15">
        <f>IF(H11&gt;I11,1,0)</f>
        <v/>
      </c>
      <c r="AA11" s="15">
        <f>IF(K11&lt;M11,1,0)</f>
        <v/>
      </c>
      <c r="AB11" s="15" t="n"/>
      <c r="AC11" s="15">
        <f>LEFT(AG11,2)&amp;LEFT(AI11,2)</f>
        <v/>
      </c>
      <c r="AD11" s="15" t="n"/>
      <c r="AE11" s="15">
        <f>IF(K11&gt;L11,1,0)</f>
        <v/>
      </c>
      <c r="AF11" s="16">
        <f>IF(H11&gt;I11,1,0)</f>
        <v/>
      </c>
      <c r="AG11" s="16">
        <f>IF(SUM(AE11:AF11)=2,"Anticipatory_Buy","No_Action")</f>
        <v/>
      </c>
      <c r="AH11" s="15" t="n"/>
      <c r="AI11" s="15">
        <f>IF(SUM(AJ11:AK11)=2,"Confirm_Buy","No_Action")</f>
        <v/>
      </c>
      <c r="AJ11" s="15">
        <f>IF(H11&gt;I11,1,0)</f>
        <v/>
      </c>
      <c r="AK11" s="15">
        <f>IF(K11&gt;M11,1,0)</f>
        <v/>
      </c>
    </row>
    <row r="12" ht="15.75" customHeight="1">
      <c r="A12" s="12" t="inlineStr">
        <is>
          <t>AFFLE</t>
        </is>
      </c>
      <c r="B12" s="13">
        <f>IFERROR(__xludf.DUMMYFUNCTION("GOOGLEFINANCE(""NSE:""&amp;A12,""PRICE"")"),1798)</f>
        <v/>
      </c>
      <c r="C12" s="13">
        <f>IFERROR(__xludf.DUMMYFUNCTION("GOOGLEFINANCE(""NSE:""&amp;A12,""PRICEOPEN"")"),1796)</f>
        <v/>
      </c>
      <c r="D12" s="13">
        <f>IFERROR(__xludf.DUMMYFUNCTION("GOOGLEFINANCE(""NSE:""&amp;A12,""HIGH"")"),1812.95)</f>
        <v/>
      </c>
      <c r="E12" s="13">
        <f>IFERROR(__xludf.DUMMYFUNCTION("GOOGLEFINANCE(""NSE:""&amp;A12,""LOW"")"),1767.05)</f>
        <v/>
      </c>
      <c r="F12" s="13">
        <f>IFERROR(__xludf.DUMMYFUNCTION("GOOGLEFINANCE(""NSE:""&amp;A12,""closeyest"")"),1794.65)</f>
        <v/>
      </c>
      <c r="G12" s="14">
        <f>(B12-C12)/B12</f>
        <v/>
      </c>
      <c r="H12" s="13">
        <f>IFERROR(__xludf.DUMMYFUNCTION("GOOGLEFINANCE(""NSE:""&amp;A12,""VOLUME"")"),360534)</f>
        <v/>
      </c>
      <c r="I12" s="13">
        <f>IFERROR(__xludf.DUMMYFUNCTION("AVERAGE(index(GOOGLEFINANCE(""NSE:""&amp;$A12, ""volume"", today()-21, today()-1), , 2))"),"#N/A")</f>
        <v/>
      </c>
      <c r="J12" s="14">
        <f>(H12-I12)/I12</f>
        <v/>
      </c>
      <c r="K12" s="13">
        <f>IFERROR(__xludf.DUMMYFUNCTION("AVERAGE(index(GOOGLEFINANCE(""NSE:""&amp;$A12, ""close"", today()-6, today()-1), , 2))"),"#N/A")</f>
        <v/>
      </c>
      <c r="L12" s="13">
        <f>IFERROR(__xludf.DUMMYFUNCTION("AVERAGE(index(GOOGLEFINANCE(""NSE:""&amp;$A12, ""close"", today()-14, today()-1), , 2))"),"#N/A")</f>
        <v/>
      </c>
      <c r="M12" s="13">
        <f>IFERROR(__xludf.DUMMYFUNCTION("AVERAGE(index(GOOGLEFINANCE(""NSE:""&amp;$A12, ""close"", today()-22, today()-1), , 2))"),"#N/A")</f>
        <v/>
      </c>
      <c r="N12" s="13">
        <f>AG12</f>
        <v/>
      </c>
      <c r="O12" s="13">
        <f>AI12</f>
        <v/>
      </c>
      <c r="P12" s="13">
        <f>W12</f>
        <v/>
      </c>
      <c r="Q12" s="13">
        <f>Y12</f>
        <v/>
      </c>
      <c r="R12" s="15" t="n"/>
      <c r="S12" s="15">
        <f>LEFT(W12,2)&amp;LEFT(Y12,2)</f>
        <v/>
      </c>
      <c r="T12" s="15" t="n"/>
      <c r="U12" s="15">
        <f>IF(K12&lt;L12,1,0)</f>
        <v/>
      </c>
      <c r="V12" s="15">
        <f>IF(H12&gt;I12,1,0)</f>
        <v/>
      </c>
      <c r="W12" s="15">
        <f>IF(SUM(U12:V12)=2,"Anticipatory_Sell","No_Action")</f>
        <v/>
      </c>
      <c r="X12" s="15" t="n"/>
      <c r="Y12" s="15">
        <f>IF(SUM(Z12:AA12)=2,"Confirm_Sell","No_Action")</f>
        <v/>
      </c>
      <c r="Z12" s="15">
        <f>IF(H12&gt;I12,1,0)</f>
        <v/>
      </c>
      <c r="AA12" s="15">
        <f>IF(K12&lt;M12,1,0)</f>
        <v/>
      </c>
      <c r="AB12" s="15" t="n"/>
      <c r="AC12" s="15">
        <f>LEFT(AG12,2)&amp;LEFT(AI12,2)</f>
        <v/>
      </c>
      <c r="AD12" s="15" t="n"/>
      <c r="AE12" s="15">
        <f>IF(K12&gt;L12,1,0)</f>
        <v/>
      </c>
      <c r="AF12" s="16">
        <f>IF(H12&gt;I12,1,0)</f>
        <v/>
      </c>
      <c r="AG12" s="16">
        <f>IF(SUM(AE12:AF12)=2,"Anticipatory_Buy","No_Action")</f>
        <v/>
      </c>
      <c r="AH12" s="15" t="n"/>
      <c r="AI12" s="15">
        <f>IF(SUM(AJ12:AK12)=2,"Confirm_Buy","No_Action")</f>
        <v/>
      </c>
      <c r="AJ12" s="15">
        <f>IF(H12&gt;I12,1,0)</f>
        <v/>
      </c>
      <c r="AK12" s="15">
        <f>IF(K12&gt;M12,1,0)</f>
        <v/>
      </c>
    </row>
    <row r="13" ht="15.75" customHeight="1">
      <c r="A13" s="12" t="inlineStr">
        <is>
          <t>AGI</t>
        </is>
      </c>
      <c r="B13" s="13">
        <f>IFERROR(__xludf.DUMMYFUNCTION("GOOGLEFINANCE(""NSE:""&amp;A13,""PRICE"")"),1207)</f>
        <v/>
      </c>
      <c r="C13" s="13">
        <f>IFERROR(__xludf.DUMMYFUNCTION("GOOGLEFINANCE(""NSE:""&amp;A13,""PRICEOPEN"")"),1215)</f>
        <v/>
      </c>
      <c r="D13" s="13">
        <f>IFERROR(__xludf.DUMMYFUNCTION("GOOGLEFINANCE(""NSE:""&amp;A13,""HIGH"")"),1227.85)</f>
        <v/>
      </c>
      <c r="E13" s="13">
        <f>IFERROR(__xludf.DUMMYFUNCTION("GOOGLEFINANCE(""NSE:""&amp;A13,""LOW"")"),1188)</f>
        <v/>
      </c>
      <c r="F13" s="13">
        <f>IFERROR(__xludf.DUMMYFUNCTION("GOOGLEFINANCE(""NSE:""&amp;A13,""closeyest"")"),1216.3)</f>
        <v/>
      </c>
      <c r="G13" s="14">
        <f>(B13-C13)/B13</f>
        <v/>
      </c>
      <c r="H13" s="13">
        <f>IFERROR(__xludf.DUMMYFUNCTION("GOOGLEFINANCE(""NSE:""&amp;A13,""VOLUME"")"),312699)</f>
        <v/>
      </c>
      <c r="I13" s="13">
        <f>IFERROR(__xludf.DUMMYFUNCTION("AVERAGE(index(GOOGLEFINANCE(""NSE:""&amp;$A13, ""volume"", today()-21, today()-1), , 2))"),"#N/A")</f>
        <v/>
      </c>
      <c r="J13" s="14">
        <f>(H13-I13)/I13</f>
        <v/>
      </c>
      <c r="K13" s="13">
        <f>IFERROR(__xludf.DUMMYFUNCTION("AVERAGE(index(GOOGLEFINANCE(""NSE:""&amp;$A13, ""close"", today()-6, today()-1), , 2))"),"#N/A")</f>
        <v/>
      </c>
      <c r="L13" s="13">
        <f>IFERROR(__xludf.DUMMYFUNCTION("AVERAGE(index(GOOGLEFINANCE(""NSE:""&amp;$A13, ""close"", today()-14, today()-1), , 2))"),"#N/A")</f>
        <v/>
      </c>
      <c r="M13" s="13">
        <f>IFERROR(__xludf.DUMMYFUNCTION("AVERAGE(index(GOOGLEFINANCE(""NSE:""&amp;$A13, ""close"", today()-22, today()-1), , 2))"),"#N/A")</f>
        <v/>
      </c>
      <c r="N13" s="13">
        <f>AG13</f>
        <v/>
      </c>
      <c r="O13" s="13">
        <f>AI13</f>
        <v/>
      </c>
      <c r="P13" s="13">
        <f>W13</f>
        <v/>
      </c>
      <c r="Q13" s="13">
        <f>Y13</f>
        <v/>
      </c>
      <c r="R13" s="15" t="n"/>
      <c r="S13" s="15">
        <f>LEFT(W13,2)&amp;LEFT(Y13,2)</f>
        <v/>
      </c>
      <c r="T13" s="15" t="n"/>
      <c r="U13" s="15">
        <f>IF(K13&lt;L13,1,0)</f>
        <v/>
      </c>
      <c r="V13" s="15">
        <f>IF(H13&gt;I13,1,0)</f>
        <v/>
      </c>
      <c r="W13" s="15">
        <f>IF(SUM(U13:V13)=2,"Anticipatory_Sell","No_Action")</f>
        <v/>
      </c>
      <c r="X13" s="15" t="n"/>
      <c r="Y13" s="15">
        <f>IF(SUM(Z13:AA13)=2,"Confirm_Sell","No_Action")</f>
        <v/>
      </c>
      <c r="Z13" s="15">
        <f>IF(H13&gt;I13,1,0)</f>
        <v/>
      </c>
      <c r="AA13" s="15">
        <f>IF(K13&lt;M13,1,0)</f>
        <v/>
      </c>
      <c r="AB13" s="15" t="n"/>
      <c r="AC13" s="15">
        <f>LEFT(AG13,2)&amp;LEFT(AI13,2)</f>
        <v/>
      </c>
      <c r="AD13" s="15" t="n"/>
      <c r="AE13" s="15">
        <f>IF(K13&gt;L13,1,0)</f>
        <v/>
      </c>
      <c r="AF13" s="16">
        <f>IF(H13&gt;I13,1,0)</f>
        <v/>
      </c>
      <c r="AG13" s="16">
        <f>IF(SUM(AE13:AF13)=2,"Anticipatory_Buy","No_Action")</f>
        <v/>
      </c>
      <c r="AH13" s="15" t="n"/>
      <c r="AI13" s="15">
        <f>IF(SUM(AJ13:AK13)=2,"Confirm_Buy","No_Action")</f>
        <v/>
      </c>
      <c r="AJ13" s="15">
        <f>IF(H13&gt;I13,1,0)</f>
        <v/>
      </c>
      <c r="AK13" s="15">
        <f>IF(K13&gt;M13,1,0)</f>
        <v/>
      </c>
    </row>
    <row r="14" ht="15.75" customHeight="1">
      <c r="A14" s="12" t="inlineStr">
        <is>
          <t>AIAENG</t>
        </is>
      </c>
      <c r="B14" s="13">
        <f>IFERROR(__xludf.DUMMYFUNCTION("GOOGLEFINANCE(""NSE:""&amp;A14,""PRICE"")"),3468.25)</f>
        <v/>
      </c>
      <c r="C14" s="13">
        <f>IFERROR(__xludf.DUMMYFUNCTION("GOOGLEFINANCE(""NSE:""&amp;A14,""PRICEOPEN"")"),3431.05)</f>
        <v/>
      </c>
      <c r="D14" s="13">
        <f>IFERROR(__xludf.DUMMYFUNCTION("GOOGLEFINANCE(""NSE:""&amp;A14,""HIGH"")"),3472.15)</f>
        <v/>
      </c>
      <c r="E14" s="13">
        <f>IFERROR(__xludf.DUMMYFUNCTION("GOOGLEFINANCE(""NSE:""&amp;A14,""LOW"")"),3431.05)</f>
        <v/>
      </c>
      <c r="F14" s="13">
        <f>IFERROR(__xludf.DUMMYFUNCTION("GOOGLEFINANCE(""NSE:""&amp;A14,""closeyest"")"),3427.3)</f>
        <v/>
      </c>
      <c r="G14" s="14">
        <f>(B14-C14)/B14</f>
        <v/>
      </c>
      <c r="H14" s="13">
        <f>IFERROR(__xludf.DUMMYFUNCTION("GOOGLEFINANCE(""NSE:""&amp;A14,""VOLUME"")"),155533)</f>
        <v/>
      </c>
      <c r="I14" s="13">
        <f>IFERROR(__xludf.DUMMYFUNCTION("AVERAGE(index(GOOGLEFINANCE(""NSE:""&amp;$A14, ""volume"", today()-21, today()-1), , 2))"),"#N/A")</f>
        <v/>
      </c>
      <c r="J14" s="14">
        <f>(H14-I14)/I14</f>
        <v/>
      </c>
      <c r="K14" s="13">
        <f>IFERROR(__xludf.DUMMYFUNCTION("AVERAGE(index(GOOGLEFINANCE(""NSE:""&amp;$A14, ""close"", today()-6, today()-1), , 2))"),"#N/A")</f>
        <v/>
      </c>
      <c r="L14" s="13">
        <f>IFERROR(__xludf.DUMMYFUNCTION("AVERAGE(index(GOOGLEFINANCE(""NSE:""&amp;$A14, ""close"", today()-14, today()-1), , 2))"),"#N/A")</f>
        <v/>
      </c>
      <c r="M14" s="13">
        <f>IFERROR(__xludf.DUMMYFUNCTION("AVERAGE(index(GOOGLEFINANCE(""NSE:""&amp;$A14, ""close"", today()-22, today()-1), , 2))"),"#N/A")</f>
        <v/>
      </c>
      <c r="N14" s="13">
        <f>AG14</f>
        <v/>
      </c>
      <c r="O14" s="13">
        <f>AI14</f>
        <v/>
      </c>
      <c r="P14" s="13">
        <f>W14</f>
        <v/>
      </c>
      <c r="Q14" s="13">
        <f>Y14</f>
        <v/>
      </c>
      <c r="R14" s="15" t="n"/>
      <c r="S14" s="15">
        <f>LEFT(W14,2)&amp;LEFT(Y14,2)</f>
        <v/>
      </c>
      <c r="T14" s="15" t="n"/>
      <c r="U14" s="15">
        <f>IF(K14&lt;L14,1,0)</f>
        <v/>
      </c>
      <c r="V14" s="15">
        <f>IF(H14&gt;I14,1,0)</f>
        <v/>
      </c>
      <c r="W14" s="15">
        <f>IF(SUM(U14:V14)=2,"Anticipatory_Sell","No_Action")</f>
        <v/>
      </c>
      <c r="X14" s="15" t="n"/>
      <c r="Y14" s="15">
        <f>IF(SUM(Z14:AA14)=2,"Confirm_Sell","No_Action")</f>
        <v/>
      </c>
      <c r="Z14" s="15">
        <f>IF(H14&gt;I14,1,0)</f>
        <v/>
      </c>
      <c r="AA14" s="15">
        <f>IF(K14&lt;M14,1,0)</f>
        <v/>
      </c>
      <c r="AB14" s="15" t="n"/>
      <c r="AC14" s="15">
        <f>LEFT(AG14,2)&amp;LEFT(AI14,2)</f>
        <v/>
      </c>
      <c r="AD14" s="15" t="n"/>
      <c r="AE14" s="15">
        <f>IF(K14&gt;L14,1,0)</f>
        <v/>
      </c>
      <c r="AF14" s="16">
        <f>IF(H14&gt;I14,1,0)</f>
        <v/>
      </c>
      <c r="AG14" s="16">
        <f>IF(SUM(AE14:AF14)=2,"Anticipatory_Buy","No_Action")</f>
        <v/>
      </c>
      <c r="AH14" s="15" t="n"/>
      <c r="AI14" s="15">
        <f>IF(SUM(AJ14:AK14)=2,"Confirm_Buy","No_Action")</f>
        <v/>
      </c>
      <c r="AJ14" s="15">
        <f>IF(H14&gt;I14,1,0)</f>
        <v/>
      </c>
      <c r="AK14" s="15">
        <f>IF(K14&gt;M14,1,0)</f>
        <v/>
      </c>
    </row>
    <row r="15" ht="15.75" customHeight="1">
      <c r="A15" s="12" t="inlineStr">
        <is>
          <t>AJANTPHARM</t>
        </is>
      </c>
      <c r="B15" s="13">
        <f>IFERROR(__xludf.DUMMYFUNCTION("GOOGLEFINANCE(""NSE:""&amp;A15,""PRICE"")"),2840)</f>
        <v/>
      </c>
      <c r="C15" s="13">
        <f>IFERROR(__xludf.DUMMYFUNCTION("GOOGLEFINANCE(""NSE:""&amp;A15,""PRICEOPEN"")"),2879.8)</f>
        <v/>
      </c>
      <c r="D15" s="13">
        <f>IFERROR(__xludf.DUMMYFUNCTION("GOOGLEFINANCE(""NSE:""&amp;A15,""HIGH"")"),2889)</f>
        <v/>
      </c>
      <c r="E15" s="13">
        <f>IFERROR(__xludf.DUMMYFUNCTION("GOOGLEFINANCE(""NSE:""&amp;A15,""LOW"")"),2820)</f>
        <v/>
      </c>
      <c r="F15" s="13">
        <f>IFERROR(__xludf.DUMMYFUNCTION("GOOGLEFINANCE(""NSE:""&amp;A15,""closeyest"")"),2864.8)</f>
        <v/>
      </c>
      <c r="G15" s="14">
        <f>(B15-C15)/B15</f>
        <v/>
      </c>
      <c r="H15" s="13">
        <f>IFERROR(__xludf.DUMMYFUNCTION("GOOGLEFINANCE(""NSE:""&amp;A15,""VOLUME"")"),162803)</f>
        <v/>
      </c>
      <c r="I15" s="13">
        <f>IFERROR(__xludf.DUMMYFUNCTION("AVERAGE(index(GOOGLEFINANCE(""NSE:""&amp;$A15, ""volume"", today()-21, today()-1), , 2))"),"#N/A")</f>
        <v/>
      </c>
      <c r="J15" s="14">
        <f>(H15-I15)/I15</f>
        <v/>
      </c>
      <c r="K15" s="13">
        <f>IFERROR(__xludf.DUMMYFUNCTION("AVERAGE(index(GOOGLEFINANCE(""NSE:""&amp;$A15, ""close"", today()-6, today()-1), , 2))"),"#N/A")</f>
        <v/>
      </c>
      <c r="L15" s="13">
        <f>IFERROR(__xludf.DUMMYFUNCTION("AVERAGE(index(GOOGLEFINANCE(""NSE:""&amp;$A15, ""close"", today()-14, today()-1), , 2))"),"#N/A")</f>
        <v/>
      </c>
      <c r="M15" s="13">
        <f>IFERROR(__xludf.DUMMYFUNCTION("AVERAGE(index(GOOGLEFINANCE(""NSE:""&amp;$A15, ""close"", today()-22, today()-1), , 2))"),"#N/A")</f>
        <v/>
      </c>
      <c r="N15" s="13">
        <f>AG15</f>
        <v/>
      </c>
      <c r="O15" s="13">
        <f>AI15</f>
        <v/>
      </c>
      <c r="P15" s="13">
        <f>W15</f>
        <v/>
      </c>
      <c r="Q15" s="13">
        <f>Y15</f>
        <v/>
      </c>
      <c r="R15" s="15" t="n"/>
      <c r="S15" s="15">
        <f>LEFT(W15,2)&amp;LEFT(Y15,2)</f>
        <v/>
      </c>
      <c r="T15" s="15" t="n"/>
      <c r="U15" s="15">
        <f>IF(K15&lt;L15,1,0)</f>
        <v/>
      </c>
      <c r="V15" s="15">
        <f>IF(H15&gt;I15,1,0)</f>
        <v/>
      </c>
      <c r="W15" s="15">
        <f>IF(SUM(U15:V15)=2,"Anticipatory_Sell","No_Action")</f>
        <v/>
      </c>
      <c r="X15" s="15" t="n"/>
      <c r="Y15" s="15">
        <f>IF(SUM(Z15:AA15)=2,"Confirm_Sell","No_Action")</f>
        <v/>
      </c>
      <c r="Z15" s="15">
        <f>IF(H15&gt;I15,1,0)</f>
        <v/>
      </c>
      <c r="AA15" s="15">
        <f>IF(K15&lt;M15,1,0)</f>
        <v/>
      </c>
      <c r="AB15" s="15" t="n"/>
      <c r="AC15" s="15">
        <f>LEFT(AG15,2)&amp;LEFT(AI15,2)</f>
        <v/>
      </c>
      <c r="AD15" s="15" t="n"/>
      <c r="AE15" s="15">
        <f>IF(K15&gt;L15,1,0)</f>
        <v/>
      </c>
      <c r="AF15" s="16">
        <f>IF(H15&gt;I15,1,0)</f>
        <v/>
      </c>
      <c r="AG15" s="16">
        <f>IF(SUM(AE15:AF15)=2,"Anticipatory_Buy","No_Action")</f>
        <v/>
      </c>
      <c r="AH15" s="15" t="n"/>
      <c r="AI15" s="15">
        <f>IF(SUM(AJ15:AK15)=2,"Confirm_Buy","No_Action")</f>
        <v/>
      </c>
      <c r="AJ15" s="15">
        <f>IF(H15&gt;I15,1,0)</f>
        <v/>
      </c>
      <c r="AK15" s="15">
        <f>IF(K15&gt;M15,1,0)</f>
        <v/>
      </c>
    </row>
    <row r="16" ht="15.75" customHeight="1">
      <c r="A16" s="12" t="inlineStr">
        <is>
          <t>AJMERA</t>
        </is>
      </c>
      <c r="B16" s="13">
        <f>IFERROR(__xludf.DUMMYFUNCTION("GOOGLEFINANCE(""NSE:""&amp;A16,""PRICE"")"),1121.05)</f>
        <v/>
      </c>
      <c r="C16" s="13">
        <f>IFERROR(__xludf.DUMMYFUNCTION("GOOGLEFINANCE(""NSE:""&amp;A16,""PRICEOPEN"")"),1129.25)</f>
        <v/>
      </c>
      <c r="D16" s="13">
        <f>IFERROR(__xludf.DUMMYFUNCTION("GOOGLEFINANCE(""NSE:""&amp;A16,""HIGH"")"),1135.95)</f>
        <v/>
      </c>
      <c r="E16" s="13">
        <f>IFERROR(__xludf.DUMMYFUNCTION("GOOGLEFINANCE(""NSE:""&amp;A16,""LOW"")"),1106.35)</f>
        <v/>
      </c>
      <c r="F16" s="13">
        <f>IFERROR(__xludf.DUMMYFUNCTION("GOOGLEFINANCE(""NSE:""&amp;A16,""closeyest"")"),1136.5)</f>
        <v/>
      </c>
      <c r="G16" s="14">
        <f>(B16-C16)/B16</f>
        <v/>
      </c>
      <c r="H16" s="13">
        <f>IFERROR(__xludf.DUMMYFUNCTION("GOOGLEFINANCE(""NSE:""&amp;A16,""VOLUME"")"),59293)</f>
        <v/>
      </c>
      <c r="I16" s="13">
        <f>IFERROR(__xludf.DUMMYFUNCTION("AVERAGE(index(GOOGLEFINANCE(""NSE:""&amp;$A16, ""volume"", today()-21, today()-1), , 2))"),"#N/A")</f>
        <v/>
      </c>
      <c r="J16" s="14">
        <f>(H16-I16)/I16</f>
        <v/>
      </c>
      <c r="K16" s="13">
        <f>IFERROR(__xludf.DUMMYFUNCTION("AVERAGE(index(GOOGLEFINANCE(""NSE:""&amp;$A16, ""close"", today()-6, today()-1), , 2))"),"#N/A")</f>
        <v/>
      </c>
      <c r="L16" s="13">
        <f>IFERROR(__xludf.DUMMYFUNCTION("AVERAGE(index(GOOGLEFINANCE(""NSE:""&amp;$A16, ""close"", today()-14, today()-1), , 2))"),"#N/A")</f>
        <v/>
      </c>
      <c r="M16" s="13">
        <f>IFERROR(__xludf.DUMMYFUNCTION("AVERAGE(index(GOOGLEFINANCE(""NSE:""&amp;$A16, ""close"", today()-22, today()-1), , 2))"),"#N/A")</f>
        <v/>
      </c>
      <c r="N16" s="13">
        <f>AG16</f>
        <v/>
      </c>
      <c r="O16" s="13">
        <f>AI16</f>
        <v/>
      </c>
      <c r="P16" s="13">
        <f>W16</f>
        <v/>
      </c>
      <c r="Q16" s="13">
        <f>Y16</f>
        <v/>
      </c>
      <c r="R16" s="15" t="n"/>
      <c r="S16" s="15">
        <f>LEFT(W16,2)&amp;LEFT(Y16,2)</f>
        <v/>
      </c>
      <c r="T16" s="15" t="n"/>
      <c r="U16" s="15">
        <f>IF(K16&lt;L16,1,0)</f>
        <v/>
      </c>
      <c r="V16" s="15">
        <f>IF(H16&gt;I16,1,0)</f>
        <v/>
      </c>
      <c r="W16" s="15">
        <f>IF(SUM(U16:V16)=2,"Anticipatory_Sell","No_Action")</f>
        <v/>
      </c>
      <c r="X16" s="15" t="n"/>
      <c r="Y16" s="15">
        <f>IF(SUM(Z16:AA16)=2,"Confirm_Sell","No_Action")</f>
        <v/>
      </c>
      <c r="Z16" s="15">
        <f>IF(H16&gt;I16,1,0)</f>
        <v/>
      </c>
      <c r="AA16" s="15">
        <f>IF(K16&lt;M16,1,0)</f>
        <v/>
      </c>
      <c r="AB16" s="15" t="n"/>
      <c r="AC16" s="15">
        <f>LEFT(AG16,2)&amp;LEFT(AI16,2)</f>
        <v/>
      </c>
      <c r="AD16" s="15" t="n"/>
      <c r="AE16" s="15">
        <f>IF(K16&gt;L16,1,0)</f>
        <v/>
      </c>
      <c r="AF16" s="16">
        <f>IF(H16&gt;I16,1,0)</f>
        <v/>
      </c>
      <c r="AG16" s="16">
        <f>IF(SUM(AE16:AF16)=2,"Anticipatory_Buy","No_Action")</f>
        <v/>
      </c>
      <c r="AH16" s="15" t="n"/>
      <c r="AI16" s="15">
        <f>IF(SUM(AJ16:AK16)=2,"Confirm_Buy","No_Action")</f>
        <v/>
      </c>
      <c r="AJ16" s="15">
        <f>IF(H16&gt;I16,1,0)</f>
        <v/>
      </c>
      <c r="AK16" s="15">
        <f>IF(K16&gt;M16,1,0)</f>
        <v/>
      </c>
    </row>
    <row r="17" ht="15.75" customHeight="1">
      <c r="A17" s="12" t="inlineStr">
        <is>
          <t>AKZOINDIA</t>
        </is>
      </c>
      <c r="B17" s="13">
        <f>IFERROR(__xludf.DUMMYFUNCTION("GOOGLEFINANCE(""NSE:""&amp;A17,""PRICE"")"),3590)</f>
        <v/>
      </c>
      <c r="C17" s="13">
        <f>IFERROR(__xludf.DUMMYFUNCTION("GOOGLEFINANCE(""NSE:""&amp;A17,""PRICEOPEN"")"),3718.7)</f>
        <v/>
      </c>
      <c r="D17" s="13">
        <f>IFERROR(__xludf.DUMMYFUNCTION("GOOGLEFINANCE(""NSE:""&amp;A17,""HIGH"")"),3718.7)</f>
        <v/>
      </c>
      <c r="E17" s="13">
        <f>IFERROR(__xludf.DUMMYFUNCTION("GOOGLEFINANCE(""NSE:""&amp;A17,""LOW"")"),3580)</f>
        <v/>
      </c>
      <c r="F17" s="13">
        <f>IFERROR(__xludf.DUMMYFUNCTION("GOOGLEFINANCE(""NSE:""&amp;A17,""closeyest"")"),3674.55)</f>
        <v/>
      </c>
      <c r="G17" s="14">
        <f>(B17-C17)/B17</f>
        <v/>
      </c>
      <c r="H17" s="13">
        <f>IFERROR(__xludf.DUMMYFUNCTION("GOOGLEFINANCE(""NSE:""&amp;A17,""VOLUME"")"),15452)</f>
        <v/>
      </c>
      <c r="I17" s="13">
        <f>IFERROR(__xludf.DUMMYFUNCTION("AVERAGE(index(GOOGLEFINANCE(""NSE:""&amp;$A17, ""volume"", today()-21, today()-1), , 2))"),"#N/A")</f>
        <v/>
      </c>
      <c r="J17" s="14">
        <f>(H17-I17)/I17</f>
        <v/>
      </c>
      <c r="K17" s="13">
        <f>IFERROR(__xludf.DUMMYFUNCTION("AVERAGE(index(GOOGLEFINANCE(""NSE:""&amp;$A17, ""close"", today()-6, today()-1), , 2))"),"#N/A")</f>
        <v/>
      </c>
      <c r="L17" s="13">
        <f>IFERROR(__xludf.DUMMYFUNCTION("AVERAGE(index(GOOGLEFINANCE(""NSE:""&amp;$A17, ""close"", today()-14, today()-1), , 2))"),"#N/A")</f>
        <v/>
      </c>
      <c r="M17" s="13">
        <f>IFERROR(__xludf.DUMMYFUNCTION("AVERAGE(index(GOOGLEFINANCE(""NSE:""&amp;$A17, ""close"", today()-22, today()-1), , 2))"),"#N/A")</f>
        <v/>
      </c>
      <c r="N17" s="13">
        <f>AG17</f>
        <v/>
      </c>
      <c r="O17" s="13">
        <f>AI17</f>
        <v/>
      </c>
      <c r="P17" s="13">
        <f>W17</f>
        <v/>
      </c>
      <c r="Q17" s="13">
        <f>Y17</f>
        <v/>
      </c>
      <c r="R17" s="15" t="n"/>
      <c r="S17" s="15">
        <f>LEFT(W17,2)&amp;LEFT(Y17,2)</f>
        <v/>
      </c>
      <c r="T17" s="15" t="n"/>
      <c r="U17" s="15">
        <f>IF(K17&lt;L17,1,0)</f>
        <v/>
      </c>
      <c r="V17" s="15">
        <f>IF(H17&gt;I17,1,0)</f>
        <v/>
      </c>
      <c r="W17" s="15">
        <f>IF(SUM(U17:V17)=2,"Anticipatory_Sell","No_Action")</f>
        <v/>
      </c>
      <c r="X17" s="15" t="n"/>
      <c r="Y17" s="15">
        <f>IF(SUM(Z17:AA17)=2,"Confirm_Sell","No_Action")</f>
        <v/>
      </c>
      <c r="Z17" s="15">
        <f>IF(H17&gt;I17,1,0)</f>
        <v/>
      </c>
      <c r="AA17" s="15">
        <f>IF(K17&lt;M17,1,0)</f>
        <v/>
      </c>
      <c r="AB17" s="15" t="n"/>
      <c r="AC17" s="15">
        <f>LEFT(AG17,2)&amp;LEFT(AI17,2)</f>
        <v/>
      </c>
      <c r="AD17" s="15" t="n"/>
      <c r="AE17" s="15">
        <f>IF(K17&gt;L17,1,0)</f>
        <v/>
      </c>
      <c r="AF17" s="16">
        <f>IF(H17&gt;I17,1,0)</f>
        <v/>
      </c>
      <c r="AG17" s="16">
        <f>IF(SUM(AE17:AF17)=2,"Anticipatory_Buy","No_Action")</f>
        <v/>
      </c>
      <c r="AH17" s="15" t="n"/>
      <c r="AI17" s="15">
        <f>IF(SUM(AJ17:AK17)=2,"Confirm_Buy","No_Action")</f>
        <v/>
      </c>
      <c r="AJ17" s="15">
        <f>IF(H17&gt;I17,1,0)</f>
        <v/>
      </c>
      <c r="AK17" s="15">
        <f>IF(K17&gt;M17,1,0)</f>
        <v/>
      </c>
    </row>
    <row r="18" ht="15.75" customHeight="1">
      <c r="A18" s="12" t="inlineStr">
        <is>
          <t>ALEMBICLTD</t>
        </is>
      </c>
      <c r="B18" s="13">
        <f>IFERROR(__xludf.DUMMYFUNCTION("GOOGLEFINANCE(""NSE:""&amp;A18,""PRICE"")"),138.18)</f>
        <v/>
      </c>
      <c r="C18" s="13">
        <f>IFERROR(__xludf.DUMMYFUNCTION("GOOGLEFINANCE(""NSE:""&amp;A18,""PRICEOPEN"")"),137.35)</f>
        <v/>
      </c>
      <c r="D18" s="13">
        <f>IFERROR(__xludf.DUMMYFUNCTION("GOOGLEFINANCE(""NSE:""&amp;A18,""HIGH"")"),140.2)</f>
        <v/>
      </c>
      <c r="E18" s="13">
        <f>IFERROR(__xludf.DUMMYFUNCTION("GOOGLEFINANCE(""NSE:""&amp;A18,""LOW"")"),137.35)</f>
        <v/>
      </c>
      <c r="F18" s="13">
        <f>IFERROR(__xludf.DUMMYFUNCTION("GOOGLEFINANCE(""NSE:""&amp;A18,""closeyest"")"),137.35)</f>
        <v/>
      </c>
      <c r="G18" s="14">
        <f>(B18-C18)/B18</f>
        <v/>
      </c>
      <c r="H18" s="13">
        <f>IFERROR(__xludf.DUMMYFUNCTION("GOOGLEFINANCE(""NSE:""&amp;A18,""VOLUME"")"),487731)</f>
        <v/>
      </c>
      <c r="I18" s="13">
        <f>IFERROR(__xludf.DUMMYFUNCTION("AVERAGE(index(GOOGLEFINANCE(""NSE:""&amp;$A18, ""volume"", today()-21, today()-1), , 2))"),"#N/A")</f>
        <v/>
      </c>
      <c r="J18" s="14">
        <f>(H18-I18)/I18</f>
        <v/>
      </c>
      <c r="K18" s="13">
        <f>IFERROR(__xludf.DUMMYFUNCTION("AVERAGE(index(GOOGLEFINANCE(""NSE:""&amp;$A18, ""close"", today()-6, today()-1), , 2))"),"#N/A")</f>
        <v/>
      </c>
      <c r="L18" s="13">
        <f>IFERROR(__xludf.DUMMYFUNCTION("AVERAGE(index(GOOGLEFINANCE(""NSE:""&amp;$A18, ""close"", today()-14, today()-1), , 2))"),"#N/A")</f>
        <v/>
      </c>
      <c r="M18" s="13">
        <f>IFERROR(__xludf.DUMMYFUNCTION("AVERAGE(index(GOOGLEFINANCE(""NSE:""&amp;$A18, ""close"", today()-22, today()-1), , 2))"),"#N/A")</f>
        <v/>
      </c>
      <c r="N18" s="13">
        <f>AG18</f>
        <v/>
      </c>
      <c r="O18" s="13">
        <f>AI18</f>
        <v/>
      </c>
      <c r="P18" s="13">
        <f>W18</f>
        <v/>
      </c>
      <c r="Q18" s="13">
        <f>Y18</f>
        <v/>
      </c>
      <c r="R18" s="15" t="n"/>
      <c r="S18" s="15">
        <f>LEFT(W18,2)&amp;LEFT(Y18,2)</f>
        <v/>
      </c>
      <c r="T18" s="15" t="n"/>
      <c r="U18" s="15">
        <f>IF(K18&lt;L18,1,0)</f>
        <v/>
      </c>
      <c r="V18" s="15">
        <f>IF(H18&gt;I18,1,0)</f>
        <v/>
      </c>
      <c r="W18" s="15">
        <f>IF(SUM(U18:V18)=2,"Anticipatory_Sell","No_Action")</f>
        <v/>
      </c>
      <c r="X18" s="15" t="n"/>
      <c r="Y18" s="15">
        <f>IF(SUM(Z18:AA18)=2,"Confirm_Sell","No_Action")</f>
        <v/>
      </c>
      <c r="Z18" s="15">
        <f>IF(H18&gt;I18,1,0)</f>
        <v/>
      </c>
      <c r="AA18" s="15">
        <f>IF(K18&lt;M18,1,0)</f>
        <v/>
      </c>
      <c r="AB18" s="15" t="n"/>
      <c r="AC18" s="15">
        <f>LEFT(AG18,2)&amp;LEFT(AI18,2)</f>
        <v/>
      </c>
      <c r="AD18" s="15" t="n"/>
      <c r="AE18" s="15">
        <f>IF(K18&gt;L18,1,0)</f>
        <v/>
      </c>
      <c r="AF18" s="16">
        <f>IF(H18&gt;I18,1,0)</f>
        <v/>
      </c>
      <c r="AG18" s="16">
        <f>IF(SUM(AE18:AF18)=2,"Anticipatory_Buy","No_Action")</f>
        <v/>
      </c>
      <c r="AH18" s="15" t="n"/>
      <c r="AI18" s="15">
        <f>IF(SUM(AJ18:AK18)=2,"Confirm_Buy","No_Action")</f>
        <v/>
      </c>
      <c r="AJ18" s="15">
        <f>IF(H18&gt;I18,1,0)</f>
        <v/>
      </c>
      <c r="AK18" s="15">
        <f>IF(K18&gt;M18,1,0)</f>
        <v/>
      </c>
    </row>
    <row r="19" ht="15.75" customHeight="1">
      <c r="A19" s="12" t="inlineStr">
        <is>
          <t>ALKEM</t>
        </is>
      </c>
      <c r="B19" s="13">
        <f>IFERROR(__xludf.DUMMYFUNCTION("GOOGLEFINANCE(""NSE:""&amp;A19,""PRICE"")"),5495)</f>
        <v/>
      </c>
      <c r="C19" s="13">
        <f>IFERROR(__xludf.DUMMYFUNCTION("GOOGLEFINANCE(""NSE:""&amp;A19,""PRICEOPEN"")"),5532.95)</f>
        <v/>
      </c>
      <c r="D19" s="13">
        <f>IFERROR(__xludf.DUMMYFUNCTION("GOOGLEFINANCE(""NSE:""&amp;A19,""HIGH"")"),5700)</f>
        <v/>
      </c>
      <c r="E19" s="13">
        <f>IFERROR(__xludf.DUMMYFUNCTION("GOOGLEFINANCE(""NSE:""&amp;A19,""LOW"")"),5461.1)</f>
        <v/>
      </c>
      <c r="F19" s="13">
        <f>IFERROR(__xludf.DUMMYFUNCTION("GOOGLEFINANCE(""NSE:""&amp;A19,""closeyest"")"),5505.4)</f>
        <v/>
      </c>
      <c r="G19" s="14">
        <f>(B19-C19)/B19</f>
        <v/>
      </c>
      <c r="H19" s="13">
        <f>IFERROR(__xludf.DUMMYFUNCTION("GOOGLEFINANCE(""NSE:""&amp;A19,""VOLUME"")"),113570)</f>
        <v/>
      </c>
      <c r="I19" s="13">
        <f>IFERROR(__xludf.DUMMYFUNCTION("AVERAGE(index(GOOGLEFINANCE(""NSE:""&amp;$A19, ""volume"", today()-21, today()-1), , 2))"),"#N/A")</f>
        <v/>
      </c>
      <c r="J19" s="14">
        <f>(H19-I19)/I19</f>
        <v/>
      </c>
      <c r="K19" s="13">
        <f>IFERROR(__xludf.DUMMYFUNCTION("AVERAGE(index(GOOGLEFINANCE(""NSE:""&amp;$A19, ""close"", today()-6, today()-1), , 2))"),"#N/A")</f>
        <v/>
      </c>
      <c r="L19" s="13">
        <f>IFERROR(__xludf.DUMMYFUNCTION("AVERAGE(index(GOOGLEFINANCE(""NSE:""&amp;$A19, ""close"", today()-14, today()-1), , 2))"),"#N/A")</f>
        <v/>
      </c>
      <c r="M19" s="13">
        <f>IFERROR(__xludf.DUMMYFUNCTION("AVERAGE(index(GOOGLEFINANCE(""NSE:""&amp;$A19, ""close"", today()-22, today()-1), , 2))"),"#N/A")</f>
        <v/>
      </c>
      <c r="N19" s="13">
        <f>AG19</f>
        <v/>
      </c>
      <c r="O19" s="13">
        <f>AI19</f>
        <v/>
      </c>
      <c r="P19" s="13">
        <f>W19</f>
        <v/>
      </c>
      <c r="Q19" s="13">
        <f>Y19</f>
        <v/>
      </c>
      <c r="R19" s="15" t="n"/>
      <c r="S19" s="15">
        <f>LEFT(W19,2)&amp;LEFT(Y19,2)</f>
        <v/>
      </c>
      <c r="T19" s="15" t="n"/>
      <c r="U19" s="15">
        <f>IF(K19&lt;L19,1,0)</f>
        <v/>
      </c>
      <c r="V19" s="15">
        <f>IF(H19&gt;I19,1,0)</f>
        <v/>
      </c>
      <c r="W19" s="15">
        <f>IF(SUM(U19:V19)=2,"Anticipatory_Sell","No_Action")</f>
        <v/>
      </c>
      <c r="X19" s="15" t="n"/>
      <c r="Y19" s="15">
        <f>IF(SUM(Z19:AA19)=2,"Confirm_Sell","No_Action")</f>
        <v/>
      </c>
      <c r="Z19" s="15">
        <f>IF(H19&gt;I19,1,0)</f>
        <v/>
      </c>
      <c r="AA19" s="15">
        <f>IF(K19&lt;M19,1,0)</f>
        <v/>
      </c>
      <c r="AB19" s="15" t="n"/>
      <c r="AC19" s="15">
        <f>LEFT(AG19,2)&amp;LEFT(AI19,2)</f>
        <v/>
      </c>
      <c r="AD19" s="15" t="n"/>
      <c r="AE19" s="15">
        <f>IF(K19&gt;L19,1,0)</f>
        <v/>
      </c>
      <c r="AF19" s="16">
        <f>IF(H19&gt;I19,1,0)</f>
        <v/>
      </c>
      <c r="AG19" s="16">
        <f>IF(SUM(AE19:AF19)=2,"Anticipatory_Buy","No_Action")</f>
        <v/>
      </c>
      <c r="AH19" s="15" t="n"/>
      <c r="AI19" s="15">
        <f>IF(SUM(AJ19:AK19)=2,"Confirm_Buy","No_Action")</f>
        <v/>
      </c>
      <c r="AJ19" s="15">
        <f>IF(H19&gt;I19,1,0)</f>
        <v/>
      </c>
      <c r="AK19" s="15">
        <f>IF(K19&gt;M19,1,0)</f>
        <v/>
      </c>
    </row>
    <row r="20" ht="15.75" customHeight="1">
      <c r="A20" s="12" t="inlineStr">
        <is>
          <t>ARE&amp;M</t>
        </is>
      </c>
      <c r="B20" s="13">
        <f>IFERROR(__xludf.DUMMYFUNCTION("GOOGLEFINANCE(""NSE:""&amp;A20,""PRICE"")"),1321)</f>
        <v/>
      </c>
      <c r="C20" s="13">
        <f>IFERROR(__xludf.DUMMYFUNCTION("GOOGLEFINANCE(""NSE:""&amp;A20,""PRICEOPEN"")"),1333)</f>
        <v/>
      </c>
      <c r="D20" s="13">
        <f>IFERROR(__xludf.DUMMYFUNCTION("GOOGLEFINANCE(""NSE:""&amp;A20,""HIGH"")"),1360)</f>
        <v/>
      </c>
      <c r="E20" s="13">
        <f>IFERROR(__xludf.DUMMYFUNCTION("GOOGLEFINANCE(""NSE:""&amp;A20,""LOW"")"),1315.95)</f>
        <v/>
      </c>
      <c r="F20" s="13">
        <f>IFERROR(__xludf.DUMMYFUNCTION("GOOGLEFINANCE(""NSE:""&amp;A20,""closeyest"")"),1330.65)</f>
        <v/>
      </c>
      <c r="G20" s="14">
        <f>(B20-C20)/B20</f>
        <v/>
      </c>
      <c r="H20" s="13">
        <f>IFERROR(__xludf.DUMMYFUNCTION("GOOGLEFINANCE(""NSE:""&amp;A20,""VOLUME"")"),506582)</f>
        <v/>
      </c>
      <c r="I20" s="13">
        <f>IFERROR(__xludf.DUMMYFUNCTION("AVERAGE(index(GOOGLEFINANCE(""NSE:""&amp;$A20, ""volume"", today()-21, today()-1), , 2))"),"#N/A")</f>
        <v/>
      </c>
      <c r="J20" s="14">
        <f>(H20-I20)/I20</f>
        <v/>
      </c>
      <c r="K20" s="13">
        <f>IFERROR(__xludf.DUMMYFUNCTION("AVERAGE(index(GOOGLEFINANCE(""NSE:""&amp;$A20, ""close"", today()-6, today()-1), , 2))"),"#N/A")</f>
        <v/>
      </c>
      <c r="L20" s="13">
        <f>IFERROR(__xludf.DUMMYFUNCTION("AVERAGE(index(GOOGLEFINANCE(""NSE:""&amp;$A20, ""close"", today()-14, today()-1), , 2))"),"#N/A")</f>
        <v/>
      </c>
      <c r="M20" s="13">
        <f>IFERROR(__xludf.DUMMYFUNCTION("AVERAGE(index(GOOGLEFINANCE(""NSE:""&amp;$A20, ""close"", today()-22, today()-1), , 2))"),"#N/A")</f>
        <v/>
      </c>
      <c r="N20" s="13">
        <f>AG20</f>
        <v/>
      </c>
      <c r="O20" s="13">
        <f>AI20</f>
        <v/>
      </c>
      <c r="P20" s="13">
        <f>W20</f>
        <v/>
      </c>
      <c r="Q20" s="13">
        <f>Y20</f>
        <v/>
      </c>
      <c r="R20" s="15" t="n"/>
      <c r="S20" s="15">
        <f>LEFT(W20,2)&amp;LEFT(Y20,2)</f>
        <v/>
      </c>
      <c r="T20" s="15" t="n"/>
      <c r="U20" s="15">
        <f>IF(K20&lt;L20,1,0)</f>
        <v/>
      </c>
      <c r="V20" s="15">
        <f>IF(H20&gt;I20,1,0)</f>
        <v/>
      </c>
      <c r="W20" s="15">
        <f>IF(SUM(U20:V20)=2,"Anticipatory_Sell","No_Action")</f>
        <v/>
      </c>
      <c r="X20" s="15" t="n"/>
      <c r="Y20" s="15">
        <f>IF(SUM(Z20:AA20)=2,"Confirm_Sell","No_Action")</f>
        <v/>
      </c>
      <c r="Z20" s="15">
        <f>IF(H20&gt;I20,1,0)</f>
        <v/>
      </c>
      <c r="AA20" s="15">
        <f>IF(K20&lt;M20,1,0)</f>
        <v/>
      </c>
      <c r="AB20" s="15" t="n"/>
      <c r="AC20" s="15">
        <f>LEFT(AG20,2)&amp;LEFT(AI20,2)</f>
        <v/>
      </c>
      <c r="AD20" s="15" t="n"/>
      <c r="AE20" s="15">
        <f>IF(K20&gt;L20,1,0)</f>
        <v/>
      </c>
      <c r="AF20" s="16">
        <f>IF(H20&gt;I20,1,0)</f>
        <v/>
      </c>
      <c r="AG20" s="16">
        <f>IF(SUM(AE20:AF20)=2,"Anticipatory_Buy","No_Action")</f>
        <v/>
      </c>
      <c r="AH20" s="15" t="n"/>
      <c r="AI20" s="15">
        <f>IF(SUM(AJ20:AK20)=2,"Confirm_Buy","No_Action")</f>
        <v/>
      </c>
      <c r="AJ20" s="15">
        <f>IF(H20&gt;I20,1,0)</f>
        <v/>
      </c>
      <c r="AK20" s="15">
        <f>IF(K20&gt;M20,1,0)</f>
        <v/>
      </c>
    </row>
    <row r="21" ht="15.75" customHeight="1">
      <c r="A21" s="12" t="inlineStr">
        <is>
          <t>AMBUJACEM</t>
        </is>
      </c>
      <c r="B21" s="13">
        <f>IFERROR(__xludf.DUMMYFUNCTION("GOOGLEFINANCE(""NSE:""&amp;A21,""PRICE"")"),570)</f>
        <v/>
      </c>
      <c r="C21" s="13">
        <f>IFERROR(__xludf.DUMMYFUNCTION("GOOGLEFINANCE(""NSE:""&amp;A21,""PRICEOPEN"")"),568)</f>
        <v/>
      </c>
      <c r="D21" s="13">
        <f>IFERROR(__xludf.DUMMYFUNCTION("GOOGLEFINANCE(""NSE:""&amp;A21,""HIGH"")"),576.75)</f>
        <v/>
      </c>
      <c r="E21" s="13">
        <f>IFERROR(__xludf.DUMMYFUNCTION("GOOGLEFINANCE(""NSE:""&amp;A21,""LOW"")"),565)</f>
        <v/>
      </c>
      <c r="F21" s="13">
        <f>IFERROR(__xludf.DUMMYFUNCTION("GOOGLEFINANCE(""NSE:""&amp;A21,""closeyest"")"),565.3)</f>
        <v/>
      </c>
      <c r="G21" s="14">
        <f>(B21-C21)/B21</f>
        <v/>
      </c>
      <c r="H21" s="13">
        <f>IFERROR(__xludf.DUMMYFUNCTION("GOOGLEFINANCE(""NSE:""&amp;A21,""VOLUME"")"),1156965)</f>
        <v/>
      </c>
      <c r="I21" s="13">
        <f>IFERROR(__xludf.DUMMYFUNCTION("AVERAGE(index(GOOGLEFINANCE(""NSE:""&amp;$A21, ""volume"", today()-21, today()-1), , 2))"),"#N/A")</f>
        <v/>
      </c>
      <c r="J21" s="14">
        <f>(H21-I21)/I21</f>
        <v/>
      </c>
      <c r="K21" s="13">
        <f>IFERROR(__xludf.DUMMYFUNCTION("AVERAGE(index(GOOGLEFINANCE(""NSE:""&amp;$A21, ""close"", today()-6, today()-1), , 2))"),"#N/A")</f>
        <v/>
      </c>
      <c r="L21" s="13">
        <f>IFERROR(__xludf.DUMMYFUNCTION("AVERAGE(index(GOOGLEFINANCE(""NSE:""&amp;$A21, ""close"", today()-14, today()-1), , 2))"),"#N/A")</f>
        <v/>
      </c>
      <c r="M21" s="13">
        <f>IFERROR(__xludf.DUMMYFUNCTION("AVERAGE(index(GOOGLEFINANCE(""NSE:""&amp;$A21, ""close"", today()-22, today()-1), , 2))"),"#N/A")</f>
        <v/>
      </c>
      <c r="N21" s="13">
        <f>AG21</f>
        <v/>
      </c>
      <c r="O21" s="13">
        <f>AI21</f>
        <v/>
      </c>
      <c r="P21" s="13">
        <f>W21</f>
        <v/>
      </c>
      <c r="Q21" s="13">
        <f>Y21</f>
        <v/>
      </c>
      <c r="R21" s="15" t="n"/>
      <c r="S21" s="15">
        <f>LEFT(W21,2)&amp;LEFT(Y21,2)</f>
        <v/>
      </c>
      <c r="T21" s="15" t="n"/>
      <c r="U21" s="15">
        <f>IF(K21&lt;L21,1,0)</f>
        <v/>
      </c>
      <c r="V21" s="15">
        <f>IF(H21&gt;I21,1,0)</f>
        <v/>
      </c>
      <c r="W21" s="15">
        <f>IF(SUM(U21:V21)=2,"Anticipatory_Sell","No_Action")</f>
        <v/>
      </c>
      <c r="X21" s="15" t="n"/>
      <c r="Y21" s="15">
        <f>IF(SUM(Z21:AA21)=2,"Confirm_Sell","No_Action")</f>
        <v/>
      </c>
      <c r="Z21" s="15">
        <f>IF(H21&gt;I21,1,0)</f>
        <v/>
      </c>
      <c r="AA21" s="15">
        <f>IF(K21&lt;M21,1,0)</f>
        <v/>
      </c>
      <c r="AB21" s="15" t="n"/>
      <c r="AC21" s="15">
        <f>LEFT(AG21,2)&amp;LEFT(AI21,2)</f>
        <v/>
      </c>
      <c r="AD21" s="15" t="n"/>
      <c r="AE21" s="15">
        <f>IF(K21&gt;L21,1,0)</f>
        <v/>
      </c>
      <c r="AF21" s="16">
        <f>IF(H21&gt;I21,1,0)</f>
        <v/>
      </c>
      <c r="AG21" s="16">
        <f>IF(SUM(AE21:AF21)=2,"Anticipatory_Buy","No_Action")</f>
        <v/>
      </c>
      <c r="AH21" s="15" t="n"/>
      <c r="AI21" s="15">
        <f>IF(SUM(AJ21:AK21)=2,"Confirm_Buy","No_Action")</f>
        <v/>
      </c>
      <c r="AJ21" s="15">
        <f>IF(H21&gt;I21,1,0)</f>
        <v/>
      </c>
      <c r="AK21" s="15">
        <f>IF(K21&gt;M21,1,0)</f>
        <v/>
      </c>
    </row>
    <row r="22" ht="14.5" customHeight="1">
      <c r="A22" s="12" t="inlineStr">
        <is>
          <t>AWHCL</t>
        </is>
      </c>
      <c r="B22" s="13">
        <f>IFERROR(__xludf.DUMMYFUNCTION("GOOGLEFINANCE(""NSE:""&amp;A22,""PRICE"")"),680.55)</f>
        <v/>
      </c>
      <c r="C22" s="13">
        <f>IFERROR(__xludf.DUMMYFUNCTION("GOOGLEFINANCE(""NSE:""&amp;A22,""PRICEOPEN"")"),684.7)</f>
        <v/>
      </c>
      <c r="D22" s="13">
        <f>IFERROR(__xludf.DUMMYFUNCTION("GOOGLEFINANCE(""NSE:""&amp;A22,""HIGH"")"),699.85)</f>
        <v/>
      </c>
      <c r="E22" s="13">
        <f>IFERROR(__xludf.DUMMYFUNCTION("GOOGLEFINANCE(""NSE:""&amp;A22,""LOW"")"),679)</f>
        <v/>
      </c>
      <c r="F22" s="13">
        <f>IFERROR(__xludf.DUMMYFUNCTION("GOOGLEFINANCE(""NSE:""&amp;A22,""closeyest"")"),678)</f>
        <v/>
      </c>
      <c r="G22" s="14">
        <f>(B22-C22)/B22</f>
        <v/>
      </c>
      <c r="H22" s="13">
        <f>IFERROR(__xludf.DUMMYFUNCTION("GOOGLEFINANCE(""NSE:""&amp;A22,""VOLUME"")"),170566)</f>
        <v/>
      </c>
      <c r="I22" s="13">
        <f>IFERROR(__xludf.DUMMYFUNCTION("AVERAGE(index(GOOGLEFINANCE(""NSE:""&amp;$A22, ""volume"", today()-21, today()-1), , 2))"),"#N/A")</f>
        <v/>
      </c>
      <c r="J22" s="14">
        <f>(H22-I22)/I22</f>
        <v/>
      </c>
      <c r="K22" s="13">
        <f>IFERROR(__xludf.DUMMYFUNCTION("AVERAGE(index(GOOGLEFINANCE(""NSE:""&amp;$A22, ""close"", today()-6, today()-1), , 2))"),"#N/A")</f>
        <v/>
      </c>
      <c r="L22" s="13">
        <f>IFERROR(__xludf.DUMMYFUNCTION("AVERAGE(index(GOOGLEFINANCE(""NSE:""&amp;$A22, ""close"", today()-14, today()-1), , 2))"),"#N/A")</f>
        <v/>
      </c>
      <c r="M22" s="13">
        <f>IFERROR(__xludf.DUMMYFUNCTION("AVERAGE(index(GOOGLEFINANCE(""NSE:""&amp;$A22, ""close"", today()-22, today()-1), , 2))"),"#N/A")</f>
        <v/>
      </c>
      <c r="N22" s="13">
        <f>AG22</f>
        <v/>
      </c>
      <c r="O22" s="13">
        <f>AI22</f>
        <v/>
      </c>
      <c r="P22" s="13">
        <f>W22</f>
        <v/>
      </c>
      <c r="Q22" s="13">
        <f>Y22</f>
        <v/>
      </c>
      <c r="R22" s="15" t="n"/>
      <c r="S22" s="15">
        <f>LEFT(W22,2)&amp;LEFT(Y22,2)</f>
        <v/>
      </c>
      <c r="T22" s="15" t="n"/>
      <c r="U22" s="15">
        <f>IF(K22&lt;L22,1,0)</f>
        <v/>
      </c>
      <c r="V22" s="15">
        <f>IF(H22&gt;I22,1,0)</f>
        <v/>
      </c>
      <c r="W22" s="15">
        <f>IF(SUM(U22:V22)=2,"Anticipatory_Sell","No_Action")</f>
        <v/>
      </c>
      <c r="X22" s="15" t="n"/>
      <c r="Y22" s="15">
        <f>IF(SUM(Z22:AA22)=2,"Confirm_Sell","No_Action")</f>
        <v/>
      </c>
      <c r="Z22" s="15">
        <f>IF(H22&gt;I22,1,0)</f>
        <v/>
      </c>
      <c r="AA22" s="15">
        <f>IF(K22&lt;M22,1,0)</f>
        <v/>
      </c>
      <c r="AB22" s="15" t="n"/>
      <c r="AC22" s="15">
        <f>LEFT(AG22,2)&amp;LEFT(AI22,2)</f>
        <v/>
      </c>
      <c r="AD22" s="15" t="n"/>
      <c r="AE22" s="15">
        <f>IF(K22&gt;L22,1,0)</f>
        <v/>
      </c>
      <c r="AF22" s="16">
        <f>IF(H22&gt;I22,1,0)</f>
        <v/>
      </c>
      <c r="AG22" s="16">
        <f>IF(SUM(AE22:AF22)=2,"Anticipatory_Buy","No_Action")</f>
        <v/>
      </c>
      <c r="AH22" s="15" t="n"/>
      <c r="AI22" s="15">
        <f>IF(SUM(AJ22:AK22)=2,"Confirm_Buy","No_Action")</f>
        <v/>
      </c>
      <c r="AJ22" s="15">
        <f>IF(H22&gt;I22,1,0)</f>
        <v/>
      </c>
      <c r="AK22" s="15">
        <f>IF(K22&gt;M22,1,0)</f>
        <v/>
      </c>
    </row>
    <row r="23" ht="14.5" customHeight="1">
      <c r="A23" s="12" t="inlineStr">
        <is>
          <t>APOLLOHOSP</t>
        </is>
      </c>
      <c r="B23" s="13">
        <f>IFERROR(__xludf.DUMMYFUNCTION("GOOGLEFINANCE(""NSE:""&amp;A23,""PRICE"")"),7203)</f>
        <v/>
      </c>
      <c r="C23" s="13">
        <f>IFERROR(__xludf.DUMMYFUNCTION("GOOGLEFINANCE(""NSE:""&amp;A23,""PRICEOPEN"")"),7162.75)</f>
        <v/>
      </c>
      <c r="D23" s="13">
        <f>IFERROR(__xludf.DUMMYFUNCTION("GOOGLEFINANCE(""NSE:""&amp;A23,""HIGH"")"),7227.95)</f>
        <v/>
      </c>
      <c r="E23" s="13">
        <f>IFERROR(__xludf.DUMMYFUNCTION("GOOGLEFINANCE(""NSE:""&amp;A23,""LOW"")"),7162.75)</f>
        <v/>
      </c>
      <c r="F23" s="13">
        <f>IFERROR(__xludf.DUMMYFUNCTION("GOOGLEFINANCE(""NSE:""&amp;A23,""closeyest"")"),7233.3)</f>
        <v/>
      </c>
      <c r="G23" s="14">
        <f>(B23-C23)/B23</f>
        <v/>
      </c>
      <c r="H23" s="13">
        <f>IFERROR(__xludf.DUMMYFUNCTION("GOOGLEFINANCE(""NSE:""&amp;A23,""VOLUME"")"),203674)</f>
        <v/>
      </c>
      <c r="I23" s="13">
        <f>IFERROR(__xludf.DUMMYFUNCTION("AVERAGE(index(GOOGLEFINANCE(""NSE:""&amp;$A23, ""volume"", today()-21, today()-1), , 2))"),"#N/A")</f>
        <v/>
      </c>
      <c r="J23" s="14">
        <f>(H23-I23)/I23</f>
        <v/>
      </c>
      <c r="K23" s="13">
        <f>IFERROR(__xludf.DUMMYFUNCTION("AVERAGE(index(GOOGLEFINANCE(""NSE:""&amp;$A23, ""close"", today()-6, today()-1), , 2))"),"#N/A")</f>
        <v/>
      </c>
      <c r="L23" s="13">
        <f>IFERROR(__xludf.DUMMYFUNCTION("AVERAGE(index(GOOGLEFINANCE(""NSE:""&amp;$A23, ""close"", today()-14, today()-1), , 2))"),"#N/A")</f>
        <v/>
      </c>
      <c r="M23" s="13">
        <f>IFERROR(__xludf.DUMMYFUNCTION("AVERAGE(index(GOOGLEFINANCE(""NSE:""&amp;$A23, ""close"", today()-22, today()-1), , 2))"),"#N/A")</f>
        <v/>
      </c>
      <c r="N23" s="13">
        <f>AG23</f>
        <v/>
      </c>
      <c r="O23" s="13">
        <f>AI23</f>
        <v/>
      </c>
      <c r="P23" s="13">
        <f>W23</f>
        <v/>
      </c>
      <c r="Q23" s="13">
        <f>Y23</f>
        <v/>
      </c>
      <c r="R23" s="15" t="n"/>
      <c r="S23" s="15">
        <f>LEFT(W23,2)&amp;LEFT(Y23,2)</f>
        <v/>
      </c>
      <c r="T23" s="15" t="n"/>
      <c r="U23" s="15">
        <f>IF(K23&lt;L23,1,0)</f>
        <v/>
      </c>
      <c r="V23" s="15">
        <f>IF(H23&gt;I23,1,0)</f>
        <v/>
      </c>
      <c r="W23" s="15">
        <f>IF(SUM(U23:V23)=2,"Anticipatory_Sell","No_Action")</f>
        <v/>
      </c>
      <c r="X23" s="15" t="n"/>
      <c r="Y23" s="15">
        <f>IF(SUM(Z23:AA23)=2,"Confirm_Sell","No_Action")</f>
        <v/>
      </c>
      <c r="Z23" s="15">
        <f>IF(H23&gt;I23,1,0)</f>
        <v/>
      </c>
      <c r="AA23" s="15">
        <f>IF(K23&lt;M23,1,0)</f>
        <v/>
      </c>
      <c r="AB23" s="15" t="n"/>
      <c r="AC23" s="15">
        <f>LEFT(AG23,2)&amp;LEFT(AI23,2)</f>
        <v/>
      </c>
      <c r="AD23" s="15" t="n"/>
      <c r="AE23" s="15">
        <f>IF(K23&gt;L23,1,0)</f>
        <v/>
      </c>
      <c r="AF23" s="16">
        <f>IF(H23&gt;I23,1,0)</f>
        <v/>
      </c>
      <c r="AG23" s="16">
        <f>IF(SUM(AE23:AF23)=2,"Anticipatory_Buy","No_Action")</f>
        <v/>
      </c>
      <c r="AH23" s="15" t="n"/>
      <c r="AI23" s="15">
        <f>IF(SUM(AJ23:AK23)=2,"Confirm_Buy","No_Action")</f>
        <v/>
      </c>
      <c r="AJ23" s="15">
        <f>IF(H23&gt;I23,1,0)</f>
        <v/>
      </c>
      <c r="AK23" s="15">
        <f>IF(K23&gt;M23,1,0)</f>
        <v/>
      </c>
    </row>
    <row r="24" ht="14.5" customHeight="1">
      <c r="A24" s="12" t="inlineStr">
        <is>
          <t>APOLLOTYRE</t>
        </is>
      </c>
      <c r="B24" s="13">
        <f>IFERROR(__xludf.DUMMYFUNCTION("GOOGLEFINANCE(""NSE:""&amp;A24,""PRICE"")"),547.35)</f>
        <v/>
      </c>
      <c r="C24" s="13">
        <f>IFERROR(__xludf.DUMMYFUNCTION("GOOGLEFINANCE(""NSE:""&amp;A24,""PRICEOPEN"")"),538)</f>
        <v/>
      </c>
      <c r="D24" s="13">
        <f>IFERROR(__xludf.DUMMYFUNCTION("GOOGLEFINANCE(""NSE:""&amp;A24,""HIGH"")"),557)</f>
        <v/>
      </c>
      <c r="E24" s="13">
        <f>IFERROR(__xludf.DUMMYFUNCTION("GOOGLEFINANCE(""NSE:""&amp;A24,""LOW"")"),537.2)</f>
        <v/>
      </c>
      <c r="F24" s="13">
        <f>IFERROR(__xludf.DUMMYFUNCTION("GOOGLEFINANCE(""NSE:""&amp;A24,""closeyest"")"),541.8)</f>
        <v/>
      </c>
      <c r="G24" s="14">
        <f>(B24-C24)/B24</f>
        <v/>
      </c>
      <c r="H24" s="13">
        <f>IFERROR(__xludf.DUMMYFUNCTION("GOOGLEFINANCE(""NSE:""&amp;A24,""VOLUME"")"),1732714)</f>
        <v/>
      </c>
      <c r="I24" s="13">
        <f>IFERROR(__xludf.DUMMYFUNCTION("AVERAGE(index(GOOGLEFINANCE(""NSE:""&amp;$A24, ""volume"", today()-21, today()-1), , 2))"),"#N/A")</f>
        <v/>
      </c>
      <c r="J24" s="14">
        <f>(H24-I24)/I24</f>
        <v/>
      </c>
      <c r="K24" s="13">
        <f>IFERROR(__xludf.DUMMYFUNCTION("AVERAGE(index(GOOGLEFINANCE(""NSE:""&amp;$A24, ""close"", today()-6, today()-1), , 2))"),"#N/A")</f>
        <v/>
      </c>
      <c r="L24" s="13">
        <f>IFERROR(__xludf.DUMMYFUNCTION("AVERAGE(index(GOOGLEFINANCE(""NSE:""&amp;$A24, ""close"", today()-14, today()-1), , 2))"),"#N/A")</f>
        <v/>
      </c>
      <c r="M24" s="13">
        <f>IFERROR(__xludf.DUMMYFUNCTION("AVERAGE(index(GOOGLEFINANCE(""NSE:""&amp;$A24, ""close"", today()-22, today()-1), , 2))"),"#N/A")</f>
        <v/>
      </c>
      <c r="N24" s="13">
        <f>AG24</f>
        <v/>
      </c>
      <c r="O24" s="13">
        <f>AI24</f>
        <v/>
      </c>
      <c r="P24" s="13">
        <f>W24</f>
        <v/>
      </c>
      <c r="Q24" s="13">
        <f>Y24</f>
        <v/>
      </c>
      <c r="R24" s="15" t="n"/>
      <c r="S24" s="15">
        <f>LEFT(W24,2)&amp;LEFT(Y24,2)</f>
        <v/>
      </c>
      <c r="T24" s="15" t="n"/>
      <c r="U24" s="15">
        <f>IF(K24&lt;L24,1,0)</f>
        <v/>
      </c>
      <c r="V24" s="15">
        <f>IF(H24&gt;I24,1,0)</f>
        <v/>
      </c>
      <c r="W24" s="15">
        <f>IF(SUM(U24:V24)=2,"Anticipatory_Sell","No_Action")</f>
        <v/>
      </c>
      <c r="X24" s="15" t="n"/>
      <c r="Y24" s="15">
        <f>IF(SUM(Z24:AA24)=2,"Confirm_Sell","No_Action")</f>
        <v/>
      </c>
      <c r="Z24" s="15">
        <f>IF(H24&gt;I24,1,0)</f>
        <v/>
      </c>
      <c r="AA24" s="15">
        <f>IF(K24&lt;M24,1,0)</f>
        <v/>
      </c>
      <c r="AB24" s="15" t="n"/>
      <c r="AC24" s="15">
        <f>LEFT(AG24,2)&amp;LEFT(AI24,2)</f>
        <v/>
      </c>
      <c r="AD24" s="15" t="n"/>
      <c r="AE24" s="15">
        <f>IF(K24&gt;L24,1,0)</f>
        <v/>
      </c>
      <c r="AF24" s="16">
        <f>IF(H24&gt;I24,1,0)</f>
        <v/>
      </c>
      <c r="AG24" s="16">
        <f>IF(SUM(AE24:AF24)=2,"Anticipatory_Buy","No_Action")</f>
        <v/>
      </c>
      <c r="AH24" s="15" t="n"/>
      <c r="AI24" s="15">
        <f>IF(SUM(AJ24:AK24)=2,"Confirm_Buy","No_Action")</f>
        <v/>
      </c>
      <c r="AJ24" s="15">
        <f>IF(H24&gt;I24,1,0)</f>
        <v/>
      </c>
      <c r="AK24" s="15">
        <f>IF(K24&gt;M24,1,0)</f>
        <v/>
      </c>
    </row>
    <row r="25" ht="14.5" customHeight="1">
      <c r="A25" s="12" t="inlineStr">
        <is>
          <t>APTECHT</t>
        </is>
      </c>
      <c r="B25" s="13">
        <f>IFERROR(__xludf.DUMMYFUNCTION("GOOGLEFINANCE(""NSE:""&amp;A25,""PRICE"")"),181.15)</f>
        <v/>
      </c>
      <c r="C25" s="13">
        <f>IFERROR(__xludf.DUMMYFUNCTION("GOOGLEFINANCE(""NSE:""&amp;A25,""PRICEOPEN"")"),178.2)</f>
        <v/>
      </c>
      <c r="D25" s="13">
        <f>IFERROR(__xludf.DUMMYFUNCTION("GOOGLEFINANCE(""NSE:""&amp;A25,""HIGH"")"),184)</f>
        <v/>
      </c>
      <c r="E25" s="13">
        <f>IFERROR(__xludf.DUMMYFUNCTION("GOOGLEFINANCE(""NSE:""&amp;A25,""LOW"")"),177.96)</f>
        <v/>
      </c>
      <c r="F25" s="13">
        <f>IFERROR(__xludf.DUMMYFUNCTION("GOOGLEFINANCE(""NSE:""&amp;A25,""closeyest"")"),178.2)</f>
        <v/>
      </c>
      <c r="G25" s="14">
        <f>(B25-C25)/B25</f>
        <v/>
      </c>
      <c r="H25" s="13">
        <f>IFERROR(__xludf.DUMMYFUNCTION("GOOGLEFINANCE(""NSE:""&amp;A25,""VOLUME"")"),429400)</f>
        <v/>
      </c>
      <c r="I25" s="13">
        <f>IFERROR(__xludf.DUMMYFUNCTION("AVERAGE(index(GOOGLEFINANCE(""NSE:""&amp;$A25, ""volume"", today()-21, today()-1), , 2))"),"#N/A")</f>
        <v/>
      </c>
      <c r="J25" s="14">
        <f>(H25-I25)/I25</f>
        <v/>
      </c>
      <c r="K25" s="13">
        <f>IFERROR(__xludf.DUMMYFUNCTION("AVERAGE(index(GOOGLEFINANCE(""NSE:""&amp;$A25, ""close"", today()-6, today()-1), , 2))"),"#N/A")</f>
        <v/>
      </c>
      <c r="L25" s="13">
        <f>IFERROR(__xludf.DUMMYFUNCTION("AVERAGE(index(GOOGLEFINANCE(""NSE:""&amp;$A25, ""close"", today()-14, today()-1), , 2))"),"#N/A")</f>
        <v/>
      </c>
      <c r="M25" s="13">
        <f>IFERROR(__xludf.DUMMYFUNCTION("AVERAGE(index(GOOGLEFINANCE(""NSE:""&amp;$A25, ""close"", today()-22, today()-1), , 2))"),"#N/A")</f>
        <v/>
      </c>
      <c r="N25" s="13">
        <f>AG25</f>
        <v/>
      </c>
      <c r="O25" s="13">
        <f>AI25</f>
        <v/>
      </c>
      <c r="P25" s="13">
        <f>W25</f>
        <v/>
      </c>
      <c r="Q25" s="13">
        <f>Y25</f>
        <v/>
      </c>
      <c r="R25" s="15" t="n"/>
      <c r="S25" s="15">
        <f>LEFT(W25,2)&amp;LEFT(Y25,2)</f>
        <v/>
      </c>
      <c r="T25" s="15" t="n"/>
      <c r="U25" s="15">
        <f>IF(K25&lt;L25,1,0)</f>
        <v/>
      </c>
      <c r="V25" s="15">
        <f>IF(H25&gt;I25,1,0)</f>
        <v/>
      </c>
      <c r="W25" s="15">
        <f>IF(SUM(U25:V25)=2,"Anticipatory_Sell","No_Action")</f>
        <v/>
      </c>
      <c r="X25" s="15" t="n"/>
      <c r="Y25" s="15">
        <f>IF(SUM(Z25:AA25)=2,"Confirm_Sell","No_Action")</f>
        <v/>
      </c>
      <c r="Z25" s="15">
        <f>IF(H25&gt;I25,1,0)</f>
        <v/>
      </c>
      <c r="AA25" s="15">
        <f>IF(K25&lt;M25,1,0)</f>
        <v/>
      </c>
      <c r="AB25" s="15" t="n"/>
      <c r="AC25" s="15">
        <f>LEFT(AG25,2)&amp;LEFT(AI25,2)</f>
        <v/>
      </c>
      <c r="AD25" s="15" t="n"/>
      <c r="AE25" s="15">
        <f>IF(K25&gt;L25,1,0)</f>
        <v/>
      </c>
      <c r="AF25" s="16">
        <f>IF(H25&gt;I25,1,0)</f>
        <v/>
      </c>
      <c r="AG25" s="16">
        <f>IF(SUM(AE25:AF25)=2,"Anticipatory_Buy","No_Action")</f>
        <v/>
      </c>
      <c r="AH25" s="15" t="n"/>
      <c r="AI25" s="15">
        <f>IF(SUM(AJ25:AK25)=2,"Confirm_Buy","No_Action")</f>
        <v/>
      </c>
      <c r="AJ25" s="15">
        <f>IF(H25&gt;I25,1,0)</f>
        <v/>
      </c>
      <c r="AK25" s="15">
        <f>IF(K25&gt;M25,1,0)</f>
        <v/>
      </c>
    </row>
    <row r="26" ht="14.5" customHeight="1">
      <c r="A26" s="12" t="inlineStr">
        <is>
          <t>APTUS</t>
        </is>
      </c>
      <c r="B26" s="13">
        <f>IFERROR(__xludf.DUMMYFUNCTION("GOOGLEFINANCE(""NSE:""&amp;A26,""PRICE"")"),320)</f>
        <v/>
      </c>
      <c r="C26" s="13">
        <f>IFERROR(__xludf.DUMMYFUNCTION("GOOGLEFINANCE(""NSE:""&amp;A26,""PRICEOPEN"")"),326.75)</f>
        <v/>
      </c>
      <c r="D26" s="13">
        <f>IFERROR(__xludf.DUMMYFUNCTION("GOOGLEFINANCE(""NSE:""&amp;A26,""HIGH"")"),329.5)</f>
        <v/>
      </c>
      <c r="E26" s="13">
        <f>IFERROR(__xludf.DUMMYFUNCTION("GOOGLEFINANCE(""NSE:""&amp;A26,""LOW"")"),319.25)</f>
        <v/>
      </c>
      <c r="F26" s="13">
        <f>IFERROR(__xludf.DUMMYFUNCTION("GOOGLEFINANCE(""NSE:""&amp;A26,""closeyest"")"),325.3)</f>
        <v/>
      </c>
      <c r="G26" s="14">
        <f>(B26-C26)/B26</f>
        <v/>
      </c>
      <c r="H26" s="13">
        <f>IFERROR(__xludf.DUMMYFUNCTION("GOOGLEFINANCE(""NSE:""&amp;A26,""VOLUME"")"),657145)</f>
        <v/>
      </c>
      <c r="I26" s="13">
        <f>IFERROR(__xludf.DUMMYFUNCTION("AVERAGE(index(GOOGLEFINANCE(""NSE:""&amp;$A26, ""volume"", today()-21, today()-1), , 2))"),"#N/A")</f>
        <v/>
      </c>
      <c r="J26" s="14">
        <f>(H26-I26)/I26</f>
        <v/>
      </c>
      <c r="K26" s="13">
        <f>IFERROR(__xludf.DUMMYFUNCTION("AVERAGE(index(GOOGLEFINANCE(""NSE:""&amp;$A26, ""close"", today()-6, today()-1), , 2))"),"#N/A")</f>
        <v/>
      </c>
      <c r="L26" s="13">
        <f>IFERROR(__xludf.DUMMYFUNCTION("AVERAGE(index(GOOGLEFINANCE(""NSE:""&amp;$A26, ""close"", today()-14, today()-1), , 2))"),"#N/A")</f>
        <v/>
      </c>
      <c r="M26" s="13">
        <f>IFERROR(__xludf.DUMMYFUNCTION("AVERAGE(index(GOOGLEFINANCE(""NSE:""&amp;$A26, ""close"", today()-22, today()-1), , 2))"),"#N/A")</f>
        <v/>
      </c>
      <c r="N26" s="13">
        <f>AG26</f>
        <v/>
      </c>
      <c r="O26" s="13">
        <f>AI26</f>
        <v/>
      </c>
      <c r="P26" s="13">
        <f>W26</f>
        <v/>
      </c>
      <c r="Q26" s="13">
        <f>Y26</f>
        <v/>
      </c>
      <c r="R26" s="15" t="n"/>
      <c r="S26" s="15">
        <f>LEFT(W26,2)&amp;LEFT(Y26,2)</f>
        <v/>
      </c>
      <c r="T26" s="15" t="n"/>
      <c r="U26" s="15">
        <f>IF(K26&lt;L26,1,0)</f>
        <v/>
      </c>
      <c r="V26" s="15">
        <f>IF(H26&gt;I26,1,0)</f>
        <v/>
      </c>
      <c r="W26" s="15">
        <f>IF(SUM(U26:V26)=2,"Anticipatory_Sell","No_Action")</f>
        <v/>
      </c>
      <c r="X26" s="15" t="n"/>
      <c r="Y26" s="15">
        <f>IF(SUM(Z26:AA26)=2,"Confirm_Sell","No_Action")</f>
        <v/>
      </c>
      <c r="Z26" s="15">
        <f>IF(H26&gt;I26,1,0)</f>
        <v/>
      </c>
      <c r="AA26" s="15">
        <f>IF(K26&lt;M26,1,0)</f>
        <v/>
      </c>
      <c r="AB26" s="15" t="n"/>
      <c r="AC26" s="15">
        <f>LEFT(AG26,2)&amp;LEFT(AI26,2)</f>
        <v/>
      </c>
      <c r="AD26" s="15" t="n"/>
      <c r="AE26" s="15">
        <f>IF(K26&gt;L26,1,0)</f>
        <v/>
      </c>
      <c r="AF26" s="16">
        <f>IF(H26&gt;I26,1,0)</f>
        <v/>
      </c>
      <c r="AG26" s="16">
        <f>IF(SUM(AE26:AF26)=2,"Anticipatory_Buy","No_Action")</f>
        <v/>
      </c>
      <c r="AH26" s="15" t="n"/>
      <c r="AI26" s="15">
        <f>IF(SUM(AJ26:AK26)=2,"Confirm_Buy","No_Action")</f>
        <v/>
      </c>
      <c r="AJ26" s="15">
        <f>IF(H26&gt;I26,1,0)</f>
        <v/>
      </c>
      <c r="AK26" s="15">
        <f>IF(K26&gt;M26,1,0)</f>
        <v/>
      </c>
    </row>
    <row r="27" ht="14.5" customHeight="1">
      <c r="A27" s="12" t="inlineStr">
        <is>
          <t>ACI</t>
        </is>
      </c>
      <c r="B27" s="13">
        <f>IFERROR(__xludf.DUMMYFUNCTION("GOOGLEFINANCE(""NSE:""&amp;A27,""PRICE"")"),700.65)</f>
        <v/>
      </c>
      <c r="C27" s="13">
        <f>IFERROR(__xludf.DUMMYFUNCTION("GOOGLEFINANCE(""NSE:""&amp;A27,""PRICEOPEN"")"),694)</f>
        <v/>
      </c>
      <c r="D27" s="13">
        <f>IFERROR(__xludf.DUMMYFUNCTION("GOOGLEFINANCE(""NSE:""&amp;A27,""HIGH"")"),702.9)</f>
        <v/>
      </c>
      <c r="E27" s="13">
        <f>IFERROR(__xludf.DUMMYFUNCTION("GOOGLEFINANCE(""NSE:""&amp;A27,""LOW"")"),691.35)</f>
        <v/>
      </c>
      <c r="F27" s="13">
        <f>IFERROR(__xludf.DUMMYFUNCTION("GOOGLEFINANCE(""NSE:""&amp;A27,""closeyest"")"),695.5)</f>
        <v/>
      </c>
      <c r="G27" s="14">
        <f>(B27-C27)/B27</f>
        <v/>
      </c>
      <c r="H27" s="13">
        <f>IFERROR(__xludf.DUMMYFUNCTION("GOOGLEFINANCE(""NSE:""&amp;A27,""VOLUME"")"),159761)</f>
        <v/>
      </c>
      <c r="I27" s="13">
        <f>IFERROR(__xludf.DUMMYFUNCTION("AVERAGE(index(GOOGLEFINANCE(""NSE:""&amp;$A27, ""volume"", today()-21, today()-1), , 2))"),"#N/A")</f>
        <v/>
      </c>
      <c r="J27" s="14">
        <f>(H27-I27)/I27</f>
        <v/>
      </c>
      <c r="K27" s="13">
        <f>IFERROR(__xludf.DUMMYFUNCTION("AVERAGE(index(GOOGLEFINANCE(""NSE:""&amp;$A27, ""close"", today()-6, today()-1), , 2))"),"#N/A")</f>
        <v/>
      </c>
      <c r="L27" s="13">
        <f>IFERROR(__xludf.DUMMYFUNCTION("AVERAGE(index(GOOGLEFINANCE(""NSE:""&amp;$A27, ""close"", today()-14, today()-1), , 2))"),"#N/A")</f>
        <v/>
      </c>
      <c r="M27" s="13">
        <f>IFERROR(__xludf.DUMMYFUNCTION("AVERAGE(index(GOOGLEFINANCE(""NSE:""&amp;$A27, ""close"", today()-22, today()-1), , 2))"),"#N/A")</f>
        <v/>
      </c>
      <c r="N27" s="13">
        <f>AG27</f>
        <v/>
      </c>
      <c r="O27" s="13">
        <f>AI27</f>
        <v/>
      </c>
      <c r="P27" s="13">
        <f>W27</f>
        <v/>
      </c>
      <c r="Q27" s="13">
        <f>Y27</f>
        <v/>
      </c>
      <c r="R27" s="15" t="n"/>
      <c r="S27" s="15">
        <f>LEFT(W27,2)&amp;LEFT(Y27,2)</f>
        <v/>
      </c>
      <c r="T27" s="15" t="n"/>
      <c r="U27" s="15">
        <f>IF(K27&lt;L27,1,0)</f>
        <v/>
      </c>
      <c r="V27" s="15">
        <f>IF(H27&gt;I27,1,0)</f>
        <v/>
      </c>
      <c r="W27" s="15">
        <f>IF(SUM(U27:V27)=2,"Anticipatory_Sell","No_Action")</f>
        <v/>
      </c>
      <c r="X27" s="15" t="n"/>
      <c r="Y27" s="15">
        <f>IF(SUM(Z27:AA27)=2,"Confirm_Sell","No_Action")</f>
        <v/>
      </c>
      <c r="Z27" s="15">
        <f>IF(H27&gt;I27,1,0)</f>
        <v/>
      </c>
      <c r="AA27" s="15">
        <f>IF(K27&lt;M27,1,0)</f>
        <v/>
      </c>
      <c r="AB27" s="15" t="n"/>
      <c r="AC27" s="15">
        <f>LEFT(AG27,2)&amp;LEFT(AI27,2)</f>
        <v/>
      </c>
      <c r="AD27" s="15" t="n"/>
      <c r="AE27" s="15">
        <f>IF(K27&gt;L27,1,0)</f>
        <v/>
      </c>
      <c r="AF27" s="16">
        <f>IF(H27&gt;I27,1,0)</f>
        <v/>
      </c>
      <c r="AG27" s="16">
        <f>IF(SUM(AE27:AF27)=2,"Anticipatory_Buy","No_Action")</f>
        <v/>
      </c>
      <c r="AH27" s="15" t="n"/>
      <c r="AI27" s="15">
        <f>IF(SUM(AJ27:AK27)=2,"Confirm_Buy","No_Action")</f>
        <v/>
      </c>
      <c r="AJ27" s="15">
        <f>IF(H27&gt;I27,1,0)</f>
        <v/>
      </c>
      <c r="AK27" s="15">
        <f>IF(K27&gt;M27,1,0)</f>
        <v/>
      </c>
    </row>
    <row r="28" ht="14.5" customHeight="1">
      <c r="A28" s="12" t="inlineStr">
        <is>
          <t>ARMANFIN</t>
        </is>
      </c>
      <c r="B28" s="13">
        <f>IFERROR(__xludf.DUMMYFUNCTION("GOOGLEFINANCE(""NSE:""&amp;A28,""PRICE"")"),1362.6)</f>
        <v/>
      </c>
      <c r="C28" s="13">
        <f>IFERROR(__xludf.DUMMYFUNCTION("GOOGLEFINANCE(""NSE:""&amp;A28,""PRICEOPEN"")"),1362.25)</f>
        <v/>
      </c>
      <c r="D28" s="13">
        <f>IFERROR(__xludf.DUMMYFUNCTION("GOOGLEFINANCE(""NSE:""&amp;A28,""HIGH"")"),1398.95)</f>
        <v/>
      </c>
      <c r="E28" s="13">
        <f>IFERROR(__xludf.DUMMYFUNCTION("GOOGLEFINANCE(""NSE:""&amp;A28,""LOW"")"),1354.15)</f>
        <v/>
      </c>
      <c r="F28" s="13">
        <f>IFERROR(__xludf.DUMMYFUNCTION("GOOGLEFINANCE(""NSE:""&amp;A28,""closeyest"")"),1362.25)</f>
        <v/>
      </c>
      <c r="G28" s="14">
        <f>(B28-C28)/B28</f>
        <v/>
      </c>
      <c r="H28" s="13">
        <f>IFERROR(__xludf.DUMMYFUNCTION("GOOGLEFINANCE(""NSE:""&amp;A28,""VOLUME"")"),25694)</f>
        <v/>
      </c>
      <c r="I28" s="13">
        <f>IFERROR(__xludf.DUMMYFUNCTION("AVERAGE(index(GOOGLEFINANCE(""NSE:""&amp;$A28, ""volume"", today()-21, today()-1), , 2))"),"#N/A")</f>
        <v/>
      </c>
      <c r="J28" s="14">
        <f>(H28-I28)/I28</f>
        <v/>
      </c>
      <c r="K28" s="13">
        <f>IFERROR(__xludf.DUMMYFUNCTION("AVERAGE(index(GOOGLEFINANCE(""NSE:""&amp;$A28, ""close"", today()-6, today()-1), , 2))"),"#N/A")</f>
        <v/>
      </c>
      <c r="L28" s="13">
        <f>IFERROR(__xludf.DUMMYFUNCTION("AVERAGE(index(GOOGLEFINANCE(""NSE:""&amp;$A28, ""close"", today()-14, today()-1), , 2))"),"#N/A")</f>
        <v/>
      </c>
      <c r="M28" s="13">
        <f>IFERROR(__xludf.DUMMYFUNCTION("AVERAGE(index(GOOGLEFINANCE(""NSE:""&amp;$A28, ""close"", today()-22, today()-1), , 2))"),"#N/A")</f>
        <v/>
      </c>
      <c r="N28" s="13">
        <f>AG28</f>
        <v/>
      </c>
      <c r="O28" s="13">
        <f>AI28</f>
        <v/>
      </c>
      <c r="P28" s="13">
        <f>W28</f>
        <v/>
      </c>
      <c r="Q28" s="13">
        <f>Y28</f>
        <v/>
      </c>
      <c r="R28" s="15" t="n"/>
      <c r="S28" s="15">
        <f>LEFT(W28,2)&amp;LEFT(Y28,2)</f>
        <v/>
      </c>
      <c r="T28" s="15" t="n"/>
      <c r="U28" s="15">
        <f>IF(K28&lt;L28,1,0)</f>
        <v/>
      </c>
      <c r="V28" s="15">
        <f>IF(H28&gt;I28,1,0)</f>
        <v/>
      </c>
      <c r="W28" s="15">
        <f>IF(SUM(U28:V28)=2,"Anticipatory_Sell","No_Action")</f>
        <v/>
      </c>
      <c r="X28" s="15" t="n"/>
      <c r="Y28" s="15">
        <f>IF(SUM(Z28:AA28)=2,"Confirm_Sell","No_Action")</f>
        <v/>
      </c>
      <c r="Z28" s="15">
        <f>IF(H28&gt;I28,1,0)</f>
        <v/>
      </c>
      <c r="AA28" s="15">
        <f>IF(K28&lt;M28,1,0)</f>
        <v/>
      </c>
      <c r="AB28" s="15" t="n"/>
      <c r="AC28" s="15">
        <f>LEFT(AG28,2)&amp;LEFT(AI28,2)</f>
        <v/>
      </c>
      <c r="AD28" s="15" t="n"/>
      <c r="AE28" s="15">
        <f>IF(K28&gt;L28,1,0)</f>
        <v/>
      </c>
      <c r="AF28" s="16">
        <f>IF(H28&gt;I28,1,0)</f>
        <v/>
      </c>
      <c r="AG28" s="16">
        <f>IF(SUM(AE28:AF28)=2,"Anticipatory_Buy","No_Action")</f>
        <v/>
      </c>
      <c r="AH28" s="15" t="n"/>
      <c r="AI28" s="15">
        <f>IF(SUM(AJ28:AK28)=2,"Confirm_Buy","No_Action")</f>
        <v/>
      </c>
      <c r="AJ28" s="15">
        <f>IF(H28&gt;I28,1,0)</f>
        <v/>
      </c>
      <c r="AK28" s="15">
        <f>IF(K28&gt;M28,1,0)</f>
        <v/>
      </c>
    </row>
    <row r="29" ht="14.5" customHeight="1">
      <c r="A29" s="12" t="inlineStr">
        <is>
          <t>ASAHIINDIA</t>
        </is>
      </c>
      <c r="B29" s="13">
        <f>IFERROR(__xludf.DUMMYFUNCTION("GOOGLEFINANCE(""NSE:""&amp;A29,""PRICE"")"),746.5)</f>
        <v/>
      </c>
      <c r="C29" s="13">
        <f>IFERROR(__xludf.DUMMYFUNCTION("GOOGLEFINANCE(""NSE:""&amp;A29,""PRICEOPEN"")"),742.85)</f>
        <v/>
      </c>
      <c r="D29" s="13">
        <f>IFERROR(__xludf.DUMMYFUNCTION("GOOGLEFINANCE(""NSE:""&amp;A29,""HIGH"")"),767.5)</f>
        <v/>
      </c>
      <c r="E29" s="13">
        <f>IFERROR(__xludf.DUMMYFUNCTION("GOOGLEFINANCE(""NSE:""&amp;A29,""LOW"")"),740)</f>
        <v/>
      </c>
      <c r="F29" s="13">
        <f>IFERROR(__xludf.DUMMYFUNCTION("GOOGLEFINANCE(""NSE:""&amp;A29,""closeyest"")"),749.15)</f>
        <v/>
      </c>
      <c r="G29" s="14">
        <f>(B29-C29)/B29</f>
        <v/>
      </c>
      <c r="H29" s="13">
        <f>IFERROR(__xludf.DUMMYFUNCTION("GOOGLEFINANCE(""NSE:""&amp;A29,""VOLUME"")"),233584)</f>
        <v/>
      </c>
      <c r="I29" s="13">
        <f>IFERROR(__xludf.DUMMYFUNCTION("AVERAGE(index(GOOGLEFINANCE(""NSE:""&amp;$A29, ""volume"", today()-21, today()-1), , 2))"),"#N/A")</f>
        <v/>
      </c>
      <c r="J29" s="14">
        <f>(H29-I29)/I29</f>
        <v/>
      </c>
      <c r="K29" s="13">
        <f>IFERROR(__xludf.DUMMYFUNCTION("AVERAGE(index(GOOGLEFINANCE(""NSE:""&amp;$A29, ""close"", today()-6, today()-1), , 2))"),"#N/A")</f>
        <v/>
      </c>
      <c r="L29" s="13">
        <f>IFERROR(__xludf.DUMMYFUNCTION("AVERAGE(index(GOOGLEFINANCE(""NSE:""&amp;$A29, ""close"", today()-14, today()-1), , 2))"),"#N/A")</f>
        <v/>
      </c>
      <c r="M29" s="13">
        <f>IFERROR(__xludf.DUMMYFUNCTION("AVERAGE(index(GOOGLEFINANCE(""NSE:""&amp;$A29, ""close"", today()-22, today()-1), , 2))"),"#N/A")</f>
        <v/>
      </c>
      <c r="N29" s="13">
        <f>AG29</f>
        <v/>
      </c>
      <c r="O29" s="13">
        <f>AI29</f>
        <v/>
      </c>
      <c r="P29" s="13">
        <f>W29</f>
        <v/>
      </c>
      <c r="Q29" s="13">
        <f>Y29</f>
        <v/>
      </c>
      <c r="R29" s="15" t="n"/>
      <c r="S29" s="15">
        <f>LEFT(W29,2)&amp;LEFT(Y29,2)</f>
        <v/>
      </c>
      <c r="T29" s="15" t="n"/>
      <c r="U29" s="15">
        <f>IF(K29&lt;L29,1,0)</f>
        <v/>
      </c>
      <c r="V29" s="15">
        <f>IF(H29&gt;I29,1,0)</f>
        <v/>
      </c>
      <c r="W29" s="15">
        <f>IF(SUM(U29:V29)=2,"Anticipatory_Sell","No_Action")</f>
        <v/>
      </c>
      <c r="X29" s="15" t="n"/>
      <c r="Y29" s="15">
        <f>IF(SUM(Z29:AA29)=2,"Confirm_Sell","No_Action")</f>
        <v/>
      </c>
      <c r="Z29" s="15">
        <f>IF(H29&gt;I29,1,0)</f>
        <v/>
      </c>
      <c r="AA29" s="15">
        <f>IF(K29&lt;M29,1,0)</f>
        <v/>
      </c>
      <c r="AB29" s="15" t="n"/>
      <c r="AC29" s="15">
        <f>LEFT(AG29,2)&amp;LEFT(AI29,2)</f>
        <v/>
      </c>
      <c r="AD29" s="15" t="n"/>
      <c r="AE29" s="15">
        <f>IF(K29&gt;L29,1,0)</f>
        <v/>
      </c>
      <c r="AF29" s="16">
        <f>IF(H29&gt;I29,1,0)</f>
        <v/>
      </c>
      <c r="AG29" s="16">
        <f>IF(SUM(AE29:AF29)=2,"Anticipatory_Buy","No_Action")</f>
        <v/>
      </c>
      <c r="AH29" s="15" t="n"/>
      <c r="AI29" s="15">
        <f>IF(SUM(AJ29:AK29)=2,"Confirm_Buy","No_Action")</f>
        <v/>
      </c>
      <c r="AJ29" s="15">
        <f>IF(H29&gt;I29,1,0)</f>
        <v/>
      </c>
      <c r="AK29" s="15">
        <f>IF(K29&gt;M29,1,0)</f>
        <v/>
      </c>
    </row>
    <row r="30" ht="14.5" customHeight="1">
      <c r="A30" s="12" t="inlineStr">
        <is>
          <t>ASIANPAINT</t>
        </is>
      </c>
      <c r="B30" s="13">
        <f>IFERROR(__xludf.DUMMYFUNCTION("GOOGLEFINANCE(""NSE:""&amp;A30,""PRICE"")"),2392.9)</f>
        <v/>
      </c>
      <c r="C30" s="13">
        <f>IFERROR(__xludf.DUMMYFUNCTION("GOOGLEFINANCE(""NSE:""&amp;A30,""PRICEOPEN"")"),2438.15)</f>
        <v/>
      </c>
      <c r="D30" s="13">
        <f>IFERROR(__xludf.DUMMYFUNCTION("GOOGLEFINANCE(""NSE:""&amp;A30,""HIGH"")"),2439)</f>
        <v/>
      </c>
      <c r="E30" s="13">
        <f>IFERROR(__xludf.DUMMYFUNCTION("GOOGLEFINANCE(""NSE:""&amp;A30,""LOW"")"),2387)</f>
        <v/>
      </c>
      <c r="F30" s="13">
        <f>IFERROR(__xludf.DUMMYFUNCTION("GOOGLEFINANCE(""NSE:""&amp;A30,""closeyest"")"),2429.7)</f>
        <v/>
      </c>
      <c r="G30" s="14">
        <f>(B30-C30)/B30</f>
        <v/>
      </c>
      <c r="H30" s="13">
        <f>IFERROR(__xludf.DUMMYFUNCTION("GOOGLEFINANCE(""NSE:""&amp;A30,""VOLUME"")"),2301291)</f>
        <v/>
      </c>
      <c r="I30" s="13">
        <f>IFERROR(__xludf.DUMMYFUNCTION("AVERAGE(index(GOOGLEFINANCE(""NSE:""&amp;$A30, ""volume"", today()-21, today()-1), , 2))"),"#N/A")</f>
        <v/>
      </c>
      <c r="J30" s="14">
        <f>(H30-I30)/I30</f>
        <v/>
      </c>
      <c r="K30" s="13">
        <f>IFERROR(__xludf.DUMMYFUNCTION("AVERAGE(index(GOOGLEFINANCE(""NSE:""&amp;$A30, ""close"", today()-6, today()-1), , 2))"),"#N/A")</f>
        <v/>
      </c>
      <c r="L30" s="13">
        <f>IFERROR(__xludf.DUMMYFUNCTION("AVERAGE(index(GOOGLEFINANCE(""NSE:""&amp;$A30, ""close"", today()-14, today()-1), , 2))"),"#N/A")</f>
        <v/>
      </c>
      <c r="M30" s="13">
        <f>IFERROR(__xludf.DUMMYFUNCTION("AVERAGE(index(GOOGLEFINANCE(""NSE:""&amp;$A30, ""close"", today()-22, today()-1), , 2))"),"#N/A")</f>
        <v/>
      </c>
      <c r="N30" s="13">
        <f>AG30</f>
        <v/>
      </c>
      <c r="O30" s="13">
        <f>AI30</f>
        <v/>
      </c>
      <c r="P30" s="13">
        <f>W30</f>
        <v/>
      </c>
      <c r="Q30" s="13">
        <f>Y30</f>
        <v/>
      </c>
      <c r="R30" s="15" t="n"/>
      <c r="S30" s="15">
        <f>LEFT(W30,2)&amp;LEFT(Y30,2)</f>
        <v/>
      </c>
      <c r="T30" s="15" t="n"/>
      <c r="U30" s="15">
        <f>IF(K30&lt;L30,1,0)</f>
        <v/>
      </c>
      <c r="V30" s="15">
        <f>IF(H30&gt;I30,1,0)</f>
        <v/>
      </c>
      <c r="W30" s="15">
        <f>IF(SUM(U30:V30)=2,"Anticipatory_Sell","No_Action")</f>
        <v/>
      </c>
      <c r="X30" s="15" t="n"/>
      <c r="Y30" s="15">
        <f>IF(SUM(Z30:AA30)=2,"Confirm_Sell","No_Action")</f>
        <v/>
      </c>
      <c r="Z30" s="15">
        <f>IF(H30&gt;I30,1,0)</f>
        <v/>
      </c>
      <c r="AA30" s="15">
        <f>IF(K30&lt;M30,1,0)</f>
        <v/>
      </c>
      <c r="AB30" s="15" t="n"/>
      <c r="AC30" s="15">
        <f>LEFT(AG30,2)&amp;LEFT(AI30,2)</f>
        <v/>
      </c>
      <c r="AD30" s="15" t="n"/>
      <c r="AE30" s="15">
        <f>IF(K30&gt;L30,1,0)</f>
        <v/>
      </c>
      <c r="AF30" s="16">
        <f>IF(H30&gt;I30,1,0)</f>
        <v/>
      </c>
      <c r="AG30" s="16">
        <f>IF(SUM(AE30:AF30)=2,"Anticipatory_Buy","No_Action")</f>
        <v/>
      </c>
      <c r="AH30" s="15" t="n"/>
      <c r="AI30" s="15">
        <f>IF(SUM(AJ30:AK30)=2,"Confirm_Buy","No_Action")</f>
        <v/>
      </c>
      <c r="AJ30" s="15">
        <f>IF(H30&gt;I30,1,0)</f>
        <v/>
      </c>
      <c r="AK30" s="15">
        <f>IF(K30&gt;M30,1,0)</f>
        <v/>
      </c>
    </row>
    <row r="31" ht="14.5" customHeight="1">
      <c r="A31" s="12" t="inlineStr">
        <is>
          <t>ASTRAMICRO</t>
        </is>
      </c>
      <c r="B31" s="13">
        <f>IFERROR(__xludf.DUMMYFUNCTION("GOOGLEFINANCE(""NSE:""&amp;A31,""PRICE"")"),793.1)</f>
        <v/>
      </c>
      <c r="C31" s="13">
        <f>IFERROR(__xludf.DUMMYFUNCTION("GOOGLEFINANCE(""NSE:""&amp;A31,""PRICEOPEN"")"),797)</f>
        <v/>
      </c>
      <c r="D31" s="13">
        <f>IFERROR(__xludf.DUMMYFUNCTION("GOOGLEFINANCE(""NSE:""&amp;A31,""HIGH"")"),807.1)</f>
        <v/>
      </c>
      <c r="E31" s="13">
        <f>IFERROR(__xludf.DUMMYFUNCTION("GOOGLEFINANCE(""NSE:""&amp;A31,""LOW"")"),793)</f>
        <v/>
      </c>
      <c r="F31" s="13">
        <f>IFERROR(__xludf.DUMMYFUNCTION("GOOGLEFINANCE(""NSE:""&amp;A31,""closeyest"")"),796.9)</f>
        <v/>
      </c>
      <c r="G31" s="14">
        <f>(B31-C31)/B31</f>
        <v/>
      </c>
      <c r="H31" s="13">
        <f>IFERROR(__xludf.DUMMYFUNCTION("GOOGLEFINANCE(""NSE:""&amp;A31,""VOLUME"")"),132996)</f>
        <v/>
      </c>
      <c r="I31" s="13">
        <f>IFERROR(__xludf.DUMMYFUNCTION("AVERAGE(index(GOOGLEFINANCE(""NSE:""&amp;$A31, ""volume"", today()-21, today()-1), , 2))"),"#N/A")</f>
        <v/>
      </c>
      <c r="J31" s="14">
        <f>(H31-I31)/I31</f>
        <v/>
      </c>
      <c r="K31" s="13">
        <f>IFERROR(__xludf.DUMMYFUNCTION("AVERAGE(index(GOOGLEFINANCE(""NSE:""&amp;$A31, ""close"", today()-6, today()-1), , 2))"),"#N/A")</f>
        <v/>
      </c>
      <c r="L31" s="13">
        <f>IFERROR(__xludf.DUMMYFUNCTION("AVERAGE(index(GOOGLEFINANCE(""NSE:""&amp;$A31, ""close"", today()-14, today()-1), , 2))"),"#N/A")</f>
        <v/>
      </c>
      <c r="M31" s="13">
        <f>IFERROR(__xludf.DUMMYFUNCTION("AVERAGE(index(GOOGLEFINANCE(""NSE:""&amp;$A31, ""close"", today()-22, today()-1), , 2))"),"#N/A")</f>
        <v/>
      </c>
      <c r="N31" s="13">
        <f>AG31</f>
        <v/>
      </c>
      <c r="O31" s="13">
        <f>AI31</f>
        <v/>
      </c>
      <c r="P31" s="13">
        <f>W31</f>
        <v/>
      </c>
      <c r="Q31" s="13">
        <f>Y31</f>
        <v/>
      </c>
      <c r="R31" s="15" t="n"/>
      <c r="S31" s="15">
        <f>LEFT(W31,2)&amp;LEFT(Y31,2)</f>
        <v/>
      </c>
      <c r="T31" s="15" t="n"/>
      <c r="U31" s="15">
        <f>IF(K31&lt;L31,1,0)</f>
        <v/>
      </c>
      <c r="V31" s="15">
        <f>IF(H31&gt;I31,1,0)</f>
        <v/>
      </c>
      <c r="W31" s="15">
        <f>IF(SUM(U31:V31)=2,"Anticipatory_Sell","No_Action")</f>
        <v/>
      </c>
      <c r="X31" s="15" t="n"/>
      <c r="Y31" s="15">
        <f>IF(SUM(Z31:AA31)=2,"Confirm_Sell","No_Action")</f>
        <v/>
      </c>
      <c r="Z31" s="15">
        <f>IF(H31&gt;I31,1,0)</f>
        <v/>
      </c>
      <c r="AA31" s="15">
        <f>IF(K31&lt;M31,1,0)</f>
        <v/>
      </c>
      <c r="AB31" s="15" t="n"/>
      <c r="AC31" s="15">
        <f>LEFT(AG31,2)&amp;LEFT(AI31,2)</f>
        <v/>
      </c>
      <c r="AD31" s="15" t="n"/>
      <c r="AE31" s="15">
        <f>IF(K31&gt;L31,1,0)</f>
        <v/>
      </c>
      <c r="AF31" s="16">
        <f>IF(H31&gt;I31,1,0)</f>
        <v/>
      </c>
      <c r="AG31" s="16">
        <f>IF(SUM(AE31:AF31)=2,"Anticipatory_Buy","No_Action")</f>
        <v/>
      </c>
      <c r="AH31" s="15" t="n"/>
      <c r="AI31" s="15">
        <f>IF(SUM(AJ31:AK31)=2,"Confirm_Buy","No_Action")</f>
        <v/>
      </c>
      <c r="AJ31" s="15">
        <f>IF(H31&gt;I31,1,0)</f>
        <v/>
      </c>
      <c r="AK31" s="15">
        <f>IF(K31&gt;M31,1,0)</f>
        <v/>
      </c>
    </row>
    <row r="32" ht="14.5" customHeight="1">
      <c r="A32" s="12" t="inlineStr">
        <is>
          <t>ASTRAL</t>
        </is>
      </c>
      <c r="B32" s="13">
        <f>IFERROR(__xludf.DUMMYFUNCTION("GOOGLEFINANCE(""NSE:""&amp;A32,""PRICE"")"),1849)</f>
        <v/>
      </c>
      <c r="C32" s="13">
        <f>IFERROR(__xludf.DUMMYFUNCTION("GOOGLEFINANCE(""NSE:""&amp;A32,""PRICEOPEN"")"),1849)</f>
        <v/>
      </c>
      <c r="D32" s="13">
        <f>IFERROR(__xludf.DUMMYFUNCTION("GOOGLEFINANCE(""NSE:""&amp;A32,""HIGH"")"),1858.8)</f>
        <v/>
      </c>
      <c r="E32" s="13">
        <f>IFERROR(__xludf.DUMMYFUNCTION("GOOGLEFINANCE(""NSE:""&amp;A32,""LOW"")"),1832)</f>
        <v/>
      </c>
      <c r="F32" s="13">
        <f>IFERROR(__xludf.DUMMYFUNCTION("GOOGLEFINANCE(""NSE:""&amp;A32,""closeyest"")"),1844.4)</f>
        <v/>
      </c>
      <c r="G32" s="14">
        <f>(B32-C32)/B32</f>
        <v/>
      </c>
      <c r="H32" s="13">
        <f>IFERROR(__xludf.DUMMYFUNCTION("GOOGLEFINANCE(""NSE:""&amp;A32,""VOLUME"")"),305785)</f>
        <v/>
      </c>
      <c r="I32" s="13">
        <f>IFERROR(__xludf.DUMMYFUNCTION("AVERAGE(index(GOOGLEFINANCE(""NSE:""&amp;$A32, ""volume"", today()-21, today()-1), , 2))"),"#N/A")</f>
        <v/>
      </c>
      <c r="J32" s="14">
        <f>(H32-I32)/I32</f>
        <v/>
      </c>
      <c r="K32" s="13">
        <f>IFERROR(__xludf.DUMMYFUNCTION("AVERAGE(index(GOOGLEFINANCE(""NSE:""&amp;$A32, ""close"", today()-6, today()-1), , 2))"),"#N/A")</f>
        <v/>
      </c>
      <c r="L32" s="13">
        <f>IFERROR(__xludf.DUMMYFUNCTION("AVERAGE(index(GOOGLEFINANCE(""NSE:""&amp;$A32, ""close"", today()-14, today()-1), , 2))"),"#N/A")</f>
        <v/>
      </c>
      <c r="M32" s="13">
        <f>IFERROR(__xludf.DUMMYFUNCTION("AVERAGE(index(GOOGLEFINANCE(""NSE:""&amp;$A32, ""close"", today()-22, today()-1), , 2))"),"#N/A")</f>
        <v/>
      </c>
      <c r="N32" s="13">
        <f>AG32</f>
        <v/>
      </c>
      <c r="O32" s="13">
        <f>AI32</f>
        <v/>
      </c>
      <c r="P32" s="13">
        <f>W32</f>
        <v/>
      </c>
      <c r="Q32" s="13">
        <f>Y32</f>
        <v/>
      </c>
      <c r="R32" s="15" t="n"/>
      <c r="S32" s="15">
        <f>LEFT(W32,2)&amp;LEFT(Y32,2)</f>
        <v/>
      </c>
      <c r="T32" s="15" t="n"/>
      <c r="U32" s="15">
        <f>IF(K32&lt;L32,1,0)</f>
        <v/>
      </c>
      <c r="V32" s="15">
        <f>IF(H32&gt;I32,1,0)</f>
        <v/>
      </c>
      <c r="W32" s="15">
        <f>IF(SUM(U32:V32)=2,"Anticipatory_Sell","No_Action")</f>
        <v/>
      </c>
      <c r="X32" s="15" t="n"/>
      <c r="Y32" s="15">
        <f>IF(SUM(Z32:AA32)=2,"Confirm_Sell","No_Action")</f>
        <v/>
      </c>
      <c r="Z32" s="15">
        <f>IF(H32&gt;I32,1,0)</f>
        <v/>
      </c>
      <c r="AA32" s="15">
        <f>IF(K32&lt;M32,1,0)</f>
        <v/>
      </c>
      <c r="AB32" s="15" t="n"/>
      <c r="AC32" s="15">
        <f>LEFT(AG32,2)&amp;LEFT(AI32,2)</f>
        <v/>
      </c>
      <c r="AD32" s="15" t="n"/>
      <c r="AE32" s="15">
        <f>IF(K32&gt;L32,1,0)</f>
        <v/>
      </c>
      <c r="AF32" s="16">
        <f>IF(H32&gt;I32,1,0)</f>
        <v/>
      </c>
      <c r="AG32" s="16">
        <f>IF(SUM(AE32:AF32)=2,"Anticipatory_Buy","No_Action")</f>
        <v/>
      </c>
      <c r="AH32" s="15" t="n"/>
      <c r="AI32" s="15">
        <f>IF(SUM(AJ32:AK32)=2,"Confirm_Buy","No_Action")</f>
        <v/>
      </c>
      <c r="AJ32" s="15">
        <f>IF(H32&gt;I32,1,0)</f>
        <v/>
      </c>
      <c r="AK32" s="15">
        <f>IF(K32&gt;M32,1,0)</f>
        <v/>
      </c>
    </row>
    <row r="33" ht="14.5" customHeight="1">
      <c r="A33" s="12" t="inlineStr">
        <is>
          <t>AUROPHARMA</t>
        </is>
      </c>
      <c r="B33" s="13">
        <f>IFERROR(__xludf.DUMMYFUNCTION("GOOGLEFINANCE(""NSE:""&amp;A33,""PRICE"")"),1240.1)</f>
        <v/>
      </c>
      <c r="C33" s="13">
        <f>IFERROR(__xludf.DUMMYFUNCTION("GOOGLEFINANCE(""NSE:""&amp;A33,""PRICEOPEN"")"),1247.45)</f>
        <v/>
      </c>
      <c r="D33" s="13">
        <f>IFERROR(__xludf.DUMMYFUNCTION("GOOGLEFINANCE(""NSE:""&amp;A33,""HIGH"")"),1259)</f>
        <v/>
      </c>
      <c r="E33" s="13">
        <f>IFERROR(__xludf.DUMMYFUNCTION("GOOGLEFINANCE(""NSE:""&amp;A33,""LOW"")"),1237)</f>
        <v/>
      </c>
      <c r="F33" s="13">
        <f>IFERROR(__xludf.DUMMYFUNCTION("GOOGLEFINANCE(""NSE:""&amp;A33,""closeyest"")"),1246.2)</f>
        <v/>
      </c>
      <c r="G33" s="14">
        <f>(B33-C33)/B33</f>
        <v/>
      </c>
      <c r="H33" s="13">
        <f>IFERROR(__xludf.DUMMYFUNCTION("GOOGLEFINANCE(""NSE:""&amp;A33,""VOLUME"")"),539265)</f>
        <v/>
      </c>
      <c r="I33" s="13">
        <f>IFERROR(__xludf.DUMMYFUNCTION("AVERAGE(index(GOOGLEFINANCE(""NSE:""&amp;$A33, ""volume"", today()-21, today()-1), , 2))"),"#N/A")</f>
        <v/>
      </c>
      <c r="J33" s="14">
        <f>(H33-I33)/I33</f>
        <v/>
      </c>
      <c r="K33" s="13">
        <f>IFERROR(__xludf.DUMMYFUNCTION("AVERAGE(index(GOOGLEFINANCE(""NSE:""&amp;$A33, ""close"", today()-6, today()-1), , 2))"),"#N/A")</f>
        <v/>
      </c>
      <c r="L33" s="13">
        <f>IFERROR(__xludf.DUMMYFUNCTION("AVERAGE(index(GOOGLEFINANCE(""NSE:""&amp;$A33, ""close"", today()-14, today()-1), , 2))"),"#N/A")</f>
        <v/>
      </c>
      <c r="M33" s="13">
        <f>IFERROR(__xludf.DUMMYFUNCTION("AVERAGE(index(GOOGLEFINANCE(""NSE:""&amp;$A33, ""close"", today()-22, today()-1), , 2))"),"#N/A")</f>
        <v/>
      </c>
      <c r="N33" s="13">
        <f>AG33</f>
        <v/>
      </c>
      <c r="O33" s="13">
        <f>AI33</f>
        <v/>
      </c>
      <c r="P33" s="13">
        <f>W33</f>
        <v/>
      </c>
      <c r="Q33" s="13">
        <f>Y33</f>
        <v/>
      </c>
      <c r="R33" s="15" t="n"/>
      <c r="S33" s="15">
        <f>LEFT(W33,2)&amp;LEFT(Y33,2)</f>
        <v/>
      </c>
      <c r="T33" s="15" t="n"/>
      <c r="U33" s="15">
        <f>IF(K33&lt;L33,1,0)</f>
        <v/>
      </c>
      <c r="V33" s="15">
        <f>IF(H33&gt;I33,1,0)</f>
        <v/>
      </c>
      <c r="W33" s="15">
        <f>IF(SUM(U33:V33)=2,"Anticipatory_Sell","No_Action")</f>
        <v/>
      </c>
      <c r="X33" s="15" t="n"/>
      <c r="Y33" s="15">
        <f>IF(SUM(Z33:AA33)=2,"Confirm_Sell","No_Action")</f>
        <v/>
      </c>
      <c r="Z33" s="15">
        <f>IF(H33&gt;I33,1,0)</f>
        <v/>
      </c>
      <c r="AA33" s="15">
        <f>IF(K33&lt;M33,1,0)</f>
        <v/>
      </c>
      <c r="AB33" s="15" t="n"/>
      <c r="AC33" s="15">
        <f>LEFT(AG33,2)&amp;LEFT(AI33,2)</f>
        <v/>
      </c>
      <c r="AD33" s="15" t="n"/>
      <c r="AE33" s="15">
        <f>IF(K33&gt;L33,1,0)</f>
        <v/>
      </c>
      <c r="AF33" s="16">
        <f>IF(H33&gt;I33,1,0)</f>
        <v/>
      </c>
      <c r="AG33" s="16">
        <f>IF(SUM(AE33:AF33)=2,"Anticipatory_Buy","No_Action")</f>
        <v/>
      </c>
      <c r="AH33" s="15" t="n"/>
      <c r="AI33" s="15">
        <f>IF(SUM(AJ33:AK33)=2,"Confirm_Buy","No_Action")</f>
        <v/>
      </c>
      <c r="AJ33" s="15">
        <f>IF(H33&gt;I33,1,0)</f>
        <v/>
      </c>
      <c r="AK33" s="15">
        <f>IF(K33&gt;M33,1,0)</f>
        <v/>
      </c>
    </row>
    <row r="34" ht="14.5" customHeight="1">
      <c r="A34" s="12" t="inlineStr">
        <is>
          <t>AIIL</t>
        </is>
      </c>
      <c r="B34" s="13">
        <f>IFERROR(__xludf.DUMMYFUNCTION("GOOGLEFINANCE(""NSE:""&amp;A34,""PRICE"")"),1715)</f>
        <v/>
      </c>
      <c r="C34" s="13">
        <f>IFERROR(__xludf.DUMMYFUNCTION("GOOGLEFINANCE(""NSE:""&amp;A34,""PRICEOPEN"")"),1667.95)</f>
        <v/>
      </c>
      <c r="D34" s="13">
        <f>IFERROR(__xludf.DUMMYFUNCTION("GOOGLEFINANCE(""NSE:""&amp;A34,""HIGH"")"),1727.75)</f>
        <v/>
      </c>
      <c r="E34" s="13">
        <f>IFERROR(__xludf.DUMMYFUNCTION("GOOGLEFINANCE(""NSE:""&amp;A34,""LOW"")"),1643.1)</f>
        <v/>
      </c>
      <c r="F34" s="13">
        <f>IFERROR(__xludf.DUMMYFUNCTION("GOOGLEFINANCE(""NSE:""&amp;A34,""closeyest"")"),1654.95)</f>
        <v/>
      </c>
      <c r="G34" s="14">
        <f>(B34-C34)/B34</f>
        <v/>
      </c>
      <c r="H34" s="13">
        <f>IFERROR(__xludf.DUMMYFUNCTION("GOOGLEFINANCE(""NSE:""&amp;A34,""VOLUME"")"),51347)</f>
        <v/>
      </c>
      <c r="I34" s="13">
        <f>IFERROR(__xludf.DUMMYFUNCTION("AVERAGE(index(GOOGLEFINANCE(""NSE:""&amp;$A34, ""volume"", today()-21, today()-1), , 2))"),"#N/A")</f>
        <v/>
      </c>
      <c r="J34" s="14">
        <f>(H34-I34)/I34</f>
        <v/>
      </c>
      <c r="K34" s="13">
        <f>IFERROR(__xludf.DUMMYFUNCTION("AVERAGE(index(GOOGLEFINANCE(""NSE:""&amp;$A34, ""close"", today()-6, today()-1), , 2))"),"#N/A")</f>
        <v/>
      </c>
      <c r="L34" s="13">
        <f>IFERROR(__xludf.DUMMYFUNCTION("AVERAGE(index(GOOGLEFINANCE(""NSE:""&amp;$A34, ""close"", today()-14, today()-1), , 2))"),"#N/A")</f>
        <v/>
      </c>
      <c r="M34" s="13">
        <f>IFERROR(__xludf.DUMMYFUNCTION("AVERAGE(index(GOOGLEFINANCE(""NSE:""&amp;$A34, ""close"", today()-22, today()-1), , 2))"),"#N/A")</f>
        <v/>
      </c>
      <c r="N34" s="13">
        <f>AG34</f>
        <v/>
      </c>
      <c r="O34" s="13">
        <f>AI34</f>
        <v/>
      </c>
      <c r="P34" s="13">
        <f>W34</f>
        <v/>
      </c>
      <c r="Q34" s="13">
        <f>Y34</f>
        <v/>
      </c>
      <c r="R34" s="15" t="n"/>
      <c r="S34" s="15">
        <f>LEFT(W34,2)&amp;LEFT(Y34,2)</f>
        <v/>
      </c>
      <c r="T34" s="15" t="n"/>
      <c r="U34" s="15">
        <f>IF(K34&lt;L34,1,0)</f>
        <v/>
      </c>
      <c r="V34" s="15">
        <f>IF(H34&gt;I34,1,0)</f>
        <v/>
      </c>
      <c r="W34" s="15">
        <f>IF(SUM(U34:V34)=2,"Anticipatory_Sell","No_Action")</f>
        <v/>
      </c>
      <c r="X34" s="15" t="n"/>
      <c r="Y34" s="15">
        <f>IF(SUM(Z34:AA34)=2,"Confirm_Sell","No_Action")</f>
        <v/>
      </c>
      <c r="Z34" s="15">
        <f>IF(H34&gt;I34,1,0)</f>
        <v/>
      </c>
      <c r="AA34" s="15">
        <f>IF(K34&lt;M34,1,0)</f>
        <v/>
      </c>
      <c r="AB34" s="15" t="n"/>
      <c r="AC34" s="15">
        <f>LEFT(AG34,2)&amp;LEFT(AI34,2)</f>
        <v/>
      </c>
      <c r="AD34" s="15" t="n"/>
      <c r="AE34" s="15">
        <f>IF(K34&gt;L34,1,0)</f>
        <v/>
      </c>
      <c r="AF34" s="16">
        <f>IF(H34&gt;I34,1,0)</f>
        <v/>
      </c>
      <c r="AG34" s="16">
        <f>IF(SUM(AE34:AF34)=2,"Anticipatory_Buy","No_Action")</f>
        <v/>
      </c>
      <c r="AH34" s="15" t="n"/>
      <c r="AI34" s="15">
        <f>IF(SUM(AJ34:AK34)=2,"Confirm_Buy","No_Action")</f>
        <v/>
      </c>
      <c r="AJ34" s="15">
        <f>IF(H34&gt;I34,1,0)</f>
        <v/>
      </c>
      <c r="AK34" s="15">
        <f>IF(K34&gt;M34,1,0)</f>
        <v/>
      </c>
    </row>
    <row r="35" ht="14.5" customHeight="1">
      <c r="A35" s="12" t="inlineStr">
        <is>
          <t>AVTNPL</t>
        </is>
      </c>
      <c r="B35" s="13">
        <f>IFERROR(__xludf.DUMMYFUNCTION("GOOGLEFINANCE(""NSE:""&amp;A35,""PRICE"")"),80.3)</f>
        <v/>
      </c>
      <c r="C35" s="13">
        <f>IFERROR(__xludf.DUMMYFUNCTION("GOOGLEFINANCE(""NSE:""&amp;A35,""PRICEOPEN"")"),79.25)</f>
        <v/>
      </c>
      <c r="D35" s="13">
        <f>IFERROR(__xludf.DUMMYFUNCTION("GOOGLEFINANCE(""NSE:""&amp;A35,""HIGH"")"),81.95)</f>
        <v/>
      </c>
      <c r="E35" s="13">
        <f>IFERROR(__xludf.DUMMYFUNCTION("GOOGLEFINANCE(""NSE:""&amp;A35,""LOW"")"),79.25)</f>
        <v/>
      </c>
      <c r="F35" s="13">
        <f>IFERROR(__xludf.DUMMYFUNCTION("GOOGLEFINANCE(""NSE:""&amp;A35,""closeyest"")"),80.14)</f>
        <v/>
      </c>
      <c r="G35" s="14">
        <f>(B35-C35)/B35</f>
        <v/>
      </c>
      <c r="H35" s="13">
        <f>IFERROR(__xludf.DUMMYFUNCTION("GOOGLEFINANCE(""NSE:""&amp;A35,""VOLUME"")"),60399)</f>
        <v/>
      </c>
      <c r="I35" s="13">
        <f>IFERROR(__xludf.DUMMYFUNCTION("AVERAGE(index(GOOGLEFINANCE(""NSE:""&amp;$A35, ""volume"", today()-21, today()-1), , 2))"),"#N/A")</f>
        <v/>
      </c>
      <c r="J35" s="14">
        <f>(H35-I35)/I35</f>
        <v/>
      </c>
      <c r="K35" s="13">
        <f>IFERROR(__xludf.DUMMYFUNCTION("AVERAGE(index(GOOGLEFINANCE(""NSE:""&amp;$A35, ""close"", today()-6, today()-1), , 2))"),"#N/A")</f>
        <v/>
      </c>
      <c r="L35" s="13">
        <f>IFERROR(__xludf.DUMMYFUNCTION("AVERAGE(index(GOOGLEFINANCE(""NSE:""&amp;$A35, ""close"", today()-14, today()-1), , 2))"),"#N/A")</f>
        <v/>
      </c>
      <c r="M35" s="13">
        <f>IFERROR(__xludf.DUMMYFUNCTION("AVERAGE(index(GOOGLEFINANCE(""NSE:""&amp;$A35, ""close"", today()-22, today()-1), , 2))"),"#N/A")</f>
        <v/>
      </c>
      <c r="N35" s="13">
        <f>AG35</f>
        <v/>
      </c>
      <c r="O35" s="13">
        <f>AI35</f>
        <v/>
      </c>
      <c r="P35" s="13">
        <f>W35</f>
        <v/>
      </c>
      <c r="Q35" s="13">
        <f>Y35</f>
        <v/>
      </c>
      <c r="R35" s="15" t="n"/>
      <c r="S35" s="15">
        <f>LEFT(W35,2)&amp;LEFT(Y35,2)</f>
        <v/>
      </c>
      <c r="T35" s="15" t="n"/>
      <c r="U35" s="15">
        <f>IF(K35&lt;L35,1,0)</f>
        <v/>
      </c>
      <c r="V35" s="15">
        <f>IF(H35&gt;I35,1,0)</f>
        <v/>
      </c>
      <c r="W35" s="15">
        <f>IF(SUM(U35:V35)=2,"Anticipatory_Sell","No_Action")</f>
        <v/>
      </c>
      <c r="X35" s="15" t="n"/>
      <c r="Y35" s="15">
        <f>IF(SUM(Z35:AA35)=2,"Confirm_Sell","No_Action")</f>
        <v/>
      </c>
      <c r="Z35" s="15">
        <f>IF(H35&gt;I35,1,0)</f>
        <v/>
      </c>
      <c r="AA35" s="15">
        <f>IF(K35&lt;M35,1,0)</f>
        <v/>
      </c>
      <c r="AB35" s="15" t="n"/>
      <c r="AC35" s="15">
        <f>LEFT(AG35,2)&amp;LEFT(AI35,2)</f>
        <v/>
      </c>
      <c r="AD35" s="15" t="n"/>
      <c r="AE35" s="15">
        <f>IF(K35&gt;L35,1,0)</f>
        <v/>
      </c>
      <c r="AF35" s="16">
        <f>IF(H35&gt;I35,1,0)</f>
        <v/>
      </c>
      <c r="AG35" s="16">
        <f>IF(SUM(AE35:AF35)=2,"Anticipatory_Buy","No_Action")</f>
        <v/>
      </c>
      <c r="AH35" s="15" t="n"/>
      <c r="AI35" s="15">
        <f>IF(SUM(AJ35:AK35)=2,"Confirm_Buy","No_Action")</f>
        <v/>
      </c>
      <c r="AJ35" s="15">
        <f>IF(H35&gt;I35,1,0)</f>
        <v/>
      </c>
      <c r="AK35" s="15">
        <f>IF(K35&gt;M35,1,0)</f>
        <v/>
      </c>
    </row>
    <row r="36" ht="14.5" customHeight="1">
      <c r="A36" s="12" t="inlineStr">
        <is>
          <t>AXISBANK</t>
        </is>
      </c>
      <c r="B36" s="13">
        <f>IFERROR(__xludf.DUMMYFUNCTION("GOOGLEFINANCE(""NSE:""&amp;A36,""PRICE"")"),1167.9)</f>
        <v/>
      </c>
      <c r="C36" s="13">
        <f>IFERROR(__xludf.DUMMYFUNCTION("GOOGLEFINANCE(""NSE:""&amp;A36,""PRICEOPEN"")"),1184.25)</f>
        <v/>
      </c>
      <c r="D36" s="13">
        <f>IFERROR(__xludf.DUMMYFUNCTION("GOOGLEFINANCE(""NSE:""&amp;A36,""HIGH"")"),1186)</f>
        <v/>
      </c>
      <c r="E36" s="13">
        <f>IFERROR(__xludf.DUMMYFUNCTION("GOOGLEFINANCE(""NSE:""&amp;A36,""LOW"")"),1161)</f>
        <v/>
      </c>
      <c r="F36" s="13">
        <f>IFERROR(__xludf.DUMMYFUNCTION("GOOGLEFINANCE(""NSE:""&amp;A36,""closeyest"")"),1184.55)</f>
        <v/>
      </c>
      <c r="G36" s="14">
        <f>(B36-C36)/B36</f>
        <v/>
      </c>
      <c r="H36" s="13">
        <f>IFERROR(__xludf.DUMMYFUNCTION("GOOGLEFINANCE(""NSE:""&amp;A36,""VOLUME"")"),6308112)</f>
        <v/>
      </c>
      <c r="I36" s="13">
        <f>IFERROR(__xludf.DUMMYFUNCTION("AVERAGE(index(GOOGLEFINANCE(""NSE:""&amp;$A36, ""volume"", today()-21, today()-1), , 2))"),"#N/A")</f>
        <v/>
      </c>
      <c r="J36" s="14">
        <f>(H36-I36)/I36</f>
        <v/>
      </c>
      <c r="K36" s="13">
        <f>IFERROR(__xludf.DUMMYFUNCTION("AVERAGE(index(GOOGLEFINANCE(""NSE:""&amp;$A36, ""close"", today()-6, today()-1), , 2))"),"#N/A")</f>
        <v/>
      </c>
      <c r="L36" s="13">
        <f>IFERROR(__xludf.DUMMYFUNCTION("AVERAGE(index(GOOGLEFINANCE(""NSE:""&amp;$A36, ""close"", today()-14, today()-1), , 2))"),"#N/A")</f>
        <v/>
      </c>
      <c r="M36" s="13">
        <f>IFERROR(__xludf.DUMMYFUNCTION("AVERAGE(index(GOOGLEFINANCE(""NSE:""&amp;$A36, ""close"", today()-22, today()-1), , 2))"),"#N/A")</f>
        <v/>
      </c>
      <c r="N36" s="13">
        <f>AG36</f>
        <v/>
      </c>
      <c r="O36" s="13">
        <f>AI36</f>
        <v/>
      </c>
      <c r="P36" s="13">
        <f>W36</f>
        <v/>
      </c>
      <c r="Q36" s="13">
        <f>Y36</f>
        <v/>
      </c>
      <c r="R36" s="15" t="n"/>
      <c r="S36" s="15">
        <f>LEFT(W36,2)&amp;LEFT(Y36,2)</f>
        <v/>
      </c>
      <c r="T36" s="15" t="n"/>
      <c r="U36" s="15">
        <f>IF(K36&lt;L36,1,0)</f>
        <v/>
      </c>
      <c r="V36" s="15">
        <f>IF(H36&gt;I36,1,0)</f>
        <v/>
      </c>
      <c r="W36" s="15">
        <f>IF(SUM(U36:V36)=2,"Anticipatory_Sell","No_Action")</f>
        <v/>
      </c>
      <c r="X36" s="15" t="n"/>
      <c r="Y36" s="15">
        <f>IF(SUM(Z36:AA36)=2,"Confirm_Sell","No_Action")</f>
        <v/>
      </c>
      <c r="Z36" s="15">
        <f>IF(H36&gt;I36,1,0)</f>
        <v/>
      </c>
      <c r="AA36" s="15">
        <f>IF(K36&lt;M36,1,0)</f>
        <v/>
      </c>
      <c r="AB36" s="15" t="n"/>
      <c r="AC36" s="15">
        <f>LEFT(AG36,2)&amp;LEFT(AI36,2)</f>
        <v/>
      </c>
      <c r="AD36" s="15" t="n"/>
      <c r="AE36" s="15">
        <f>IF(K36&gt;L36,1,0)</f>
        <v/>
      </c>
      <c r="AF36" s="16">
        <f>IF(H36&gt;I36,1,0)</f>
        <v/>
      </c>
      <c r="AG36" s="16">
        <f>IF(SUM(AE36:AF36)=2,"Anticipatory_Buy","No_Action")</f>
        <v/>
      </c>
      <c r="AH36" s="15" t="n"/>
      <c r="AI36" s="15">
        <f>IF(SUM(AJ36:AK36)=2,"Confirm_Buy","No_Action")</f>
        <v/>
      </c>
      <c r="AJ36" s="15">
        <f>IF(H36&gt;I36,1,0)</f>
        <v/>
      </c>
      <c r="AK36" s="15">
        <f>IF(K36&gt;M36,1,0)</f>
        <v/>
      </c>
    </row>
    <row r="37" ht="14.5" customHeight="1">
      <c r="A37" s="12" t="inlineStr">
        <is>
          <t>BAJAJ-AUTO</t>
        </is>
      </c>
      <c r="B37" s="13">
        <f>IFERROR(__xludf.DUMMYFUNCTION("GOOGLEFINANCE(""NSE:""&amp;A37,""PRICE"")"),9072.95)</f>
        <v/>
      </c>
      <c r="C37" s="13">
        <f>IFERROR(__xludf.DUMMYFUNCTION("GOOGLEFINANCE(""NSE:""&amp;A37,""PRICEOPEN"")"),9096)</f>
        <v/>
      </c>
      <c r="D37" s="13">
        <f>IFERROR(__xludf.DUMMYFUNCTION("GOOGLEFINANCE(""NSE:""&amp;A37,""HIGH"")"),9171)</f>
        <v/>
      </c>
      <c r="E37" s="13">
        <f>IFERROR(__xludf.DUMMYFUNCTION("GOOGLEFINANCE(""NSE:""&amp;A37,""LOW"")"),9026.4)</f>
        <v/>
      </c>
      <c r="F37" s="13">
        <f>IFERROR(__xludf.DUMMYFUNCTION("GOOGLEFINANCE(""NSE:""&amp;A37,""closeyest"")"),9099.9)</f>
        <v/>
      </c>
      <c r="G37" s="14">
        <f>(B37-C37)/B37</f>
        <v/>
      </c>
      <c r="H37" s="13">
        <f>IFERROR(__xludf.DUMMYFUNCTION("GOOGLEFINANCE(""NSE:""&amp;A37,""VOLUME"")"),304202)</f>
        <v/>
      </c>
      <c r="I37" s="13">
        <f>IFERROR(__xludf.DUMMYFUNCTION("AVERAGE(index(GOOGLEFINANCE(""NSE:""&amp;$A37, ""volume"", today()-21, today()-1), , 2))"),"#N/A")</f>
        <v/>
      </c>
      <c r="J37" s="14">
        <f>(H37-I37)/I37</f>
        <v/>
      </c>
      <c r="K37" s="13">
        <f>IFERROR(__xludf.DUMMYFUNCTION("AVERAGE(index(GOOGLEFINANCE(""NSE:""&amp;$A37, ""close"", today()-6, today()-1), , 2))"),"#N/A")</f>
        <v/>
      </c>
      <c r="L37" s="13">
        <f>IFERROR(__xludf.DUMMYFUNCTION("AVERAGE(index(GOOGLEFINANCE(""NSE:""&amp;$A37, ""close"", today()-14, today()-1), , 2))"),"#N/A")</f>
        <v/>
      </c>
      <c r="M37" s="13">
        <f>IFERROR(__xludf.DUMMYFUNCTION("AVERAGE(index(GOOGLEFINANCE(""NSE:""&amp;$A37, ""close"", today()-22, today()-1), , 2))"),"#N/A")</f>
        <v/>
      </c>
      <c r="N37" s="13">
        <f>AG37</f>
        <v/>
      </c>
      <c r="O37" s="13">
        <f>AI37</f>
        <v/>
      </c>
      <c r="P37" s="13">
        <f>W37</f>
        <v/>
      </c>
      <c r="Q37" s="13">
        <f>Y37</f>
        <v/>
      </c>
      <c r="R37" s="15" t="n"/>
      <c r="S37" s="15">
        <f>LEFT(W37,2)&amp;LEFT(Y37,2)</f>
        <v/>
      </c>
      <c r="T37" s="15" t="n"/>
      <c r="U37" s="15">
        <f>IF(K37&lt;L37,1,0)</f>
        <v/>
      </c>
      <c r="V37" s="15">
        <f>IF(H37&gt;I37,1,0)</f>
        <v/>
      </c>
      <c r="W37" s="15">
        <f>IF(SUM(U37:V37)=2,"Anticipatory_Sell","No_Action")</f>
        <v/>
      </c>
      <c r="X37" s="15" t="n"/>
      <c r="Y37" s="15">
        <f>IF(SUM(Z37:AA37)=2,"Confirm_Sell","No_Action")</f>
        <v/>
      </c>
      <c r="Z37" s="15">
        <f>IF(H37&gt;I37,1,0)</f>
        <v/>
      </c>
      <c r="AA37" s="15">
        <f>IF(K37&lt;M37,1,0)</f>
        <v/>
      </c>
      <c r="AB37" s="15" t="n"/>
      <c r="AC37" s="15">
        <f>LEFT(AG37,2)&amp;LEFT(AI37,2)</f>
        <v/>
      </c>
      <c r="AD37" s="15" t="n"/>
      <c r="AE37" s="15">
        <f>IF(K37&gt;L37,1,0)</f>
        <v/>
      </c>
      <c r="AF37" s="16">
        <f>IF(H37&gt;I37,1,0)</f>
        <v/>
      </c>
      <c r="AG37" s="16">
        <f>IF(SUM(AE37:AF37)=2,"Anticipatory_Buy","No_Action")</f>
        <v/>
      </c>
      <c r="AH37" s="15" t="n"/>
      <c r="AI37" s="15">
        <f>IF(SUM(AJ37:AK37)=2,"Confirm_Buy","No_Action")</f>
        <v/>
      </c>
      <c r="AJ37" s="15">
        <f>IF(H37&gt;I37,1,0)</f>
        <v/>
      </c>
      <c r="AK37" s="15">
        <f>IF(K37&gt;M37,1,0)</f>
        <v/>
      </c>
    </row>
    <row r="38" ht="14.5" customHeight="1">
      <c r="A38" s="12" t="inlineStr">
        <is>
          <t>BAJAJCON</t>
        </is>
      </c>
      <c r="B38" s="13">
        <f>IFERROR(__xludf.DUMMYFUNCTION("GOOGLEFINANCE(""NSE:""&amp;A38,""PRICE"")"),207.9)</f>
        <v/>
      </c>
      <c r="C38" s="13">
        <f>IFERROR(__xludf.DUMMYFUNCTION("GOOGLEFINANCE(""NSE:""&amp;A38,""PRICEOPEN"")"),204.38)</f>
        <v/>
      </c>
      <c r="D38" s="13">
        <f>IFERROR(__xludf.DUMMYFUNCTION("GOOGLEFINANCE(""NSE:""&amp;A38,""HIGH"")"),208)</f>
        <v/>
      </c>
      <c r="E38" s="13">
        <f>IFERROR(__xludf.DUMMYFUNCTION("GOOGLEFINANCE(""NSE:""&amp;A38,""LOW"")"),204.38)</f>
        <v/>
      </c>
      <c r="F38" s="13">
        <f>IFERROR(__xludf.DUMMYFUNCTION("GOOGLEFINANCE(""NSE:""&amp;A38,""closeyest"")"),203.6)</f>
        <v/>
      </c>
      <c r="G38" s="14">
        <f>(B38-C38)/B38</f>
        <v/>
      </c>
      <c r="H38" s="13">
        <f>IFERROR(__xludf.DUMMYFUNCTION("GOOGLEFINANCE(""NSE:""&amp;A38,""VOLUME"")"),237820)</f>
        <v/>
      </c>
      <c r="I38" s="13">
        <f>IFERROR(__xludf.DUMMYFUNCTION("AVERAGE(index(GOOGLEFINANCE(""NSE:""&amp;$A38, ""volume"", today()-21, today()-1), , 2))"),"#N/A")</f>
        <v/>
      </c>
      <c r="J38" s="14">
        <f>(H38-I38)/I38</f>
        <v/>
      </c>
      <c r="K38" s="13">
        <f>IFERROR(__xludf.DUMMYFUNCTION("AVERAGE(index(GOOGLEFINANCE(""NSE:""&amp;$A38, ""close"", today()-6, today()-1), , 2))"),"#N/A")</f>
        <v/>
      </c>
      <c r="L38" s="13">
        <f>IFERROR(__xludf.DUMMYFUNCTION("AVERAGE(index(GOOGLEFINANCE(""NSE:""&amp;$A38, ""close"", today()-14, today()-1), , 2))"),"#N/A")</f>
        <v/>
      </c>
      <c r="M38" s="13">
        <f>IFERROR(__xludf.DUMMYFUNCTION("AVERAGE(index(GOOGLEFINANCE(""NSE:""&amp;$A38, ""close"", today()-22, today()-1), , 2))"),"#N/A")</f>
        <v/>
      </c>
      <c r="N38" s="13">
        <f>AG38</f>
        <v/>
      </c>
      <c r="O38" s="13">
        <f>AI38</f>
        <v/>
      </c>
      <c r="P38" s="13">
        <f>W38</f>
        <v/>
      </c>
      <c r="Q38" s="13">
        <f>Y38</f>
        <v/>
      </c>
      <c r="R38" s="15" t="n"/>
      <c r="S38" s="15">
        <f>LEFT(W38,2)&amp;LEFT(Y38,2)</f>
        <v/>
      </c>
      <c r="T38" s="15" t="n"/>
      <c r="U38" s="15">
        <f>IF(K38&lt;L38,1,0)</f>
        <v/>
      </c>
      <c r="V38" s="15">
        <f>IF(H38&gt;I38,1,0)</f>
        <v/>
      </c>
      <c r="W38" s="15">
        <f>IF(SUM(U38:V38)=2,"Anticipatory_Sell","No_Action")</f>
        <v/>
      </c>
      <c r="X38" s="15" t="n"/>
      <c r="Y38" s="15">
        <f>IF(SUM(Z38:AA38)=2,"Confirm_Sell","No_Action")</f>
        <v/>
      </c>
      <c r="Z38" s="15">
        <f>IF(H38&gt;I38,1,0)</f>
        <v/>
      </c>
      <c r="AA38" s="15">
        <f>IF(K38&lt;M38,1,0)</f>
        <v/>
      </c>
      <c r="AB38" s="15" t="n"/>
      <c r="AC38" s="15">
        <f>LEFT(AG38,2)&amp;LEFT(AI38,2)</f>
        <v/>
      </c>
      <c r="AD38" s="15" t="n"/>
      <c r="AE38" s="15">
        <f>IF(K38&gt;L38,1,0)</f>
        <v/>
      </c>
      <c r="AF38" s="16">
        <f>IF(H38&gt;I38,1,0)</f>
        <v/>
      </c>
      <c r="AG38" s="16">
        <f>IF(SUM(AE38:AF38)=2,"Anticipatory_Buy","No_Action")</f>
        <v/>
      </c>
      <c r="AH38" s="15" t="n"/>
      <c r="AI38" s="15">
        <f>IF(SUM(AJ38:AK38)=2,"Confirm_Buy","No_Action")</f>
        <v/>
      </c>
      <c r="AJ38" s="15">
        <f>IF(H38&gt;I38,1,0)</f>
        <v/>
      </c>
      <c r="AK38" s="15">
        <f>IF(K38&gt;M38,1,0)</f>
        <v/>
      </c>
    </row>
    <row r="39" ht="14.5" customHeight="1">
      <c r="A39" s="12" t="inlineStr">
        <is>
          <t>BAJFINANCE</t>
        </is>
      </c>
      <c r="B39" s="13">
        <f>IFERROR(__xludf.DUMMYFUNCTION("GOOGLEFINANCE(""NSE:""&amp;A39,""PRICE"")"),6878.95)</f>
        <v/>
      </c>
      <c r="C39" s="13">
        <f>IFERROR(__xludf.DUMMYFUNCTION("GOOGLEFINANCE(""NSE:""&amp;A39,""PRICEOPEN"")"),6850.1)</f>
        <v/>
      </c>
      <c r="D39" s="13">
        <f>IFERROR(__xludf.DUMMYFUNCTION("GOOGLEFINANCE(""NSE:""&amp;A39,""HIGH"")"),6925)</f>
        <v/>
      </c>
      <c r="E39" s="13">
        <f>IFERROR(__xludf.DUMMYFUNCTION("GOOGLEFINANCE(""NSE:""&amp;A39,""LOW"")"),6827.9)</f>
        <v/>
      </c>
      <c r="F39" s="13">
        <f>IFERROR(__xludf.DUMMYFUNCTION("GOOGLEFINANCE(""NSE:""&amp;A39,""closeyest"")"),6850.3)</f>
        <v/>
      </c>
      <c r="G39" s="14">
        <f>(B39-C39)/B39</f>
        <v/>
      </c>
      <c r="H39" s="13">
        <f>IFERROR(__xludf.DUMMYFUNCTION("GOOGLEFINANCE(""NSE:""&amp;A39,""VOLUME"")"),840910)</f>
        <v/>
      </c>
      <c r="I39" s="13">
        <f>IFERROR(__xludf.DUMMYFUNCTION("AVERAGE(index(GOOGLEFINANCE(""NSE:""&amp;$A39, ""volume"", today()-21, today()-1), , 2))"),"#N/A")</f>
        <v/>
      </c>
      <c r="J39" s="14">
        <f>(H39-I39)/I39</f>
        <v/>
      </c>
      <c r="K39" s="13">
        <f>IFERROR(__xludf.DUMMYFUNCTION("AVERAGE(index(GOOGLEFINANCE(""NSE:""&amp;$A39, ""close"", today()-6, today()-1), , 2))"),"#N/A")</f>
        <v/>
      </c>
      <c r="L39" s="13">
        <f>IFERROR(__xludf.DUMMYFUNCTION("AVERAGE(index(GOOGLEFINANCE(""NSE:""&amp;$A39, ""close"", today()-14, today()-1), , 2))"),"#N/A")</f>
        <v/>
      </c>
      <c r="M39" s="13">
        <f>IFERROR(__xludf.DUMMYFUNCTION("AVERAGE(index(GOOGLEFINANCE(""NSE:""&amp;$A39, ""close"", today()-22, today()-1), , 2))"),"#N/A")</f>
        <v/>
      </c>
      <c r="N39" s="13">
        <f>AG39</f>
        <v/>
      </c>
      <c r="O39" s="13">
        <f>AI39</f>
        <v/>
      </c>
      <c r="P39" s="13">
        <f>W39</f>
        <v/>
      </c>
      <c r="Q39" s="13">
        <f>Y39</f>
        <v/>
      </c>
      <c r="R39" s="15" t="n"/>
      <c r="S39" s="15">
        <f>LEFT(W39,2)&amp;LEFT(Y39,2)</f>
        <v/>
      </c>
      <c r="T39" s="15" t="n"/>
      <c r="U39" s="15">
        <f>IF(K39&lt;L39,1,0)</f>
        <v/>
      </c>
      <c r="V39" s="15">
        <f>IF(H39&gt;I39,1,0)</f>
        <v/>
      </c>
      <c r="W39" s="15">
        <f>IF(SUM(U39:V39)=2,"Anticipatory_Sell","No_Action")</f>
        <v/>
      </c>
      <c r="X39" s="15" t="n"/>
      <c r="Y39" s="15">
        <f>IF(SUM(Z39:AA39)=2,"Confirm_Sell","No_Action")</f>
        <v/>
      </c>
      <c r="Z39" s="15">
        <f>IF(H39&gt;I39,1,0)</f>
        <v/>
      </c>
      <c r="AA39" s="15">
        <f>IF(K39&lt;M39,1,0)</f>
        <v/>
      </c>
      <c r="AB39" s="15" t="n"/>
      <c r="AC39" s="15">
        <f>LEFT(AG39,2)&amp;LEFT(AI39,2)</f>
        <v/>
      </c>
      <c r="AD39" s="15" t="n"/>
      <c r="AE39" s="15">
        <f>IF(K39&gt;L39,1,0)</f>
        <v/>
      </c>
      <c r="AF39" s="16">
        <f>IF(H39&gt;I39,1,0)</f>
        <v/>
      </c>
      <c r="AG39" s="16">
        <f>IF(SUM(AE39:AF39)=2,"Anticipatory_Buy","No_Action")</f>
        <v/>
      </c>
      <c r="AH39" s="15" t="n"/>
      <c r="AI39" s="15">
        <f>IF(SUM(AJ39:AK39)=2,"Confirm_Buy","No_Action")</f>
        <v/>
      </c>
      <c r="AJ39" s="15">
        <f>IF(H39&gt;I39,1,0)</f>
        <v/>
      </c>
      <c r="AK39" s="15">
        <f>IF(K39&gt;M39,1,0)</f>
        <v/>
      </c>
    </row>
    <row r="40" ht="14.5" customHeight="1">
      <c r="A40" s="12" t="inlineStr">
        <is>
          <t>BAJAJFINSV</t>
        </is>
      </c>
      <c r="B40" s="13">
        <f>IFERROR(__xludf.DUMMYFUNCTION("GOOGLEFINANCE(""NSE:""&amp;A40,""PRICE"")"),1637.1)</f>
        <v/>
      </c>
      <c r="C40" s="13">
        <f>IFERROR(__xludf.DUMMYFUNCTION("GOOGLEFINANCE(""NSE:""&amp;A40,""PRICEOPEN"")"),1642)</f>
        <v/>
      </c>
      <c r="D40" s="13">
        <f>IFERROR(__xludf.DUMMYFUNCTION("GOOGLEFINANCE(""NSE:""&amp;A40,""HIGH"")"),1647.55)</f>
        <v/>
      </c>
      <c r="E40" s="13">
        <f>IFERROR(__xludf.DUMMYFUNCTION("GOOGLEFINANCE(""NSE:""&amp;A40,""LOW"")"),1619.2)</f>
        <v/>
      </c>
      <c r="F40" s="13">
        <f>IFERROR(__xludf.DUMMYFUNCTION("GOOGLEFINANCE(""NSE:""&amp;A40,""closeyest"")"),1635.2)</f>
        <v/>
      </c>
      <c r="G40" s="14">
        <f>(B40-C40)/B40</f>
        <v/>
      </c>
      <c r="H40" s="13">
        <f>IFERROR(__xludf.DUMMYFUNCTION("GOOGLEFINANCE(""NSE:""&amp;A40,""VOLUME"")"),859106)</f>
        <v/>
      </c>
      <c r="I40" s="13">
        <f>IFERROR(__xludf.DUMMYFUNCTION("AVERAGE(index(GOOGLEFINANCE(""NSE:""&amp;$A40, ""volume"", today()-21, today()-1), , 2))"),"#N/A")</f>
        <v/>
      </c>
      <c r="J40" s="14">
        <f>(H40-I40)/I40</f>
        <v/>
      </c>
      <c r="K40" s="13">
        <f>IFERROR(__xludf.DUMMYFUNCTION("AVERAGE(index(GOOGLEFINANCE(""NSE:""&amp;$A40, ""close"", today()-6, today()-1), , 2))"),"#N/A")</f>
        <v/>
      </c>
      <c r="L40" s="13">
        <f>IFERROR(__xludf.DUMMYFUNCTION("AVERAGE(index(GOOGLEFINANCE(""NSE:""&amp;$A40, ""close"", today()-14, today()-1), , 2))"),"#N/A")</f>
        <v/>
      </c>
      <c r="M40" s="13">
        <f>IFERROR(__xludf.DUMMYFUNCTION("AVERAGE(index(GOOGLEFINANCE(""NSE:""&amp;$A40, ""close"", today()-22, today()-1), , 2))"),"#N/A")</f>
        <v/>
      </c>
      <c r="N40" s="13">
        <f>AG40</f>
        <v/>
      </c>
      <c r="O40" s="13">
        <f>AI40</f>
        <v/>
      </c>
      <c r="P40" s="13">
        <f>W40</f>
        <v/>
      </c>
      <c r="Q40" s="13">
        <f>Y40</f>
        <v/>
      </c>
      <c r="R40" s="15" t="n"/>
      <c r="S40" s="15">
        <f>LEFT(W40,2)&amp;LEFT(Y40,2)</f>
        <v/>
      </c>
      <c r="T40" s="15" t="n"/>
      <c r="U40" s="15">
        <f>IF(K40&lt;L40,1,0)</f>
        <v/>
      </c>
      <c r="V40" s="15">
        <f>IF(H40&gt;I40,1,0)</f>
        <v/>
      </c>
      <c r="W40" s="15">
        <f>IF(SUM(U40:V40)=2,"Anticipatory_Sell","No_Action")</f>
        <v/>
      </c>
      <c r="X40" s="15" t="n"/>
      <c r="Y40" s="15">
        <f>IF(SUM(Z40:AA40)=2,"Confirm_Sell","No_Action")</f>
        <v/>
      </c>
      <c r="Z40" s="15">
        <f>IF(H40&gt;I40,1,0)</f>
        <v/>
      </c>
      <c r="AA40" s="15">
        <f>IF(K40&lt;M40,1,0)</f>
        <v/>
      </c>
      <c r="AB40" s="15" t="n"/>
      <c r="AC40" s="15">
        <f>LEFT(AG40,2)&amp;LEFT(AI40,2)</f>
        <v/>
      </c>
      <c r="AD40" s="15" t="n"/>
      <c r="AE40" s="15">
        <f>IF(K40&gt;L40,1,0)</f>
        <v/>
      </c>
      <c r="AF40" s="16">
        <f>IF(H40&gt;I40,1,0)</f>
        <v/>
      </c>
      <c r="AG40" s="16">
        <f>IF(SUM(AE40:AF40)=2,"Anticipatory_Buy","No_Action")</f>
        <v/>
      </c>
      <c r="AH40" s="15" t="n"/>
      <c r="AI40" s="15">
        <f>IF(SUM(AJ40:AK40)=2,"Confirm_Buy","No_Action")</f>
        <v/>
      </c>
      <c r="AJ40" s="15">
        <f>IF(H40&gt;I40,1,0)</f>
        <v/>
      </c>
      <c r="AK40" s="15">
        <f>IF(K40&gt;M40,1,0)</f>
        <v/>
      </c>
    </row>
    <row r="41" ht="14.5" customHeight="1">
      <c r="A41" s="12" t="inlineStr">
        <is>
          <t>BAJAJHLDNG</t>
        </is>
      </c>
      <c r="B41" s="13">
        <f>IFERROR(__xludf.DUMMYFUNCTION("GOOGLEFINANCE(""NSE:""&amp;A41,""PRICE"")"),11080)</f>
        <v/>
      </c>
      <c r="C41" s="13">
        <f>IFERROR(__xludf.DUMMYFUNCTION("GOOGLEFINANCE(""NSE:""&amp;A41,""PRICEOPEN"")"),10700)</f>
        <v/>
      </c>
      <c r="D41" s="13">
        <f>IFERROR(__xludf.DUMMYFUNCTION("GOOGLEFINANCE(""NSE:""&amp;A41,""HIGH"")"),11244.45)</f>
        <v/>
      </c>
      <c r="E41" s="13">
        <f>IFERROR(__xludf.DUMMYFUNCTION("GOOGLEFINANCE(""NSE:""&amp;A41,""LOW"")"),10675.85)</f>
        <v/>
      </c>
      <c r="F41" s="13">
        <f>IFERROR(__xludf.DUMMYFUNCTION("GOOGLEFINANCE(""NSE:""&amp;A41,""closeyest"")"),10675.85)</f>
        <v/>
      </c>
      <c r="G41" s="14">
        <f>(B41-C41)/B41</f>
        <v/>
      </c>
      <c r="H41" s="13">
        <f>IFERROR(__xludf.DUMMYFUNCTION("GOOGLEFINANCE(""NSE:""&amp;A41,""VOLUME"")"),127070)</f>
        <v/>
      </c>
      <c r="I41" s="13">
        <f>IFERROR(__xludf.DUMMYFUNCTION("AVERAGE(index(GOOGLEFINANCE(""NSE:""&amp;$A41, ""volume"", today()-21, today()-1), , 2))"),"#N/A")</f>
        <v/>
      </c>
      <c r="J41" s="14">
        <f>(H41-I41)/I41</f>
        <v/>
      </c>
      <c r="K41" s="13">
        <f>IFERROR(__xludf.DUMMYFUNCTION("AVERAGE(index(GOOGLEFINANCE(""NSE:""&amp;$A41, ""close"", today()-6, today()-1), , 2))"),"#N/A")</f>
        <v/>
      </c>
      <c r="L41" s="13">
        <f>IFERROR(__xludf.DUMMYFUNCTION("AVERAGE(index(GOOGLEFINANCE(""NSE:""&amp;$A41, ""close"", today()-14, today()-1), , 2))"),"#N/A")</f>
        <v/>
      </c>
      <c r="M41" s="13">
        <f>IFERROR(__xludf.DUMMYFUNCTION("AVERAGE(index(GOOGLEFINANCE(""NSE:""&amp;$A41, ""close"", today()-22, today()-1), , 2))"),"#N/A")</f>
        <v/>
      </c>
      <c r="N41" s="13">
        <f>AG41</f>
        <v/>
      </c>
      <c r="O41" s="13">
        <f>AI41</f>
        <v/>
      </c>
      <c r="P41" s="13">
        <f>W41</f>
        <v/>
      </c>
      <c r="Q41" s="13">
        <f>Y41</f>
        <v/>
      </c>
      <c r="R41" s="15" t="n"/>
      <c r="S41" s="15">
        <f>LEFT(W41,2)&amp;LEFT(Y41,2)</f>
        <v/>
      </c>
      <c r="T41" s="15" t="n"/>
      <c r="U41" s="15">
        <f>IF(K41&lt;L41,1,0)</f>
        <v/>
      </c>
      <c r="V41" s="15">
        <f>IF(H41&gt;I41,1,0)</f>
        <v/>
      </c>
      <c r="W41" s="15">
        <f>IF(SUM(U41:V41)=2,"Anticipatory_Sell","No_Action")</f>
        <v/>
      </c>
      <c r="X41" s="15" t="n"/>
      <c r="Y41" s="15">
        <f>IF(SUM(Z41:AA41)=2,"Confirm_Sell","No_Action")</f>
        <v/>
      </c>
      <c r="Z41" s="15">
        <f>IF(H41&gt;I41,1,0)</f>
        <v/>
      </c>
      <c r="AA41" s="15">
        <f>IF(K41&lt;M41,1,0)</f>
        <v/>
      </c>
      <c r="AB41" s="15" t="n"/>
      <c r="AC41" s="15">
        <f>LEFT(AG41,2)&amp;LEFT(AI41,2)</f>
        <v/>
      </c>
      <c r="AD41" s="15" t="n"/>
      <c r="AE41" s="15">
        <f>IF(K41&gt;L41,1,0)</f>
        <v/>
      </c>
      <c r="AF41" s="16">
        <f>IF(H41&gt;I41,1,0)</f>
        <v/>
      </c>
      <c r="AG41" s="16">
        <f>IF(SUM(AE41:AF41)=2,"Anticipatory_Buy","No_Action")</f>
        <v/>
      </c>
      <c r="AH41" s="15" t="n"/>
      <c r="AI41" s="15">
        <f>IF(SUM(AJ41:AK41)=2,"Confirm_Buy","No_Action")</f>
        <v/>
      </c>
      <c r="AJ41" s="15">
        <f>IF(H41&gt;I41,1,0)</f>
        <v/>
      </c>
      <c r="AK41" s="15">
        <f>IF(K41&gt;M41,1,0)</f>
        <v/>
      </c>
    </row>
    <row r="42" ht="14.5" customHeight="1">
      <c r="A42" s="12" t="inlineStr">
        <is>
          <t>BALAMINES</t>
        </is>
      </c>
      <c r="B42" s="13">
        <f>IFERROR(__xludf.DUMMYFUNCTION("GOOGLEFINANCE(""NSE:""&amp;A42,""PRICE"")"),2051)</f>
        <v/>
      </c>
      <c r="C42" s="13">
        <f>IFERROR(__xludf.DUMMYFUNCTION("GOOGLEFINANCE(""NSE:""&amp;A42,""PRICEOPEN"")"),2080)</f>
        <v/>
      </c>
      <c r="D42" s="13">
        <f>IFERROR(__xludf.DUMMYFUNCTION("GOOGLEFINANCE(""NSE:""&amp;A42,""HIGH"")"),2084.6)</f>
        <v/>
      </c>
      <c r="E42" s="13">
        <f>IFERROR(__xludf.DUMMYFUNCTION("GOOGLEFINANCE(""NSE:""&amp;A42,""LOW"")"),2045)</f>
        <v/>
      </c>
      <c r="F42" s="13">
        <f>IFERROR(__xludf.DUMMYFUNCTION("GOOGLEFINANCE(""NSE:""&amp;A42,""closeyest"")"),2078.7)</f>
        <v/>
      </c>
      <c r="G42" s="14">
        <f>(B42-C42)/B42</f>
        <v/>
      </c>
      <c r="H42" s="13">
        <f>IFERROR(__xludf.DUMMYFUNCTION("GOOGLEFINANCE(""NSE:""&amp;A42,""VOLUME"")"),25020)</f>
        <v/>
      </c>
      <c r="I42" s="13">
        <f>IFERROR(__xludf.DUMMYFUNCTION("AVERAGE(index(GOOGLEFINANCE(""NSE:""&amp;$A42, ""volume"", today()-21, today()-1), , 2))"),"#N/A")</f>
        <v/>
      </c>
      <c r="J42" s="14">
        <f>(H42-I42)/I42</f>
        <v/>
      </c>
      <c r="K42" s="13">
        <f>IFERROR(__xludf.DUMMYFUNCTION("AVERAGE(index(GOOGLEFINANCE(""NSE:""&amp;$A42, ""close"", today()-6, today()-1), , 2))"),"#N/A")</f>
        <v/>
      </c>
      <c r="L42" s="13">
        <f>IFERROR(__xludf.DUMMYFUNCTION("AVERAGE(index(GOOGLEFINANCE(""NSE:""&amp;$A42, ""close"", today()-14, today()-1), , 2))"),"#N/A")</f>
        <v/>
      </c>
      <c r="M42" s="13">
        <f>IFERROR(__xludf.DUMMYFUNCTION("AVERAGE(index(GOOGLEFINANCE(""NSE:""&amp;$A42, ""close"", today()-22, today()-1), , 2))"),"#N/A")</f>
        <v/>
      </c>
      <c r="N42" s="13">
        <f>AG42</f>
        <v/>
      </c>
      <c r="O42" s="13">
        <f>AI42</f>
        <v/>
      </c>
      <c r="P42" s="13">
        <f>W42</f>
        <v/>
      </c>
      <c r="Q42" s="13">
        <f>Y42</f>
        <v/>
      </c>
      <c r="R42" s="15" t="n"/>
      <c r="S42" s="15">
        <f>LEFT(W42,2)&amp;LEFT(Y42,2)</f>
        <v/>
      </c>
      <c r="T42" s="15" t="n"/>
      <c r="U42" s="15">
        <f>IF(K42&lt;L42,1,0)</f>
        <v/>
      </c>
      <c r="V42" s="15">
        <f>IF(H42&gt;I42,1,0)</f>
        <v/>
      </c>
      <c r="W42" s="15">
        <f>IF(SUM(U42:V42)=2,"Anticipatory_Sell","No_Action")</f>
        <v/>
      </c>
      <c r="X42" s="15" t="n"/>
      <c r="Y42" s="15">
        <f>IF(SUM(Z42:AA42)=2,"Confirm_Sell","No_Action")</f>
        <v/>
      </c>
      <c r="Z42" s="15">
        <f>IF(H42&gt;I42,1,0)</f>
        <v/>
      </c>
      <c r="AA42" s="15">
        <f>IF(K42&lt;M42,1,0)</f>
        <v/>
      </c>
      <c r="AB42" s="15" t="n"/>
      <c r="AC42" s="15">
        <f>LEFT(AG42,2)&amp;LEFT(AI42,2)</f>
        <v/>
      </c>
      <c r="AD42" s="15" t="n"/>
      <c r="AE42" s="15">
        <f>IF(K42&gt;L42,1,0)</f>
        <v/>
      </c>
      <c r="AF42" s="16">
        <f>IF(H42&gt;I42,1,0)</f>
        <v/>
      </c>
      <c r="AG42" s="16">
        <f>IF(SUM(AE42:AF42)=2,"Anticipatory_Buy","No_Action")</f>
        <v/>
      </c>
      <c r="AH42" s="15" t="n"/>
      <c r="AI42" s="15">
        <f>IF(SUM(AJ42:AK42)=2,"Confirm_Buy","No_Action")</f>
        <v/>
      </c>
      <c r="AJ42" s="15">
        <f>IF(H42&gt;I42,1,0)</f>
        <v/>
      </c>
      <c r="AK42" s="15">
        <f>IF(K42&gt;M42,1,0)</f>
        <v/>
      </c>
    </row>
    <row r="43" ht="14.5" customHeight="1">
      <c r="A43" s="12" t="inlineStr">
        <is>
          <t>BALKRISIND</t>
        </is>
      </c>
      <c r="B43" s="13">
        <f>IFERROR(__xludf.DUMMYFUNCTION("GOOGLEFINANCE(""NSE:""&amp;A43,""PRICE"")"),2860)</f>
        <v/>
      </c>
      <c r="C43" s="13">
        <f>IFERROR(__xludf.DUMMYFUNCTION("GOOGLEFINANCE(""NSE:""&amp;A43,""PRICEOPEN"")"),2800.15)</f>
        <v/>
      </c>
      <c r="D43" s="13">
        <f>IFERROR(__xludf.DUMMYFUNCTION("GOOGLEFINANCE(""NSE:""&amp;A43,""HIGH"")"),2894.5)</f>
        <v/>
      </c>
      <c r="E43" s="13">
        <f>IFERROR(__xludf.DUMMYFUNCTION("GOOGLEFINANCE(""NSE:""&amp;A43,""LOW"")"),2682.05)</f>
        <v/>
      </c>
      <c r="F43" s="13">
        <f>IFERROR(__xludf.DUMMYFUNCTION("GOOGLEFINANCE(""NSE:""&amp;A43,""closeyest"")"),2806.7)</f>
        <v/>
      </c>
      <c r="G43" s="14">
        <f>(B43-C43)/B43</f>
        <v/>
      </c>
      <c r="H43" s="13">
        <f>IFERROR(__xludf.DUMMYFUNCTION("GOOGLEFINANCE(""NSE:""&amp;A43,""VOLUME"")"),259452)</f>
        <v/>
      </c>
      <c r="I43" s="13">
        <f>IFERROR(__xludf.DUMMYFUNCTION("AVERAGE(index(GOOGLEFINANCE(""NSE:""&amp;$A43, ""volume"", today()-21, today()-1), , 2))"),"#N/A")</f>
        <v/>
      </c>
      <c r="J43" s="14">
        <f>(H43-I43)/I43</f>
        <v/>
      </c>
      <c r="K43" s="13">
        <f>IFERROR(__xludf.DUMMYFUNCTION("AVERAGE(index(GOOGLEFINANCE(""NSE:""&amp;$A43, ""close"", today()-6, today()-1), , 2))"),"#N/A")</f>
        <v/>
      </c>
      <c r="L43" s="13">
        <f>IFERROR(__xludf.DUMMYFUNCTION("AVERAGE(index(GOOGLEFINANCE(""NSE:""&amp;$A43, ""close"", today()-14, today()-1), , 2))"),"#N/A")</f>
        <v/>
      </c>
      <c r="M43" s="13">
        <f>IFERROR(__xludf.DUMMYFUNCTION("AVERAGE(index(GOOGLEFINANCE(""NSE:""&amp;$A43, ""close"", today()-22, today()-1), , 2))"),"#N/A")</f>
        <v/>
      </c>
      <c r="N43" s="13">
        <f>AG43</f>
        <v/>
      </c>
      <c r="O43" s="13">
        <f>AI43</f>
        <v/>
      </c>
      <c r="P43" s="13">
        <f>W43</f>
        <v/>
      </c>
      <c r="Q43" s="13">
        <f>Y43</f>
        <v/>
      </c>
      <c r="R43" s="15" t="n"/>
      <c r="S43" s="15">
        <f>LEFT(W43,2)&amp;LEFT(Y43,2)</f>
        <v/>
      </c>
      <c r="T43" s="15" t="n"/>
      <c r="U43" s="15">
        <f>IF(K43&lt;L43,1,0)</f>
        <v/>
      </c>
      <c r="V43" s="15">
        <f>IF(H43&gt;I43,1,0)</f>
        <v/>
      </c>
      <c r="W43" s="15">
        <f>IF(SUM(U43:V43)=2,"Anticipatory_Sell","No_Action")</f>
        <v/>
      </c>
      <c r="X43" s="15" t="n"/>
      <c r="Y43" s="15">
        <f>IF(SUM(Z43:AA43)=2,"Confirm_Sell","No_Action")</f>
        <v/>
      </c>
      <c r="Z43" s="15">
        <f>IF(H43&gt;I43,1,0)</f>
        <v/>
      </c>
      <c r="AA43" s="15">
        <f>IF(K43&lt;M43,1,0)</f>
        <v/>
      </c>
      <c r="AB43" s="15" t="n"/>
      <c r="AC43" s="15">
        <f>LEFT(AG43,2)&amp;LEFT(AI43,2)</f>
        <v/>
      </c>
      <c r="AD43" s="15" t="n"/>
      <c r="AE43" s="15">
        <f>IF(K43&gt;L43,1,0)</f>
        <v/>
      </c>
      <c r="AF43" s="16">
        <f>IF(H43&gt;I43,1,0)</f>
        <v/>
      </c>
      <c r="AG43" s="16">
        <f>IF(SUM(AE43:AF43)=2,"Anticipatory_Buy","No_Action")</f>
        <v/>
      </c>
      <c r="AH43" s="15" t="n"/>
      <c r="AI43" s="15">
        <f>IF(SUM(AJ43:AK43)=2,"Confirm_Buy","No_Action")</f>
        <v/>
      </c>
      <c r="AJ43" s="15">
        <f>IF(H43&gt;I43,1,0)</f>
        <v/>
      </c>
      <c r="AK43" s="15">
        <f>IF(K43&gt;M43,1,0)</f>
        <v/>
      </c>
    </row>
    <row r="44" ht="14.5" customHeight="1">
      <c r="A44" s="12" t="inlineStr">
        <is>
          <t>BALRAMCHIN</t>
        </is>
      </c>
      <c r="B44" s="13">
        <f>IFERROR(__xludf.DUMMYFUNCTION("GOOGLEFINANCE(""NSE:""&amp;A44,""PRICE"")"),575)</f>
        <v/>
      </c>
      <c r="C44" s="13">
        <f>IFERROR(__xludf.DUMMYFUNCTION("GOOGLEFINANCE(""NSE:""&amp;A44,""PRICEOPEN"")"),584)</f>
        <v/>
      </c>
      <c r="D44" s="13">
        <f>IFERROR(__xludf.DUMMYFUNCTION("GOOGLEFINANCE(""NSE:""&amp;A44,""HIGH"")"),588.4)</f>
        <v/>
      </c>
      <c r="E44" s="13">
        <f>IFERROR(__xludf.DUMMYFUNCTION("GOOGLEFINANCE(""NSE:""&amp;A44,""LOW"")"),568.75)</f>
        <v/>
      </c>
      <c r="F44" s="13">
        <f>IFERROR(__xludf.DUMMYFUNCTION("GOOGLEFINANCE(""NSE:""&amp;A44,""closeyest"")"),583.95)</f>
        <v/>
      </c>
      <c r="G44" s="14">
        <f>(B44-C44)/B44</f>
        <v/>
      </c>
      <c r="H44" s="13">
        <f>IFERROR(__xludf.DUMMYFUNCTION("GOOGLEFINANCE(""NSE:""&amp;A44,""VOLUME"")"),683540)</f>
        <v/>
      </c>
      <c r="I44" s="13">
        <f>IFERROR(__xludf.DUMMYFUNCTION("AVERAGE(index(GOOGLEFINANCE(""NSE:""&amp;$A44, ""volume"", today()-21, today()-1), , 2))"),"#N/A")</f>
        <v/>
      </c>
      <c r="J44" s="14">
        <f>(H44-I44)/I44</f>
        <v/>
      </c>
      <c r="K44" s="13">
        <f>IFERROR(__xludf.DUMMYFUNCTION("AVERAGE(index(GOOGLEFINANCE(""NSE:""&amp;$A44, ""close"", today()-6, today()-1), , 2))"),"#N/A")</f>
        <v/>
      </c>
      <c r="L44" s="13">
        <f>IFERROR(__xludf.DUMMYFUNCTION("AVERAGE(index(GOOGLEFINANCE(""NSE:""&amp;$A44, ""close"", today()-14, today()-1), , 2))"),"#N/A")</f>
        <v/>
      </c>
      <c r="M44" s="13">
        <f>IFERROR(__xludf.DUMMYFUNCTION("AVERAGE(index(GOOGLEFINANCE(""NSE:""&amp;$A44, ""close"", today()-22, today()-1), , 2))"),"#N/A")</f>
        <v/>
      </c>
      <c r="N44" s="13">
        <f>AG44</f>
        <v/>
      </c>
      <c r="O44" s="13">
        <f>AI44</f>
        <v/>
      </c>
      <c r="P44" s="13">
        <f>W44</f>
        <v/>
      </c>
      <c r="Q44" s="13">
        <f>Y44</f>
        <v/>
      </c>
      <c r="R44" s="15" t="n"/>
      <c r="S44" s="15">
        <f>LEFT(W44,2)&amp;LEFT(Y44,2)</f>
        <v/>
      </c>
      <c r="T44" s="15" t="n"/>
      <c r="U44" s="15">
        <f>IF(K44&lt;L44,1,0)</f>
        <v/>
      </c>
      <c r="V44" s="15">
        <f>IF(H44&gt;I44,1,0)</f>
        <v/>
      </c>
      <c r="W44" s="15">
        <f>IF(SUM(U44:V44)=2,"Anticipatory_Sell","No_Action")</f>
        <v/>
      </c>
      <c r="X44" s="15" t="n"/>
      <c r="Y44" s="15">
        <f>IF(SUM(Z44:AA44)=2,"Confirm_Sell","No_Action")</f>
        <v/>
      </c>
      <c r="Z44" s="15">
        <f>IF(H44&gt;I44,1,0)</f>
        <v/>
      </c>
      <c r="AA44" s="15">
        <f>IF(K44&lt;M44,1,0)</f>
        <v/>
      </c>
      <c r="AB44" s="15" t="n"/>
      <c r="AC44" s="15">
        <f>LEFT(AG44,2)&amp;LEFT(AI44,2)</f>
        <v/>
      </c>
      <c r="AD44" s="15" t="n"/>
      <c r="AE44" s="15">
        <f>IF(K44&gt;L44,1,0)</f>
        <v/>
      </c>
      <c r="AF44" s="16">
        <f>IF(H44&gt;I44,1,0)</f>
        <v/>
      </c>
      <c r="AG44" s="16">
        <f>IF(SUM(AE44:AF44)=2,"Anticipatory_Buy","No_Action")</f>
        <v/>
      </c>
      <c r="AH44" s="15" t="n"/>
      <c r="AI44" s="15">
        <f>IF(SUM(AJ44:AK44)=2,"Confirm_Buy","No_Action")</f>
        <v/>
      </c>
      <c r="AJ44" s="15">
        <f>IF(H44&gt;I44,1,0)</f>
        <v/>
      </c>
      <c r="AK44" s="15">
        <f>IF(K44&gt;M44,1,0)</f>
        <v/>
      </c>
    </row>
    <row r="45" ht="14.5" customHeight="1">
      <c r="A45" s="12" t="inlineStr">
        <is>
          <t>BALUFORGE</t>
        </is>
      </c>
      <c r="B45" s="13">
        <f>IFERROR(__xludf.DUMMYFUNCTION("GOOGLEFINANCE(""NSE:""&amp;A45,""PRICE"")"),805)</f>
        <v/>
      </c>
      <c r="C45" s="13">
        <f>IFERROR(__xludf.DUMMYFUNCTION("GOOGLEFINANCE(""NSE:""&amp;A45,""PRICEOPEN"")"),812)</f>
        <v/>
      </c>
      <c r="D45" s="13">
        <f>IFERROR(__xludf.DUMMYFUNCTION("GOOGLEFINANCE(""NSE:""&amp;A45,""HIGH"")"),824)</f>
        <v/>
      </c>
      <c r="E45" s="13">
        <f>IFERROR(__xludf.DUMMYFUNCTION("GOOGLEFINANCE(""NSE:""&amp;A45,""LOW"")"),788.1)</f>
        <v/>
      </c>
      <c r="F45" s="13">
        <f>IFERROR(__xludf.DUMMYFUNCTION("GOOGLEFINANCE(""NSE:""&amp;A45,""closeyest"")"),806.75)</f>
        <v/>
      </c>
      <c r="G45" s="14">
        <f>(B45-C45)/B45</f>
        <v/>
      </c>
      <c r="H45" s="13">
        <f>IFERROR(__xludf.DUMMYFUNCTION("GOOGLEFINANCE(""NSE:""&amp;A45,""VOLUME"")"),610217)</f>
        <v/>
      </c>
      <c r="I45" s="13">
        <f>IFERROR(__xludf.DUMMYFUNCTION("AVERAGE(index(GOOGLEFINANCE(""NSE:""&amp;$A45, ""volume"", today()-21, today()-1), , 2))"),"#N/A")</f>
        <v/>
      </c>
      <c r="J45" s="14">
        <f>(H45-I45)/I45</f>
        <v/>
      </c>
      <c r="K45" s="13">
        <f>IFERROR(__xludf.DUMMYFUNCTION("AVERAGE(index(GOOGLEFINANCE(""NSE:""&amp;$A45, ""close"", today()-6, today()-1), , 2))"),"#N/A")</f>
        <v/>
      </c>
      <c r="L45" s="13">
        <f>IFERROR(__xludf.DUMMYFUNCTION("AVERAGE(index(GOOGLEFINANCE(""NSE:""&amp;$A45, ""close"", today()-14, today()-1), , 2))"),"#N/A")</f>
        <v/>
      </c>
      <c r="M45" s="13">
        <f>IFERROR(__xludf.DUMMYFUNCTION("AVERAGE(index(GOOGLEFINANCE(""NSE:""&amp;$A45, ""close"", today()-22, today()-1), , 2))"),"#N/A")</f>
        <v/>
      </c>
      <c r="N45" s="13">
        <f>AG45</f>
        <v/>
      </c>
      <c r="O45" s="13">
        <f>AI45</f>
        <v/>
      </c>
      <c r="P45" s="13">
        <f>W45</f>
        <v/>
      </c>
      <c r="Q45" s="13">
        <f>Y45</f>
        <v/>
      </c>
      <c r="R45" s="15" t="n"/>
      <c r="S45" s="15">
        <f>LEFT(W45,2)&amp;LEFT(Y45,2)</f>
        <v/>
      </c>
      <c r="T45" s="15" t="n"/>
      <c r="U45" s="15">
        <f>IF(K45&lt;L45,1,0)</f>
        <v/>
      </c>
      <c r="V45" s="15">
        <f>IF(H45&gt;I45,1,0)</f>
        <v/>
      </c>
      <c r="W45" s="15">
        <f>IF(SUM(U45:V45)=2,"Anticipatory_Sell","No_Action")</f>
        <v/>
      </c>
      <c r="X45" s="15" t="n"/>
      <c r="Y45" s="15">
        <f>IF(SUM(Z45:AA45)=2,"Confirm_Sell","No_Action")</f>
        <v/>
      </c>
      <c r="Z45" s="15">
        <f>IF(H45&gt;I45,1,0)</f>
        <v/>
      </c>
      <c r="AA45" s="15">
        <f>IF(K45&lt;M45,1,0)</f>
        <v/>
      </c>
      <c r="AB45" s="15" t="n"/>
      <c r="AC45" s="15">
        <f>LEFT(AG45,2)&amp;LEFT(AI45,2)</f>
        <v/>
      </c>
      <c r="AD45" s="15" t="n"/>
      <c r="AE45" s="15">
        <f>IF(K45&gt;L45,1,0)</f>
        <v/>
      </c>
      <c r="AF45" s="16">
        <f>IF(H45&gt;I45,1,0)</f>
        <v/>
      </c>
      <c r="AG45" s="16">
        <f>IF(SUM(AE45:AF45)=2,"Anticipatory_Buy","No_Action")</f>
        <v/>
      </c>
      <c r="AH45" s="15" t="n"/>
      <c r="AI45" s="15">
        <f>IF(SUM(AJ45:AK45)=2,"Confirm_Buy","No_Action")</f>
        <v/>
      </c>
      <c r="AJ45" s="15">
        <f>IF(H45&gt;I45,1,0)</f>
        <v/>
      </c>
      <c r="AK45" s="15">
        <f>IF(K45&gt;M45,1,0)</f>
        <v/>
      </c>
    </row>
    <row r="46" ht="14.5" customHeight="1">
      <c r="A46" s="12" t="inlineStr">
        <is>
          <t>BANKBARODA</t>
        </is>
      </c>
      <c r="B46" s="13">
        <f>IFERROR(__xludf.DUMMYFUNCTION("GOOGLEFINANCE(""NSE:""&amp;A46,""PRICE"")"),262.9)</f>
        <v/>
      </c>
      <c r="C46" s="13">
        <f>IFERROR(__xludf.DUMMYFUNCTION("GOOGLEFINANCE(""NSE:""&amp;A46,""PRICEOPEN"")"),263)</f>
        <v/>
      </c>
      <c r="D46" s="13">
        <f>IFERROR(__xludf.DUMMYFUNCTION("GOOGLEFINANCE(""NSE:""&amp;A46,""HIGH"")"),264.8)</f>
        <v/>
      </c>
      <c r="E46" s="13">
        <f>IFERROR(__xludf.DUMMYFUNCTION("GOOGLEFINANCE(""NSE:""&amp;A46,""LOW"")"),261.32)</f>
        <v/>
      </c>
      <c r="F46" s="13">
        <f>IFERROR(__xludf.DUMMYFUNCTION("GOOGLEFINANCE(""NSE:""&amp;A46,""closeyest"")"),264.6)</f>
        <v/>
      </c>
      <c r="G46" s="14">
        <f>(B46-C46)/B46</f>
        <v/>
      </c>
      <c r="H46" s="13">
        <f>IFERROR(__xludf.DUMMYFUNCTION("GOOGLEFINANCE(""NSE:""&amp;A46,""VOLUME"")"),9706145)</f>
        <v/>
      </c>
      <c r="I46" s="13">
        <f>IFERROR(__xludf.DUMMYFUNCTION("AVERAGE(index(GOOGLEFINANCE(""NSE:""&amp;$A46, ""volume"", today()-21, today()-1), , 2))"),"#N/A")</f>
        <v/>
      </c>
      <c r="J46" s="14">
        <f>(H46-I46)/I46</f>
        <v/>
      </c>
      <c r="K46" s="13">
        <f>IFERROR(__xludf.DUMMYFUNCTION("AVERAGE(index(GOOGLEFINANCE(""NSE:""&amp;$A46, ""close"", today()-6, today()-1), , 2))"),"#N/A")</f>
        <v/>
      </c>
      <c r="L46" s="13">
        <f>IFERROR(__xludf.DUMMYFUNCTION("AVERAGE(index(GOOGLEFINANCE(""NSE:""&amp;$A46, ""close"", today()-14, today()-1), , 2))"),"#N/A")</f>
        <v/>
      </c>
      <c r="M46" s="13">
        <f>IFERROR(__xludf.DUMMYFUNCTION("AVERAGE(index(GOOGLEFINANCE(""NSE:""&amp;$A46, ""close"", today()-22, today()-1), , 2))"),"#N/A")</f>
        <v/>
      </c>
      <c r="N46" s="13">
        <f>AG46</f>
        <v/>
      </c>
      <c r="O46" s="13">
        <f>AI46</f>
        <v/>
      </c>
      <c r="P46" s="13">
        <f>W46</f>
        <v/>
      </c>
      <c r="Q46" s="13">
        <f>Y46</f>
        <v/>
      </c>
      <c r="R46" s="15" t="n"/>
      <c r="S46" s="15">
        <f>LEFT(W46,2)&amp;LEFT(Y46,2)</f>
        <v/>
      </c>
      <c r="T46" s="15" t="n"/>
      <c r="U46" s="15">
        <f>IF(K46&lt;L46,1,0)</f>
        <v/>
      </c>
      <c r="V46" s="15">
        <f>IF(H46&gt;I46,1,0)</f>
        <v/>
      </c>
      <c r="W46" s="15">
        <f>IF(SUM(U46:V46)=2,"Anticipatory_Sell","No_Action")</f>
        <v/>
      </c>
      <c r="X46" s="15" t="n"/>
      <c r="Y46" s="15">
        <f>IF(SUM(Z46:AA46)=2,"Confirm_Sell","No_Action")</f>
        <v/>
      </c>
      <c r="Z46" s="15">
        <f>IF(H46&gt;I46,1,0)</f>
        <v/>
      </c>
      <c r="AA46" s="15">
        <f>IF(K46&lt;M46,1,0)</f>
        <v/>
      </c>
      <c r="AB46" s="15" t="n"/>
      <c r="AC46" s="15">
        <f>LEFT(AG46,2)&amp;LEFT(AI46,2)</f>
        <v/>
      </c>
      <c r="AD46" s="15" t="n"/>
      <c r="AE46" s="15">
        <f>IF(K46&gt;L46,1,0)</f>
        <v/>
      </c>
      <c r="AF46" s="16">
        <f>IF(H46&gt;I46,1,0)</f>
        <v/>
      </c>
      <c r="AG46" s="16">
        <f>IF(SUM(AE46:AF46)=2,"Anticipatory_Buy","No_Action")</f>
        <v/>
      </c>
      <c r="AH46" s="15" t="n"/>
      <c r="AI46" s="15">
        <f>IF(SUM(AJ46:AK46)=2,"Confirm_Buy","No_Action")</f>
        <v/>
      </c>
      <c r="AJ46" s="15">
        <f>IF(H46&gt;I46,1,0)</f>
        <v/>
      </c>
      <c r="AK46" s="15">
        <f>IF(K46&gt;M46,1,0)</f>
        <v/>
      </c>
    </row>
    <row r="47" ht="14.5" customHeight="1">
      <c r="A47" s="12" t="inlineStr">
        <is>
          <t>MAHABANK</t>
        </is>
      </c>
      <c r="B47" s="13">
        <f>IFERROR(__xludf.DUMMYFUNCTION("GOOGLEFINANCE(""NSE:""&amp;A47,""PRICE"")"),57.3)</f>
        <v/>
      </c>
      <c r="C47" s="13">
        <f>IFERROR(__xludf.DUMMYFUNCTION("GOOGLEFINANCE(""NSE:""&amp;A47,""PRICEOPEN"")"),58.14)</f>
        <v/>
      </c>
      <c r="D47" s="13">
        <f>IFERROR(__xludf.DUMMYFUNCTION("GOOGLEFINANCE(""NSE:""&amp;A47,""HIGH"")"),58.56)</f>
        <v/>
      </c>
      <c r="E47" s="13">
        <f>IFERROR(__xludf.DUMMYFUNCTION("GOOGLEFINANCE(""NSE:""&amp;A47,""LOW"")"),57.11)</f>
        <v/>
      </c>
      <c r="F47" s="13">
        <f>IFERROR(__xludf.DUMMYFUNCTION("GOOGLEFINANCE(""NSE:""&amp;A47,""closeyest"")"),57.84)</f>
        <v/>
      </c>
      <c r="G47" s="14">
        <f>(B47-C47)/B47</f>
        <v/>
      </c>
      <c r="H47" s="13">
        <f>IFERROR(__xludf.DUMMYFUNCTION("GOOGLEFINANCE(""NSE:""&amp;A47,""VOLUME"")"),13119585)</f>
        <v/>
      </c>
      <c r="I47" s="13">
        <f>IFERROR(__xludf.DUMMYFUNCTION("AVERAGE(index(GOOGLEFINANCE(""NSE:""&amp;$A47, ""volume"", today()-21, today()-1), , 2))"),"#N/A")</f>
        <v/>
      </c>
      <c r="J47" s="14">
        <f>(H47-I47)/I47</f>
        <v/>
      </c>
      <c r="K47" s="13">
        <f>IFERROR(__xludf.DUMMYFUNCTION("AVERAGE(index(GOOGLEFINANCE(""NSE:""&amp;$A47, ""close"", today()-6, today()-1), , 2))"),"#N/A")</f>
        <v/>
      </c>
      <c r="L47" s="13">
        <f>IFERROR(__xludf.DUMMYFUNCTION("AVERAGE(index(GOOGLEFINANCE(""NSE:""&amp;$A47, ""close"", today()-14, today()-1), , 2))"),"#N/A")</f>
        <v/>
      </c>
      <c r="M47" s="13">
        <f>IFERROR(__xludf.DUMMYFUNCTION("AVERAGE(index(GOOGLEFINANCE(""NSE:""&amp;$A47, ""close"", today()-22, today()-1), , 2))"),"#N/A")</f>
        <v/>
      </c>
      <c r="N47" s="13">
        <f>AG47</f>
        <v/>
      </c>
      <c r="O47" s="13">
        <f>AI47</f>
        <v/>
      </c>
      <c r="P47" s="13">
        <f>W47</f>
        <v/>
      </c>
      <c r="Q47" s="13">
        <f>Y47</f>
        <v/>
      </c>
      <c r="R47" s="15" t="n"/>
      <c r="S47" s="15">
        <f>LEFT(W47,2)&amp;LEFT(Y47,2)</f>
        <v/>
      </c>
      <c r="T47" s="15" t="n"/>
      <c r="U47" s="15">
        <f>IF(K47&lt;L47,1,0)</f>
        <v/>
      </c>
      <c r="V47" s="15">
        <f>IF(H47&gt;I47,1,0)</f>
        <v/>
      </c>
      <c r="W47" s="15">
        <f>IF(SUM(U47:V47)=2,"Anticipatory_Sell","No_Action")</f>
        <v/>
      </c>
      <c r="X47" s="15" t="n"/>
      <c r="Y47" s="15">
        <f>IF(SUM(Z47:AA47)=2,"Confirm_Sell","No_Action")</f>
        <v/>
      </c>
      <c r="Z47" s="15">
        <f>IF(H47&gt;I47,1,0)</f>
        <v/>
      </c>
      <c r="AA47" s="15">
        <f>IF(K47&lt;M47,1,0)</f>
        <v/>
      </c>
      <c r="AB47" s="15" t="n"/>
      <c r="AC47" s="15">
        <f>LEFT(AG47,2)&amp;LEFT(AI47,2)</f>
        <v/>
      </c>
      <c r="AD47" s="15" t="n"/>
      <c r="AE47" s="15">
        <f>IF(K47&gt;L47,1,0)</f>
        <v/>
      </c>
      <c r="AF47" s="16">
        <f>IF(H47&gt;I47,1,0)</f>
        <v/>
      </c>
      <c r="AG47" s="16">
        <f>IF(SUM(AE47:AF47)=2,"Anticipatory_Buy","No_Action")</f>
        <v/>
      </c>
      <c r="AH47" s="15" t="n"/>
      <c r="AI47" s="15">
        <f>IF(SUM(AJ47:AK47)=2,"Confirm_Buy","No_Action")</f>
        <v/>
      </c>
      <c r="AJ47" s="15">
        <f>IF(H47&gt;I47,1,0)</f>
        <v/>
      </c>
      <c r="AK47" s="15">
        <f>IF(K47&gt;M47,1,0)</f>
        <v/>
      </c>
    </row>
    <row r="48" ht="14.5" customHeight="1">
      <c r="A48" s="12" t="inlineStr">
        <is>
          <t>BATAINDIA</t>
        </is>
      </c>
      <c r="B48" s="13">
        <f>IFERROR(__xludf.DUMMYFUNCTION("GOOGLEFINANCE(""NSE:""&amp;A48,""PRICE"")"),1445.1)</f>
        <v/>
      </c>
      <c r="C48" s="13">
        <f>IFERROR(__xludf.DUMMYFUNCTION("GOOGLEFINANCE(""NSE:""&amp;A48,""PRICEOPEN"")"),1448.8)</f>
        <v/>
      </c>
      <c r="D48" s="13">
        <f>IFERROR(__xludf.DUMMYFUNCTION("GOOGLEFINANCE(""NSE:""&amp;A48,""HIGH"")"),1457.5)</f>
        <v/>
      </c>
      <c r="E48" s="13">
        <f>IFERROR(__xludf.DUMMYFUNCTION("GOOGLEFINANCE(""NSE:""&amp;A48,""LOW"")"),1439.35)</f>
        <v/>
      </c>
      <c r="F48" s="13">
        <f>IFERROR(__xludf.DUMMYFUNCTION("GOOGLEFINANCE(""NSE:""&amp;A48,""closeyest"")"),1447)</f>
        <v/>
      </c>
      <c r="G48" s="14">
        <f>(B48-C48)/B48</f>
        <v/>
      </c>
      <c r="H48" s="13">
        <f>IFERROR(__xludf.DUMMYFUNCTION("GOOGLEFINANCE(""NSE:""&amp;A48,""VOLUME"")"),119924)</f>
        <v/>
      </c>
      <c r="I48" s="13">
        <f>IFERROR(__xludf.DUMMYFUNCTION("AVERAGE(index(GOOGLEFINANCE(""NSE:""&amp;$A48, ""volume"", today()-21, today()-1), , 2))"),"#N/A")</f>
        <v/>
      </c>
      <c r="J48" s="14">
        <f>(H48-I48)/I48</f>
        <v/>
      </c>
      <c r="K48" s="13">
        <f>IFERROR(__xludf.DUMMYFUNCTION("AVERAGE(index(GOOGLEFINANCE(""NSE:""&amp;$A48, ""close"", today()-6, today()-1), , 2))"),"#N/A")</f>
        <v/>
      </c>
      <c r="L48" s="13">
        <f>IFERROR(__xludf.DUMMYFUNCTION("AVERAGE(index(GOOGLEFINANCE(""NSE:""&amp;$A48, ""close"", today()-14, today()-1), , 2))"),"#N/A")</f>
        <v/>
      </c>
      <c r="M48" s="13">
        <f>IFERROR(__xludf.DUMMYFUNCTION("AVERAGE(index(GOOGLEFINANCE(""NSE:""&amp;$A48, ""close"", today()-22, today()-1), , 2))"),"#N/A")</f>
        <v/>
      </c>
      <c r="N48" s="13">
        <f>AG48</f>
        <v/>
      </c>
      <c r="O48" s="13">
        <f>AI48</f>
        <v/>
      </c>
      <c r="P48" s="13">
        <f>W48</f>
        <v/>
      </c>
      <c r="Q48" s="13">
        <f>Y48</f>
        <v/>
      </c>
      <c r="R48" s="15" t="n"/>
      <c r="S48" s="15">
        <f>LEFT(W48,2)&amp;LEFT(Y48,2)</f>
        <v/>
      </c>
      <c r="T48" s="15" t="n"/>
      <c r="U48" s="15">
        <f>IF(K48&lt;L48,1,0)</f>
        <v/>
      </c>
      <c r="V48" s="15">
        <f>IF(H48&gt;I48,1,0)</f>
        <v/>
      </c>
      <c r="W48" s="15">
        <f>IF(SUM(U48:V48)=2,"Anticipatory_Sell","No_Action")</f>
        <v/>
      </c>
      <c r="X48" s="15" t="n"/>
      <c r="Y48" s="15">
        <f>IF(SUM(Z48:AA48)=2,"Confirm_Sell","No_Action")</f>
        <v/>
      </c>
      <c r="Z48" s="15">
        <f>IF(H48&gt;I48,1,0)</f>
        <v/>
      </c>
      <c r="AA48" s="15">
        <f>IF(K48&lt;M48,1,0)</f>
        <v/>
      </c>
      <c r="AB48" s="15" t="n"/>
      <c r="AC48" s="15">
        <f>LEFT(AG48,2)&amp;LEFT(AI48,2)</f>
        <v/>
      </c>
      <c r="AD48" s="15" t="n"/>
      <c r="AE48" s="15">
        <f>IF(K48&gt;L48,1,0)</f>
        <v/>
      </c>
      <c r="AF48" s="16">
        <f>IF(H48&gt;I48,1,0)</f>
        <v/>
      </c>
      <c r="AG48" s="16">
        <f>IF(SUM(AE48:AF48)=2,"Anticipatory_Buy","No_Action")</f>
        <v/>
      </c>
      <c r="AH48" s="15" t="n"/>
      <c r="AI48" s="15">
        <f>IF(SUM(AJ48:AK48)=2,"Confirm_Buy","No_Action")</f>
        <v/>
      </c>
      <c r="AJ48" s="15">
        <f>IF(H48&gt;I48,1,0)</f>
        <v/>
      </c>
      <c r="AK48" s="15">
        <f>IF(K48&gt;M48,1,0)</f>
        <v/>
      </c>
    </row>
    <row r="49" ht="14.5" customHeight="1">
      <c r="A49" s="12" t="inlineStr">
        <is>
          <t>BAYERCROP</t>
        </is>
      </c>
      <c r="B49" s="13">
        <f>IFERROR(__xludf.DUMMYFUNCTION("GOOGLEFINANCE(""NSE:""&amp;A49,""PRICE"")"),6068)</f>
        <v/>
      </c>
      <c r="C49" s="13">
        <f>IFERROR(__xludf.DUMMYFUNCTION("GOOGLEFINANCE(""NSE:""&amp;A49,""PRICEOPEN"")"),6037.95)</f>
        <v/>
      </c>
      <c r="D49" s="13">
        <f>IFERROR(__xludf.DUMMYFUNCTION("GOOGLEFINANCE(""NSE:""&amp;A49,""HIGH"")"),6105)</f>
        <v/>
      </c>
      <c r="E49" s="13">
        <f>IFERROR(__xludf.DUMMYFUNCTION("GOOGLEFINANCE(""NSE:""&amp;A49,""LOW"")"),6009.65)</f>
        <v/>
      </c>
      <c r="F49" s="13">
        <f>IFERROR(__xludf.DUMMYFUNCTION("GOOGLEFINANCE(""NSE:""&amp;A49,""closeyest"")"),6037.95)</f>
        <v/>
      </c>
      <c r="G49" s="14">
        <f>(B49-C49)/B49</f>
        <v/>
      </c>
      <c r="H49" s="13">
        <f>IFERROR(__xludf.DUMMYFUNCTION("GOOGLEFINANCE(""NSE:""&amp;A49,""VOLUME"")"),12050)</f>
        <v/>
      </c>
      <c r="I49" s="13">
        <f>IFERROR(__xludf.DUMMYFUNCTION("AVERAGE(index(GOOGLEFINANCE(""NSE:""&amp;$A49, ""volume"", today()-21, today()-1), , 2))"),"#N/A")</f>
        <v/>
      </c>
      <c r="J49" s="14">
        <f>(H49-I49)/I49</f>
        <v/>
      </c>
      <c r="K49" s="13">
        <f>IFERROR(__xludf.DUMMYFUNCTION("AVERAGE(index(GOOGLEFINANCE(""NSE:""&amp;$A49, ""close"", today()-6, today()-1), , 2))"),"#N/A")</f>
        <v/>
      </c>
      <c r="L49" s="13">
        <f>IFERROR(__xludf.DUMMYFUNCTION("AVERAGE(index(GOOGLEFINANCE(""NSE:""&amp;$A49, ""close"", today()-14, today()-1), , 2))"),"#N/A")</f>
        <v/>
      </c>
      <c r="M49" s="13">
        <f>IFERROR(__xludf.DUMMYFUNCTION("AVERAGE(index(GOOGLEFINANCE(""NSE:""&amp;$A49, ""close"", today()-22, today()-1), , 2))"),"#N/A")</f>
        <v/>
      </c>
      <c r="N49" s="13">
        <f>AG49</f>
        <v/>
      </c>
      <c r="O49" s="13">
        <f>AI49</f>
        <v/>
      </c>
      <c r="P49" s="13">
        <f>W49</f>
        <v/>
      </c>
      <c r="Q49" s="13">
        <f>Y49</f>
        <v/>
      </c>
      <c r="R49" s="15" t="n"/>
      <c r="S49" s="15">
        <f>LEFT(W49,2)&amp;LEFT(Y49,2)</f>
        <v/>
      </c>
      <c r="T49" s="15" t="n"/>
      <c r="U49" s="15">
        <f>IF(K49&lt;L49,1,0)</f>
        <v/>
      </c>
      <c r="V49" s="15">
        <f>IF(H49&gt;I49,1,0)</f>
        <v/>
      </c>
      <c r="W49" s="15">
        <f>IF(SUM(U49:V49)=2,"Anticipatory_Sell","No_Action")</f>
        <v/>
      </c>
      <c r="X49" s="15" t="n"/>
      <c r="Y49" s="15">
        <f>IF(SUM(Z49:AA49)=2,"Confirm_Sell","No_Action")</f>
        <v/>
      </c>
      <c r="Z49" s="15">
        <f>IF(H49&gt;I49,1,0)</f>
        <v/>
      </c>
      <c r="AA49" s="15">
        <f>IF(K49&lt;M49,1,0)</f>
        <v/>
      </c>
      <c r="AB49" s="15" t="n"/>
      <c r="AC49" s="15">
        <f>LEFT(AG49,2)&amp;LEFT(AI49,2)</f>
        <v/>
      </c>
      <c r="AD49" s="15" t="n"/>
      <c r="AE49" s="15">
        <f>IF(K49&gt;L49,1,0)</f>
        <v/>
      </c>
      <c r="AF49" s="16">
        <f>IF(H49&gt;I49,1,0)</f>
        <v/>
      </c>
      <c r="AG49" s="16">
        <f>IF(SUM(AE49:AF49)=2,"Anticipatory_Buy","No_Action")</f>
        <v/>
      </c>
      <c r="AH49" s="15" t="n"/>
      <c r="AI49" s="15">
        <f>IF(SUM(AJ49:AK49)=2,"Confirm_Buy","No_Action")</f>
        <v/>
      </c>
      <c r="AJ49" s="15">
        <f>IF(H49&gt;I49,1,0)</f>
        <v/>
      </c>
      <c r="AK49" s="15">
        <f>IF(K49&gt;M49,1,0)</f>
        <v/>
      </c>
    </row>
    <row r="50" ht="14.5" customHeight="1">
      <c r="A50" s="12" t="inlineStr">
        <is>
          <t>BERGEPAINT</t>
        </is>
      </c>
      <c r="B50" s="13">
        <f>IFERROR(__xludf.DUMMYFUNCTION("GOOGLEFINANCE(""NSE:""&amp;A50,""PRICE"")"),479.85)</f>
        <v/>
      </c>
      <c r="C50" s="13">
        <f>IFERROR(__xludf.DUMMYFUNCTION("GOOGLEFINANCE(""NSE:""&amp;A50,""PRICEOPEN"")"),482)</f>
        <v/>
      </c>
      <c r="D50" s="13">
        <f>IFERROR(__xludf.DUMMYFUNCTION("GOOGLEFINANCE(""NSE:""&amp;A50,""HIGH"")"),482.9)</f>
        <v/>
      </c>
      <c r="E50" s="13">
        <f>IFERROR(__xludf.DUMMYFUNCTION("GOOGLEFINANCE(""NSE:""&amp;A50,""LOW"")"),474.3)</f>
        <v/>
      </c>
      <c r="F50" s="13">
        <f>IFERROR(__xludf.DUMMYFUNCTION("GOOGLEFINANCE(""NSE:""&amp;A50,""closeyest"")"),480.45)</f>
        <v/>
      </c>
      <c r="G50" s="14">
        <f>(B50-C50)/B50</f>
        <v/>
      </c>
      <c r="H50" s="13">
        <f>IFERROR(__xludf.DUMMYFUNCTION("GOOGLEFINANCE(""NSE:""&amp;A50,""VOLUME"")"),1214274)</f>
        <v/>
      </c>
      <c r="I50" s="13">
        <f>IFERROR(__xludf.DUMMYFUNCTION("AVERAGE(index(GOOGLEFINANCE(""NSE:""&amp;$A50, ""volume"", today()-21, today()-1), , 2))"),"#N/A")</f>
        <v/>
      </c>
      <c r="J50" s="14">
        <f>(H50-I50)/I50</f>
        <v/>
      </c>
      <c r="K50" s="13">
        <f>IFERROR(__xludf.DUMMYFUNCTION("AVERAGE(index(GOOGLEFINANCE(""NSE:""&amp;$A50, ""close"", today()-6, today()-1), , 2))"),"#N/A")</f>
        <v/>
      </c>
      <c r="L50" s="13">
        <f>IFERROR(__xludf.DUMMYFUNCTION("AVERAGE(index(GOOGLEFINANCE(""NSE:""&amp;$A50, ""close"", today()-14, today()-1), , 2))"),"#N/A")</f>
        <v/>
      </c>
      <c r="M50" s="13">
        <f>IFERROR(__xludf.DUMMYFUNCTION("AVERAGE(index(GOOGLEFINANCE(""NSE:""&amp;$A50, ""close"", today()-22, today()-1), , 2))"),"#N/A")</f>
        <v/>
      </c>
      <c r="N50" s="13">
        <f>AG50</f>
        <v/>
      </c>
      <c r="O50" s="13">
        <f>AI50</f>
        <v/>
      </c>
      <c r="P50" s="13">
        <f>W50</f>
        <v/>
      </c>
      <c r="Q50" s="13">
        <f>Y50</f>
        <v/>
      </c>
      <c r="R50" s="15" t="n"/>
      <c r="S50" s="15">
        <f>LEFT(W50,2)&amp;LEFT(Y50,2)</f>
        <v/>
      </c>
      <c r="T50" s="15" t="n"/>
      <c r="U50" s="15">
        <f>IF(K50&lt;L50,1,0)</f>
        <v/>
      </c>
      <c r="V50" s="15">
        <f>IF(H50&gt;I50,1,0)</f>
        <v/>
      </c>
      <c r="W50" s="15">
        <f>IF(SUM(U50:V50)=2,"Anticipatory_Sell","No_Action")</f>
        <v/>
      </c>
      <c r="X50" s="15" t="n"/>
      <c r="Y50" s="15">
        <f>IF(SUM(Z50:AA50)=2,"Confirm_Sell","No_Action")</f>
        <v/>
      </c>
      <c r="Z50" s="15">
        <f>IF(H50&gt;I50,1,0)</f>
        <v/>
      </c>
      <c r="AA50" s="15">
        <f>IF(K50&lt;M50,1,0)</f>
        <v/>
      </c>
      <c r="AB50" s="15" t="n"/>
      <c r="AC50" s="15">
        <f>LEFT(AG50,2)&amp;LEFT(AI50,2)</f>
        <v/>
      </c>
      <c r="AD50" s="15" t="n"/>
      <c r="AE50" s="15">
        <f>IF(K50&gt;L50,1,0)</f>
        <v/>
      </c>
      <c r="AF50" s="16">
        <f>IF(H50&gt;I50,1,0)</f>
        <v/>
      </c>
      <c r="AG50" s="16">
        <f>IF(SUM(AE50:AF50)=2,"Anticipatory_Buy","No_Action")</f>
        <v/>
      </c>
      <c r="AH50" s="15" t="n"/>
      <c r="AI50" s="15">
        <f>IF(SUM(AJ50:AK50)=2,"Confirm_Buy","No_Action")</f>
        <v/>
      </c>
      <c r="AJ50" s="15">
        <f>IF(H50&gt;I50,1,0)</f>
        <v/>
      </c>
      <c r="AK50" s="15">
        <f>IF(K50&gt;M50,1,0)</f>
        <v/>
      </c>
    </row>
    <row r="51" ht="14.5" customHeight="1">
      <c r="A51" s="12" t="inlineStr">
        <is>
          <t>BEPL</t>
        </is>
      </c>
      <c r="B51" s="13">
        <f>IFERROR(__xludf.DUMMYFUNCTION("GOOGLEFINANCE(""NSE:""&amp;A51,""PRICE"")"),141.95)</f>
        <v/>
      </c>
      <c r="C51" s="13">
        <f>IFERROR(__xludf.DUMMYFUNCTION("GOOGLEFINANCE(""NSE:""&amp;A51,""PRICEOPEN"")"),143.89)</f>
        <v/>
      </c>
      <c r="D51" s="13">
        <f>IFERROR(__xludf.DUMMYFUNCTION("GOOGLEFINANCE(""NSE:""&amp;A51,""HIGH"")"),146.45)</f>
        <v/>
      </c>
      <c r="E51" s="13">
        <f>IFERROR(__xludf.DUMMYFUNCTION("GOOGLEFINANCE(""NSE:""&amp;A51,""LOW"")"),141.04)</f>
        <v/>
      </c>
      <c r="F51" s="13">
        <f>IFERROR(__xludf.DUMMYFUNCTION("GOOGLEFINANCE(""NSE:""&amp;A51,""closeyest"")"),143.27)</f>
        <v/>
      </c>
      <c r="G51" s="14">
        <f>(B51-C51)/B51</f>
        <v/>
      </c>
      <c r="H51" s="13">
        <f>IFERROR(__xludf.DUMMYFUNCTION("GOOGLEFINANCE(""NSE:""&amp;A51,""VOLUME"")"),711565)</f>
        <v/>
      </c>
      <c r="I51" s="13">
        <f>IFERROR(__xludf.DUMMYFUNCTION("AVERAGE(index(GOOGLEFINANCE(""NSE:""&amp;$A51, ""volume"", today()-21, today()-1), , 2))"),"#N/A")</f>
        <v/>
      </c>
      <c r="J51" s="14">
        <f>(H51-I51)/I51</f>
        <v/>
      </c>
      <c r="K51" s="13">
        <f>IFERROR(__xludf.DUMMYFUNCTION("AVERAGE(index(GOOGLEFINANCE(""NSE:""&amp;$A51, ""close"", today()-6, today()-1), , 2))"),"#N/A")</f>
        <v/>
      </c>
      <c r="L51" s="13">
        <f>IFERROR(__xludf.DUMMYFUNCTION("AVERAGE(index(GOOGLEFINANCE(""NSE:""&amp;$A51, ""close"", today()-14, today()-1), , 2))"),"#N/A")</f>
        <v/>
      </c>
      <c r="M51" s="13">
        <f>IFERROR(__xludf.DUMMYFUNCTION("AVERAGE(index(GOOGLEFINANCE(""NSE:""&amp;$A51, ""close"", today()-22, today()-1), , 2))"),"#N/A")</f>
        <v/>
      </c>
      <c r="N51" s="13">
        <f>AG51</f>
        <v/>
      </c>
      <c r="O51" s="13">
        <f>AI51</f>
        <v/>
      </c>
      <c r="P51" s="13">
        <f>W51</f>
        <v/>
      </c>
      <c r="Q51" s="13">
        <f>Y51</f>
        <v/>
      </c>
      <c r="R51" s="15" t="n"/>
      <c r="S51" s="15">
        <f>LEFT(W51,2)&amp;LEFT(Y51,2)</f>
        <v/>
      </c>
      <c r="T51" s="15" t="n"/>
      <c r="U51" s="15">
        <f>IF(K51&lt;L51,1,0)</f>
        <v/>
      </c>
      <c r="V51" s="15">
        <f>IF(H51&gt;I51,1,0)</f>
        <v/>
      </c>
      <c r="W51" s="15">
        <f>IF(SUM(U51:V51)=2,"Anticipatory_Sell","No_Action")</f>
        <v/>
      </c>
      <c r="X51" s="15" t="n"/>
      <c r="Y51" s="15">
        <f>IF(SUM(Z51:AA51)=2,"Confirm_Sell","No_Action")</f>
        <v/>
      </c>
      <c r="Z51" s="15">
        <f>IF(H51&gt;I51,1,0)</f>
        <v/>
      </c>
      <c r="AA51" s="15">
        <f>IF(K51&lt;M51,1,0)</f>
        <v/>
      </c>
      <c r="AB51" s="15" t="n"/>
      <c r="AC51" s="15">
        <f>LEFT(AG51,2)&amp;LEFT(AI51,2)</f>
        <v/>
      </c>
      <c r="AD51" s="15" t="n"/>
      <c r="AE51" s="15">
        <f>IF(K51&gt;L51,1,0)</f>
        <v/>
      </c>
      <c r="AF51" s="16">
        <f>IF(H51&gt;I51,1,0)</f>
        <v/>
      </c>
      <c r="AG51" s="16">
        <f>IF(SUM(AE51:AF51)=2,"Anticipatory_Buy","No_Action")</f>
        <v/>
      </c>
      <c r="AH51" s="15" t="n"/>
      <c r="AI51" s="15">
        <f>IF(SUM(AJ51:AK51)=2,"Confirm_Buy","No_Action")</f>
        <v/>
      </c>
      <c r="AJ51" s="15">
        <f>IF(H51&gt;I51,1,0)</f>
        <v/>
      </c>
      <c r="AK51" s="15">
        <f>IF(K51&gt;M51,1,0)</f>
        <v/>
      </c>
    </row>
    <row r="52" ht="14.5" customHeight="1">
      <c r="A52" s="12" t="inlineStr">
        <is>
          <t>BHARATFORG</t>
        </is>
      </c>
      <c r="B52" s="13">
        <f>IFERROR(__xludf.DUMMYFUNCTION("GOOGLEFINANCE(""NSE:""&amp;A52,""PRICE"")"),1362.5)</f>
        <v/>
      </c>
      <c r="C52" s="13">
        <f>IFERROR(__xludf.DUMMYFUNCTION("GOOGLEFINANCE(""NSE:""&amp;A52,""PRICEOPEN"")"),1354.75)</f>
        <v/>
      </c>
      <c r="D52" s="13">
        <f>IFERROR(__xludf.DUMMYFUNCTION("GOOGLEFINANCE(""NSE:""&amp;A52,""HIGH"")"),1375)</f>
        <v/>
      </c>
      <c r="E52" s="13">
        <f>IFERROR(__xludf.DUMMYFUNCTION("GOOGLEFINANCE(""NSE:""&amp;A52,""LOW"")"),1341)</f>
        <v/>
      </c>
      <c r="F52" s="13">
        <f>IFERROR(__xludf.DUMMYFUNCTION("GOOGLEFINANCE(""NSE:""&amp;A52,""closeyest"")"),1354.75)</f>
        <v/>
      </c>
      <c r="G52" s="14">
        <f>(B52-C52)/B52</f>
        <v/>
      </c>
      <c r="H52" s="13">
        <f>IFERROR(__xludf.DUMMYFUNCTION("GOOGLEFINANCE(""NSE:""&amp;A52,""VOLUME"")"),909119)</f>
        <v/>
      </c>
      <c r="I52" s="13">
        <f>IFERROR(__xludf.DUMMYFUNCTION("AVERAGE(index(GOOGLEFINANCE(""NSE:""&amp;$A52, ""volume"", today()-21, today()-1), , 2))"),"#N/A")</f>
        <v/>
      </c>
      <c r="J52" s="14">
        <f>(H52-I52)/I52</f>
        <v/>
      </c>
      <c r="K52" s="13">
        <f>IFERROR(__xludf.DUMMYFUNCTION("AVERAGE(index(GOOGLEFINANCE(""NSE:""&amp;$A52, ""close"", today()-6, today()-1), , 2))"),"#N/A")</f>
        <v/>
      </c>
      <c r="L52" s="13">
        <f>IFERROR(__xludf.DUMMYFUNCTION("AVERAGE(index(GOOGLEFINANCE(""NSE:""&amp;$A52, ""close"", today()-14, today()-1), , 2))"),"#N/A")</f>
        <v/>
      </c>
      <c r="M52" s="13">
        <f>IFERROR(__xludf.DUMMYFUNCTION("AVERAGE(index(GOOGLEFINANCE(""NSE:""&amp;$A52, ""close"", today()-22, today()-1), , 2))"),"#N/A")</f>
        <v/>
      </c>
      <c r="N52" s="13">
        <f>AG52</f>
        <v/>
      </c>
      <c r="O52" s="13">
        <f>AI52</f>
        <v/>
      </c>
      <c r="P52" s="13">
        <f>W52</f>
        <v/>
      </c>
      <c r="Q52" s="13">
        <f>Y52</f>
        <v/>
      </c>
      <c r="R52" s="15" t="n"/>
      <c r="S52" s="15">
        <f>LEFT(W52,2)&amp;LEFT(Y52,2)</f>
        <v/>
      </c>
      <c r="T52" s="15" t="n"/>
      <c r="U52" s="15">
        <f>IF(K52&lt;L52,1,0)</f>
        <v/>
      </c>
      <c r="V52" s="15">
        <f>IF(H52&gt;I52,1,0)</f>
        <v/>
      </c>
      <c r="W52" s="15">
        <f>IF(SUM(U52:V52)=2,"Anticipatory_Sell","No_Action")</f>
        <v/>
      </c>
      <c r="X52" s="15" t="n"/>
      <c r="Y52" s="15">
        <f>IF(SUM(Z52:AA52)=2,"Confirm_Sell","No_Action")</f>
        <v/>
      </c>
      <c r="Z52" s="15">
        <f>IF(H52&gt;I52,1,0)</f>
        <v/>
      </c>
      <c r="AA52" s="15">
        <f>IF(K52&lt;M52,1,0)</f>
        <v/>
      </c>
      <c r="AB52" s="15" t="n"/>
      <c r="AC52" s="15">
        <f>LEFT(AG52,2)&amp;LEFT(AI52,2)</f>
        <v/>
      </c>
      <c r="AD52" s="15" t="n"/>
      <c r="AE52" s="15">
        <f>IF(K52&gt;L52,1,0)</f>
        <v/>
      </c>
      <c r="AF52" s="16">
        <f>IF(H52&gt;I52,1,0)</f>
        <v/>
      </c>
      <c r="AG52" s="16">
        <f>IF(SUM(AE52:AF52)=2,"Anticipatory_Buy","No_Action")</f>
        <v/>
      </c>
      <c r="AH52" s="15" t="n"/>
      <c r="AI52" s="15">
        <f>IF(SUM(AJ52:AK52)=2,"Confirm_Buy","No_Action")</f>
        <v/>
      </c>
      <c r="AJ52" s="15">
        <f>IF(H52&gt;I52,1,0)</f>
        <v/>
      </c>
      <c r="AK52" s="15">
        <f>IF(K52&gt;M52,1,0)</f>
        <v/>
      </c>
    </row>
    <row r="53" ht="14.5" customHeight="1">
      <c r="A53" s="12" t="inlineStr">
        <is>
          <t>BHARATRAS</t>
        </is>
      </c>
      <c r="B53" s="13">
        <f>IFERROR(__xludf.DUMMYFUNCTION("GOOGLEFINANCE(""NSE:""&amp;A53,""PRICE"")"),11466.7)</f>
        <v/>
      </c>
      <c r="C53" s="13">
        <f>IFERROR(__xludf.DUMMYFUNCTION("GOOGLEFINANCE(""NSE:""&amp;A53,""PRICEOPEN"")"),11619)</f>
        <v/>
      </c>
      <c r="D53" s="13">
        <f>IFERROR(__xludf.DUMMYFUNCTION("GOOGLEFINANCE(""NSE:""&amp;A53,""HIGH"")"),11619)</f>
        <v/>
      </c>
      <c r="E53" s="13">
        <f>IFERROR(__xludf.DUMMYFUNCTION("GOOGLEFINANCE(""NSE:""&amp;A53,""LOW"")"),11287.55)</f>
        <v/>
      </c>
      <c r="F53" s="13">
        <f>IFERROR(__xludf.DUMMYFUNCTION("GOOGLEFINANCE(""NSE:""&amp;A53,""closeyest"")"),11545.35)</f>
        <v/>
      </c>
      <c r="G53" s="14">
        <f>(B53-C53)/B53</f>
        <v/>
      </c>
      <c r="H53" s="13">
        <f>IFERROR(__xludf.DUMMYFUNCTION("GOOGLEFINANCE(""NSE:""&amp;A53,""VOLUME"")"),2431)</f>
        <v/>
      </c>
      <c r="I53" s="13">
        <f>IFERROR(__xludf.DUMMYFUNCTION("AVERAGE(index(GOOGLEFINANCE(""NSE:""&amp;$A53, ""volume"", today()-21, today()-1), , 2))"),"#N/A")</f>
        <v/>
      </c>
      <c r="J53" s="14">
        <f>(H53-I53)/I53</f>
        <v/>
      </c>
      <c r="K53" s="13">
        <f>IFERROR(__xludf.DUMMYFUNCTION("AVERAGE(index(GOOGLEFINANCE(""NSE:""&amp;$A53, ""close"", today()-6, today()-1), , 2))"),"#N/A")</f>
        <v/>
      </c>
      <c r="L53" s="13">
        <f>IFERROR(__xludf.DUMMYFUNCTION("AVERAGE(index(GOOGLEFINANCE(""NSE:""&amp;$A53, ""close"", today()-14, today()-1), , 2))"),"#N/A")</f>
        <v/>
      </c>
      <c r="M53" s="13">
        <f>IFERROR(__xludf.DUMMYFUNCTION("AVERAGE(index(GOOGLEFINANCE(""NSE:""&amp;$A53, ""close"", today()-22, today()-1), , 2))"),"#N/A")</f>
        <v/>
      </c>
      <c r="N53" s="13">
        <f>AG53</f>
        <v/>
      </c>
      <c r="O53" s="13">
        <f>AI53</f>
        <v/>
      </c>
      <c r="P53" s="13">
        <f>W53</f>
        <v/>
      </c>
      <c r="Q53" s="13">
        <f>Y53</f>
        <v/>
      </c>
      <c r="R53" s="15" t="n"/>
      <c r="S53" s="15">
        <f>LEFT(W53,2)&amp;LEFT(Y53,2)</f>
        <v/>
      </c>
      <c r="T53" s="15" t="n"/>
      <c r="U53" s="15">
        <f>IF(K53&lt;L53,1,0)</f>
        <v/>
      </c>
      <c r="V53" s="15">
        <f>IF(H53&gt;I53,1,0)</f>
        <v/>
      </c>
      <c r="W53" s="15">
        <f>IF(SUM(U53:V53)=2,"Anticipatory_Sell","No_Action")</f>
        <v/>
      </c>
      <c r="X53" s="15" t="n"/>
      <c r="Y53" s="15">
        <f>IF(SUM(Z53:AA53)=2,"Confirm_Sell","No_Action")</f>
        <v/>
      </c>
      <c r="Z53" s="15">
        <f>IF(H53&gt;I53,1,0)</f>
        <v/>
      </c>
      <c r="AA53" s="15">
        <f>IF(K53&lt;M53,1,0)</f>
        <v/>
      </c>
      <c r="AB53" s="15" t="n"/>
      <c r="AC53" s="15">
        <f>LEFT(AG53,2)&amp;LEFT(AI53,2)</f>
        <v/>
      </c>
      <c r="AD53" s="15" t="n"/>
      <c r="AE53" s="15">
        <f>IF(K53&gt;L53,1,0)</f>
        <v/>
      </c>
      <c r="AF53" s="16">
        <f>IF(H53&gt;I53,1,0)</f>
        <v/>
      </c>
      <c r="AG53" s="16">
        <f>IF(SUM(AE53:AF53)=2,"Anticipatory_Buy","No_Action")</f>
        <v/>
      </c>
      <c r="AH53" s="15" t="n"/>
      <c r="AI53" s="15">
        <f>IF(SUM(AJ53:AK53)=2,"Confirm_Buy","No_Action")</f>
        <v/>
      </c>
      <c r="AJ53" s="15">
        <f>IF(H53&gt;I53,1,0)</f>
        <v/>
      </c>
      <c r="AK53" s="15">
        <f>IF(K53&gt;M53,1,0)</f>
        <v/>
      </c>
    </row>
    <row r="54" ht="14.5" customHeight="1">
      <c r="A54" s="12" t="inlineStr">
        <is>
          <t>BHARATWIRE</t>
        </is>
      </c>
      <c r="B54" s="13">
        <f>IFERROR(__xludf.DUMMYFUNCTION("GOOGLEFINANCE(""NSE:""&amp;A54,""PRICE"")"),239.85)</f>
        <v/>
      </c>
      <c r="C54" s="13">
        <f>IFERROR(__xludf.DUMMYFUNCTION("GOOGLEFINANCE(""NSE:""&amp;A54,""PRICEOPEN"")"),239.7)</f>
        <v/>
      </c>
      <c r="D54" s="13">
        <f>IFERROR(__xludf.DUMMYFUNCTION("GOOGLEFINANCE(""NSE:""&amp;A54,""HIGH"")"),241.02)</f>
        <v/>
      </c>
      <c r="E54" s="13">
        <f>IFERROR(__xludf.DUMMYFUNCTION("GOOGLEFINANCE(""NSE:""&amp;A54,""LOW"")"),236.01)</f>
        <v/>
      </c>
      <c r="F54" s="13">
        <f>IFERROR(__xludf.DUMMYFUNCTION("GOOGLEFINANCE(""NSE:""&amp;A54,""closeyest"")"),238)</f>
        <v/>
      </c>
      <c r="G54" s="14">
        <f>(B54-C54)/B54</f>
        <v/>
      </c>
      <c r="H54" s="13">
        <f>IFERROR(__xludf.DUMMYFUNCTION("GOOGLEFINANCE(""NSE:""&amp;A54,""VOLUME"")"),64840)</f>
        <v/>
      </c>
      <c r="I54" s="13">
        <f>IFERROR(__xludf.DUMMYFUNCTION("AVERAGE(index(GOOGLEFINANCE(""NSE:""&amp;$A54, ""volume"", today()-21, today()-1), , 2))"),"#N/A")</f>
        <v/>
      </c>
      <c r="J54" s="14">
        <f>(H54-I54)/I54</f>
        <v/>
      </c>
      <c r="K54" s="13">
        <f>IFERROR(__xludf.DUMMYFUNCTION("AVERAGE(index(GOOGLEFINANCE(""NSE:""&amp;$A54, ""close"", today()-6, today()-1), , 2))"),"#N/A")</f>
        <v/>
      </c>
      <c r="L54" s="13">
        <f>IFERROR(__xludf.DUMMYFUNCTION("AVERAGE(index(GOOGLEFINANCE(""NSE:""&amp;$A54, ""close"", today()-14, today()-1), , 2))"),"#N/A")</f>
        <v/>
      </c>
      <c r="M54" s="13">
        <f>IFERROR(__xludf.DUMMYFUNCTION("AVERAGE(index(GOOGLEFINANCE(""NSE:""&amp;$A54, ""close"", today()-22, today()-1), , 2))"),"#N/A")</f>
        <v/>
      </c>
      <c r="N54" s="13">
        <f>AG54</f>
        <v/>
      </c>
      <c r="O54" s="13">
        <f>AI54</f>
        <v/>
      </c>
      <c r="P54" s="13">
        <f>W54</f>
        <v/>
      </c>
      <c r="Q54" s="13">
        <f>Y54</f>
        <v/>
      </c>
      <c r="R54" s="15" t="n"/>
      <c r="S54" s="15">
        <f>LEFT(W54,2)&amp;LEFT(Y54,2)</f>
        <v/>
      </c>
      <c r="T54" s="15" t="n"/>
      <c r="U54" s="15">
        <f>IF(K54&lt;L54,1,0)</f>
        <v/>
      </c>
      <c r="V54" s="15">
        <f>IF(H54&gt;I54,1,0)</f>
        <v/>
      </c>
      <c r="W54" s="15">
        <f>IF(SUM(U54:V54)=2,"Anticipatory_Sell","No_Action")</f>
        <v/>
      </c>
      <c r="X54" s="15" t="n"/>
      <c r="Y54" s="15">
        <f>IF(SUM(Z54:AA54)=2,"Confirm_Sell","No_Action")</f>
        <v/>
      </c>
      <c r="Z54" s="15">
        <f>IF(H54&gt;I54,1,0)</f>
        <v/>
      </c>
      <c r="AA54" s="15">
        <f>IF(K54&lt;M54,1,0)</f>
        <v/>
      </c>
      <c r="AB54" s="15" t="n"/>
      <c r="AC54" s="15">
        <f>LEFT(AG54,2)&amp;LEFT(AI54,2)</f>
        <v/>
      </c>
      <c r="AD54" s="15" t="n"/>
      <c r="AE54" s="15">
        <f>IF(K54&gt;L54,1,0)</f>
        <v/>
      </c>
      <c r="AF54" s="16">
        <f>IF(H54&gt;I54,1,0)</f>
        <v/>
      </c>
      <c r="AG54" s="16">
        <f>IF(SUM(AE54:AF54)=2,"Anticipatory_Buy","No_Action")</f>
        <v/>
      </c>
      <c r="AH54" s="15" t="n"/>
      <c r="AI54" s="15">
        <f>IF(SUM(AJ54:AK54)=2,"Confirm_Buy","No_Action")</f>
        <v/>
      </c>
      <c r="AJ54" s="15">
        <f>IF(H54&gt;I54,1,0)</f>
        <v/>
      </c>
      <c r="AK54" s="15">
        <f>IF(K54&gt;M54,1,0)</f>
        <v/>
      </c>
    </row>
    <row r="55" ht="14.5" customHeight="1">
      <c r="A55" s="12" t="inlineStr">
        <is>
          <t>BHARTIARTL</t>
        </is>
      </c>
      <c r="B55" s="13">
        <f>IFERROR(__xludf.DUMMYFUNCTION("GOOGLEFINANCE(""NSE:""&amp;A55,""PRICE"")"),1604)</f>
        <v/>
      </c>
      <c r="C55" s="13">
        <f>IFERROR(__xludf.DUMMYFUNCTION("GOOGLEFINANCE(""NSE:""&amp;A55,""PRICEOPEN"")"),1595.9)</f>
        <v/>
      </c>
      <c r="D55" s="13">
        <f>IFERROR(__xludf.DUMMYFUNCTION("GOOGLEFINANCE(""NSE:""&amp;A55,""HIGH"")"),1605.9)</f>
        <v/>
      </c>
      <c r="E55" s="13">
        <f>IFERROR(__xludf.DUMMYFUNCTION("GOOGLEFINANCE(""NSE:""&amp;A55,""LOW"")"),1589.05)</f>
        <v/>
      </c>
      <c r="F55" s="13">
        <f>IFERROR(__xludf.DUMMYFUNCTION("GOOGLEFINANCE(""NSE:""&amp;A55,""closeyest"")"),1597.85)</f>
        <v/>
      </c>
      <c r="G55" s="14">
        <f>(B55-C55)/B55</f>
        <v/>
      </c>
      <c r="H55" s="13">
        <f>IFERROR(__xludf.DUMMYFUNCTION("GOOGLEFINANCE(""NSE:""&amp;A55,""VOLUME"")"),4264409)</f>
        <v/>
      </c>
      <c r="I55" s="13">
        <f>IFERROR(__xludf.DUMMYFUNCTION("AVERAGE(index(GOOGLEFINANCE(""NSE:""&amp;$A55, ""volume"", today()-21, today()-1), , 2))"),"#N/A")</f>
        <v/>
      </c>
      <c r="J55" s="14">
        <f>(H55-I55)/I55</f>
        <v/>
      </c>
      <c r="K55" s="13">
        <f>IFERROR(__xludf.DUMMYFUNCTION("AVERAGE(index(GOOGLEFINANCE(""NSE:""&amp;$A55, ""close"", today()-6, today()-1), , 2))"),"#N/A")</f>
        <v/>
      </c>
      <c r="L55" s="13">
        <f>IFERROR(__xludf.DUMMYFUNCTION("AVERAGE(index(GOOGLEFINANCE(""NSE:""&amp;$A55, ""close"", today()-14, today()-1), , 2))"),"#N/A")</f>
        <v/>
      </c>
      <c r="M55" s="13">
        <f>IFERROR(__xludf.DUMMYFUNCTION("AVERAGE(index(GOOGLEFINANCE(""NSE:""&amp;$A55, ""close"", today()-22, today()-1), , 2))"),"#N/A")</f>
        <v/>
      </c>
      <c r="N55" s="13">
        <f>AG55</f>
        <v/>
      </c>
      <c r="O55" s="13">
        <f>AI55</f>
        <v/>
      </c>
      <c r="P55" s="13">
        <f>W55</f>
        <v/>
      </c>
      <c r="Q55" s="13">
        <f>Y55</f>
        <v/>
      </c>
      <c r="R55" s="15" t="n"/>
      <c r="S55" s="15">
        <f>LEFT(W55,2)&amp;LEFT(Y55,2)</f>
        <v/>
      </c>
      <c r="T55" s="15" t="n"/>
      <c r="U55" s="15">
        <f>IF(K55&lt;L55,1,0)</f>
        <v/>
      </c>
      <c r="V55" s="15">
        <f>IF(H55&gt;I55,1,0)</f>
        <v/>
      </c>
      <c r="W55" s="15">
        <f>IF(SUM(U55:V55)=2,"Anticipatory_Sell","No_Action")</f>
        <v/>
      </c>
      <c r="X55" s="15" t="n"/>
      <c r="Y55" s="15">
        <f>IF(SUM(Z55:AA55)=2,"Confirm_Sell","No_Action")</f>
        <v/>
      </c>
      <c r="Z55" s="15">
        <f>IF(H55&gt;I55,1,0)</f>
        <v/>
      </c>
      <c r="AA55" s="15">
        <f>IF(K55&lt;M55,1,0)</f>
        <v/>
      </c>
      <c r="AB55" s="15" t="n"/>
      <c r="AC55" s="15">
        <f>LEFT(AG55,2)&amp;LEFT(AI55,2)</f>
        <v/>
      </c>
      <c r="AD55" s="15" t="n"/>
      <c r="AE55" s="15">
        <f>IF(K55&gt;L55,1,0)</f>
        <v/>
      </c>
      <c r="AF55" s="16">
        <f>IF(H55&gt;I55,1,0)</f>
        <v/>
      </c>
      <c r="AG55" s="16">
        <f>IF(SUM(AE55:AF55)=2,"Anticipatory_Buy","No_Action")</f>
        <v/>
      </c>
      <c r="AH55" s="15" t="n"/>
      <c r="AI55" s="15">
        <f>IF(SUM(AJ55:AK55)=2,"Confirm_Buy","No_Action")</f>
        <v/>
      </c>
      <c r="AJ55" s="15">
        <f>IF(H55&gt;I55,1,0)</f>
        <v/>
      </c>
      <c r="AK55" s="15">
        <f>IF(K55&gt;M55,1,0)</f>
        <v/>
      </c>
    </row>
    <row r="56" ht="14.5" customHeight="1">
      <c r="A56" s="12" t="inlineStr">
        <is>
          <t>BLS</t>
        </is>
      </c>
      <c r="B56" s="13">
        <f>IFERROR(__xludf.DUMMYFUNCTION("GOOGLEFINANCE(""NSE:""&amp;A56,""PRICE"")"),449)</f>
        <v/>
      </c>
      <c r="C56" s="13">
        <f>IFERROR(__xludf.DUMMYFUNCTION("GOOGLEFINANCE(""NSE:""&amp;A56,""PRICEOPEN"")"),429.9)</f>
        <v/>
      </c>
      <c r="D56" s="13">
        <f>IFERROR(__xludf.DUMMYFUNCTION("GOOGLEFINANCE(""NSE:""&amp;A56,""HIGH"")"),450)</f>
        <v/>
      </c>
      <c r="E56" s="13">
        <f>IFERROR(__xludf.DUMMYFUNCTION("GOOGLEFINANCE(""NSE:""&amp;A56,""LOW"")"),426.3)</f>
        <v/>
      </c>
      <c r="F56" s="13">
        <f>IFERROR(__xludf.DUMMYFUNCTION("GOOGLEFINANCE(""NSE:""&amp;A56,""closeyest"")"),430.05)</f>
        <v/>
      </c>
      <c r="G56" s="14">
        <f>(B56-C56)/B56</f>
        <v/>
      </c>
      <c r="H56" s="13">
        <f>IFERROR(__xludf.DUMMYFUNCTION("GOOGLEFINANCE(""NSE:""&amp;A56,""VOLUME"")"),5955781)</f>
        <v/>
      </c>
      <c r="I56" s="13">
        <f>IFERROR(__xludf.DUMMYFUNCTION("AVERAGE(index(GOOGLEFINANCE(""NSE:""&amp;$A56, ""volume"", today()-21, today()-1), , 2))"),"#N/A")</f>
        <v/>
      </c>
      <c r="J56" s="14">
        <f>(H56-I56)/I56</f>
        <v/>
      </c>
      <c r="K56" s="13">
        <f>IFERROR(__xludf.DUMMYFUNCTION("AVERAGE(index(GOOGLEFINANCE(""NSE:""&amp;$A56, ""close"", today()-6, today()-1), , 2))"),"#N/A")</f>
        <v/>
      </c>
      <c r="L56" s="13">
        <f>IFERROR(__xludf.DUMMYFUNCTION("AVERAGE(index(GOOGLEFINANCE(""NSE:""&amp;$A56, ""close"", today()-14, today()-1), , 2))"),"#N/A")</f>
        <v/>
      </c>
      <c r="M56" s="13">
        <f>IFERROR(__xludf.DUMMYFUNCTION("AVERAGE(index(GOOGLEFINANCE(""NSE:""&amp;$A56, ""close"", today()-22, today()-1), , 2))"),"#N/A")</f>
        <v/>
      </c>
      <c r="N56" s="13">
        <f>AG56</f>
        <v/>
      </c>
      <c r="O56" s="13">
        <f>AI56</f>
        <v/>
      </c>
      <c r="P56" s="13">
        <f>W56</f>
        <v/>
      </c>
      <c r="Q56" s="13">
        <f>Y56</f>
        <v/>
      </c>
      <c r="R56" s="15" t="n"/>
      <c r="S56" s="15">
        <f>LEFT(W56,2)&amp;LEFT(Y56,2)</f>
        <v/>
      </c>
      <c r="T56" s="15" t="n"/>
      <c r="U56" s="15">
        <f>IF(K56&lt;L56,1,0)</f>
        <v/>
      </c>
      <c r="V56" s="15">
        <f>IF(H56&gt;I56,1,0)</f>
        <v/>
      </c>
      <c r="W56" s="15">
        <f>IF(SUM(U56:V56)=2,"Anticipatory_Sell","No_Action")</f>
        <v/>
      </c>
      <c r="X56" s="15" t="n"/>
      <c r="Y56" s="15">
        <f>IF(SUM(Z56:AA56)=2,"Confirm_Sell","No_Action")</f>
        <v/>
      </c>
      <c r="Z56" s="15">
        <f>IF(H56&gt;I56,1,0)</f>
        <v/>
      </c>
      <c r="AA56" s="15">
        <f>IF(K56&lt;M56,1,0)</f>
        <v/>
      </c>
      <c r="AB56" s="15" t="n"/>
      <c r="AC56" s="15">
        <f>LEFT(AG56,2)&amp;LEFT(AI56,2)</f>
        <v/>
      </c>
      <c r="AD56" s="15" t="n"/>
      <c r="AE56" s="15">
        <f>IF(K56&gt;L56,1,0)</f>
        <v/>
      </c>
      <c r="AF56" s="16">
        <f>IF(H56&gt;I56,1,0)</f>
        <v/>
      </c>
      <c r="AG56" s="16">
        <f>IF(SUM(AE56:AF56)=2,"Anticipatory_Buy","No_Action")</f>
        <v/>
      </c>
      <c r="AH56" s="15" t="n"/>
      <c r="AI56" s="15">
        <f>IF(SUM(AJ56:AK56)=2,"Confirm_Buy","No_Action")</f>
        <v/>
      </c>
      <c r="AJ56" s="15">
        <f>IF(H56&gt;I56,1,0)</f>
        <v/>
      </c>
      <c r="AK56" s="15">
        <f>IF(K56&gt;M56,1,0)</f>
        <v/>
      </c>
    </row>
    <row r="57" ht="14.5" customHeight="1">
      <c r="A57" s="12" t="inlineStr">
        <is>
          <t>BLUEDART</t>
        </is>
      </c>
      <c r="B57" s="13">
        <f>IFERROR(__xludf.DUMMYFUNCTION("GOOGLEFINANCE(""NSE:""&amp;A57,""PRICE"")"),7790)</f>
        <v/>
      </c>
      <c r="C57" s="13">
        <f>IFERROR(__xludf.DUMMYFUNCTION("GOOGLEFINANCE(""NSE:""&amp;A57,""PRICEOPEN"")"),7650)</f>
        <v/>
      </c>
      <c r="D57" s="13">
        <f>IFERROR(__xludf.DUMMYFUNCTION("GOOGLEFINANCE(""NSE:""&amp;A57,""HIGH"")"),7830)</f>
        <v/>
      </c>
      <c r="E57" s="13">
        <f>IFERROR(__xludf.DUMMYFUNCTION("GOOGLEFINANCE(""NSE:""&amp;A57,""LOW"")"),7650)</f>
        <v/>
      </c>
      <c r="F57" s="13">
        <f>IFERROR(__xludf.DUMMYFUNCTION("GOOGLEFINANCE(""NSE:""&amp;A57,""closeyest"")"),7688.4)</f>
        <v/>
      </c>
      <c r="G57" s="14">
        <f>(B57-C57)/B57</f>
        <v/>
      </c>
      <c r="H57" s="13">
        <f>IFERROR(__xludf.DUMMYFUNCTION("GOOGLEFINANCE(""NSE:""&amp;A57,""VOLUME"")"),7782)</f>
        <v/>
      </c>
      <c r="I57" s="13">
        <f>IFERROR(__xludf.DUMMYFUNCTION("AVERAGE(index(GOOGLEFINANCE(""NSE:""&amp;$A57, ""volume"", today()-21, today()-1), , 2))"),"#N/A")</f>
        <v/>
      </c>
      <c r="J57" s="14">
        <f>(H57-I57)/I57</f>
        <v/>
      </c>
      <c r="K57" s="13">
        <f>IFERROR(__xludf.DUMMYFUNCTION("AVERAGE(index(GOOGLEFINANCE(""NSE:""&amp;$A57, ""close"", today()-6, today()-1), , 2))"),"#N/A")</f>
        <v/>
      </c>
      <c r="L57" s="13">
        <f>IFERROR(__xludf.DUMMYFUNCTION("AVERAGE(index(GOOGLEFINANCE(""NSE:""&amp;$A57, ""close"", today()-14, today()-1), , 2))"),"#N/A")</f>
        <v/>
      </c>
      <c r="M57" s="13">
        <f>IFERROR(__xludf.DUMMYFUNCTION("AVERAGE(index(GOOGLEFINANCE(""NSE:""&amp;$A57, ""close"", today()-22, today()-1), , 2))"),"#N/A")</f>
        <v/>
      </c>
      <c r="N57" s="13">
        <f>AG57</f>
        <v/>
      </c>
      <c r="O57" s="13">
        <f>AI57</f>
        <v/>
      </c>
      <c r="P57" s="13">
        <f>W57</f>
        <v/>
      </c>
      <c r="Q57" s="13">
        <f>Y57</f>
        <v/>
      </c>
      <c r="R57" s="15" t="n"/>
      <c r="S57" s="15">
        <f>LEFT(W57,2)&amp;LEFT(Y57,2)</f>
        <v/>
      </c>
      <c r="T57" s="15" t="n"/>
      <c r="U57" s="15">
        <f>IF(K57&lt;L57,1,0)</f>
        <v/>
      </c>
      <c r="V57" s="15">
        <f>IF(H57&gt;I57,1,0)</f>
        <v/>
      </c>
      <c r="W57" s="15">
        <f>IF(SUM(U57:V57)=2,"Anticipatory_Sell","No_Action")</f>
        <v/>
      </c>
      <c r="X57" s="15" t="n"/>
      <c r="Y57" s="15">
        <f>IF(SUM(Z57:AA57)=2,"Confirm_Sell","No_Action")</f>
        <v/>
      </c>
      <c r="Z57" s="15">
        <f>IF(H57&gt;I57,1,0)</f>
        <v/>
      </c>
      <c r="AA57" s="15">
        <f>IF(K57&lt;M57,1,0)</f>
        <v/>
      </c>
      <c r="AB57" s="15" t="n"/>
      <c r="AC57" s="15">
        <f>LEFT(AG57,2)&amp;LEFT(AI57,2)</f>
        <v/>
      </c>
      <c r="AD57" s="15" t="n"/>
      <c r="AE57" s="15">
        <f>IF(K57&gt;L57,1,0)</f>
        <v/>
      </c>
      <c r="AF57" s="16">
        <f>IF(H57&gt;I57,1,0)</f>
        <v/>
      </c>
      <c r="AG57" s="16">
        <f>IF(SUM(AE57:AF57)=2,"Anticipatory_Buy","No_Action")</f>
        <v/>
      </c>
      <c r="AH57" s="15" t="n"/>
      <c r="AI57" s="15">
        <f>IF(SUM(AJ57:AK57)=2,"Confirm_Buy","No_Action")</f>
        <v/>
      </c>
      <c r="AJ57" s="15">
        <f>IF(H57&gt;I57,1,0)</f>
        <v/>
      </c>
      <c r="AK57" s="15">
        <f>IF(K57&gt;M57,1,0)</f>
        <v/>
      </c>
    </row>
    <row r="58" ht="14.5" customHeight="1">
      <c r="A58" s="12" t="inlineStr">
        <is>
          <t>BLUESTARCO</t>
        </is>
      </c>
      <c r="B58" s="13">
        <f>IFERROR(__xludf.DUMMYFUNCTION("GOOGLEFINANCE(""NSE:""&amp;A58,""PRICE"")"),2095)</f>
        <v/>
      </c>
      <c r="C58" s="13">
        <f>IFERROR(__xludf.DUMMYFUNCTION("GOOGLEFINANCE(""NSE:""&amp;A58,""PRICEOPEN"")"),2082.5)</f>
        <v/>
      </c>
      <c r="D58" s="13">
        <f>IFERROR(__xludf.DUMMYFUNCTION("GOOGLEFINANCE(""NSE:""&amp;A58,""HIGH"")"),2138.4)</f>
        <v/>
      </c>
      <c r="E58" s="13">
        <f>IFERROR(__xludf.DUMMYFUNCTION("GOOGLEFINANCE(""NSE:""&amp;A58,""LOW"")"),2015)</f>
        <v/>
      </c>
      <c r="F58" s="13">
        <f>IFERROR(__xludf.DUMMYFUNCTION("GOOGLEFINANCE(""NSE:""&amp;A58,""closeyest"")"),2082.05)</f>
        <v/>
      </c>
      <c r="G58" s="14">
        <f>(B58-C58)/B58</f>
        <v/>
      </c>
      <c r="H58" s="13">
        <f>IFERROR(__xludf.DUMMYFUNCTION("GOOGLEFINANCE(""NSE:""&amp;A58,""VOLUME"")"),530463)</f>
        <v/>
      </c>
      <c r="I58" s="13">
        <f>IFERROR(__xludf.DUMMYFUNCTION("AVERAGE(index(GOOGLEFINANCE(""NSE:""&amp;$A58, ""volume"", today()-21, today()-1), , 2))"),"#N/A")</f>
        <v/>
      </c>
      <c r="J58" s="14">
        <f>(H58-I58)/I58</f>
        <v/>
      </c>
      <c r="K58" s="13">
        <f>IFERROR(__xludf.DUMMYFUNCTION("AVERAGE(index(GOOGLEFINANCE(""NSE:""&amp;$A58, ""close"", today()-6, today()-1), , 2))"),"#N/A")</f>
        <v/>
      </c>
      <c r="L58" s="13">
        <f>IFERROR(__xludf.DUMMYFUNCTION("AVERAGE(index(GOOGLEFINANCE(""NSE:""&amp;$A58, ""close"", today()-14, today()-1), , 2))"),"#N/A")</f>
        <v/>
      </c>
      <c r="M58" s="13">
        <f>IFERROR(__xludf.DUMMYFUNCTION("AVERAGE(index(GOOGLEFINANCE(""NSE:""&amp;$A58, ""close"", today()-22, today()-1), , 2))"),"#N/A")</f>
        <v/>
      </c>
      <c r="N58" s="13">
        <f>AG58</f>
        <v/>
      </c>
      <c r="O58" s="13">
        <f>AI58</f>
        <v/>
      </c>
      <c r="P58" s="13">
        <f>W58</f>
        <v/>
      </c>
      <c r="Q58" s="13">
        <f>Y58</f>
        <v/>
      </c>
      <c r="R58" s="15" t="n"/>
      <c r="S58" s="15">
        <f>LEFT(W58,2)&amp;LEFT(Y58,2)</f>
        <v/>
      </c>
      <c r="T58" s="15" t="n"/>
      <c r="U58" s="15">
        <f>IF(K58&lt;L58,1,0)</f>
        <v/>
      </c>
      <c r="V58" s="15">
        <f>IF(H58&gt;I58,1,0)</f>
        <v/>
      </c>
      <c r="W58" s="15">
        <f>IF(SUM(U58:V58)=2,"Anticipatory_Sell","No_Action")</f>
        <v/>
      </c>
      <c r="X58" s="15" t="n"/>
      <c r="Y58" s="15">
        <f>IF(SUM(Z58:AA58)=2,"Confirm_Sell","No_Action")</f>
        <v/>
      </c>
      <c r="Z58" s="15">
        <f>IF(H58&gt;I58,1,0)</f>
        <v/>
      </c>
      <c r="AA58" s="15">
        <f>IF(K58&lt;M58,1,0)</f>
        <v/>
      </c>
      <c r="AB58" s="15" t="n"/>
      <c r="AC58" s="15">
        <f>LEFT(AG58,2)&amp;LEFT(AI58,2)</f>
        <v/>
      </c>
      <c r="AD58" s="15" t="n"/>
      <c r="AE58" s="15">
        <f>IF(K58&gt;L58,1,0)</f>
        <v/>
      </c>
      <c r="AF58" s="16">
        <f>IF(H58&gt;I58,1,0)</f>
        <v/>
      </c>
      <c r="AG58" s="16">
        <f>IF(SUM(AE58:AF58)=2,"Anticipatory_Buy","No_Action")</f>
        <v/>
      </c>
      <c r="AH58" s="15" t="n"/>
      <c r="AI58" s="15">
        <f>IF(SUM(AJ58:AK58)=2,"Confirm_Buy","No_Action")</f>
        <v/>
      </c>
      <c r="AJ58" s="15">
        <f>IF(H58&gt;I58,1,0)</f>
        <v/>
      </c>
      <c r="AK58" s="15">
        <f>IF(K58&gt;M58,1,0)</f>
        <v/>
      </c>
    </row>
    <row r="59" ht="14.5" customHeight="1">
      <c r="A59" s="12" t="inlineStr">
        <is>
          <t>BBTC</t>
        </is>
      </c>
      <c r="B59" s="13">
        <f>IFERROR(__xludf.DUMMYFUNCTION("GOOGLEFINANCE(""NSE:""&amp;A59,""PRICE"")"),2370)</f>
        <v/>
      </c>
      <c r="C59" s="13">
        <f>IFERROR(__xludf.DUMMYFUNCTION("GOOGLEFINANCE(""NSE:""&amp;A59,""PRICEOPEN"")"),2355.45)</f>
        <v/>
      </c>
      <c r="D59" s="13">
        <f>IFERROR(__xludf.DUMMYFUNCTION("GOOGLEFINANCE(""NSE:""&amp;A59,""HIGH"")"),2487.65)</f>
        <v/>
      </c>
      <c r="E59" s="13">
        <f>IFERROR(__xludf.DUMMYFUNCTION("GOOGLEFINANCE(""NSE:""&amp;A59,""LOW"")"),2355.45)</f>
        <v/>
      </c>
      <c r="F59" s="13">
        <f>IFERROR(__xludf.DUMMYFUNCTION("GOOGLEFINANCE(""NSE:""&amp;A59,""closeyest"")"),2355.45)</f>
        <v/>
      </c>
      <c r="G59" s="14">
        <f>(B59-C59)/B59</f>
        <v/>
      </c>
      <c r="H59" s="13">
        <f>IFERROR(__xludf.DUMMYFUNCTION("GOOGLEFINANCE(""NSE:""&amp;A59,""VOLUME"")"),222284)</f>
        <v/>
      </c>
      <c r="I59" s="13">
        <f>IFERROR(__xludf.DUMMYFUNCTION("AVERAGE(index(GOOGLEFINANCE(""NSE:""&amp;$A59, ""volume"", today()-21, today()-1), , 2))"),"#N/A")</f>
        <v/>
      </c>
      <c r="J59" s="14">
        <f>(H59-I59)/I59</f>
        <v/>
      </c>
      <c r="K59" s="13">
        <f>IFERROR(__xludf.DUMMYFUNCTION("AVERAGE(index(GOOGLEFINANCE(""NSE:""&amp;$A59, ""close"", today()-6, today()-1), , 2))"),"#N/A")</f>
        <v/>
      </c>
      <c r="L59" s="13">
        <f>IFERROR(__xludf.DUMMYFUNCTION("AVERAGE(index(GOOGLEFINANCE(""NSE:""&amp;$A59, ""close"", today()-14, today()-1), , 2))"),"#N/A")</f>
        <v/>
      </c>
      <c r="M59" s="13">
        <f>IFERROR(__xludf.DUMMYFUNCTION("AVERAGE(index(GOOGLEFINANCE(""NSE:""&amp;$A59, ""close"", today()-22, today()-1), , 2))"),"#N/A")</f>
        <v/>
      </c>
      <c r="N59" s="13">
        <f>AG59</f>
        <v/>
      </c>
      <c r="O59" s="13">
        <f>AI59</f>
        <v/>
      </c>
      <c r="P59" s="13">
        <f>W59</f>
        <v/>
      </c>
      <c r="Q59" s="13">
        <f>Y59</f>
        <v/>
      </c>
      <c r="R59" s="15" t="n"/>
      <c r="S59" s="15">
        <f>LEFT(W59,2)&amp;LEFT(Y59,2)</f>
        <v/>
      </c>
      <c r="T59" s="15" t="n"/>
      <c r="U59" s="15">
        <f>IF(K59&lt;L59,1,0)</f>
        <v/>
      </c>
      <c r="V59" s="15">
        <f>IF(H59&gt;I59,1,0)</f>
        <v/>
      </c>
      <c r="W59" s="15">
        <f>IF(SUM(U59:V59)=2,"Anticipatory_Sell","No_Action")</f>
        <v/>
      </c>
      <c r="X59" s="15" t="n"/>
      <c r="Y59" s="15">
        <f>IF(SUM(Z59:AA59)=2,"Confirm_Sell","No_Action")</f>
        <v/>
      </c>
      <c r="Z59" s="15">
        <f>IF(H59&gt;I59,1,0)</f>
        <v/>
      </c>
      <c r="AA59" s="15">
        <f>IF(K59&lt;M59,1,0)</f>
        <v/>
      </c>
      <c r="AB59" s="15" t="n"/>
      <c r="AC59" s="15">
        <f>LEFT(AG59,2)&amp;LEFT(AI59,2)</f>
        <v/>
      </c>
      <c r="AD59" s="15" t="n"/>
      <c r="AE59" s="15">
        <f>IF(K59&gt;L59,1,0)</f>
        <v/>
      </c>
      <c r="AF59" s="16">
        <f>IF(H59&gt;I59,1,0)</f>
        <v/>
      </c>
      <c r="AG59" s="16">
        <f>IF(SUM(AE59:AF59)=2,"Anticipatory_Buy","No_Action")</f>
        <v/>
      </c>
      <c r="AH59" s="15" t="n"/>
      <c r="AI59" s="15">
        <f>IF(SUM(AJ59:AK59)=2,"Confirm_Buy","No_Action")</f>
        <v/>
      </c>
      <c r="AJ59" s="15">
        <f>IF(H59&gt;I59,1,0)</f>
        <v/>
      </c>
      <c r="AK59" s="15">
        <f>IF(K59&gt;M59,1,0)</f>
        <v/>
      </c>
    </row>
    <row r="60" ht="14.5" customHeight="1">
      <c r="A60" s="12" t="inlineStr">
        <is>
          <t>BOROLTD</t>
        </is>
      </c>
      <c r="B60" s="13">
        <f>IFERROR(__xludf.DUMMYFUNCTION("GOOGLEFINANCE(""NSE:""&amp;A60,""PRICE"")"),475)</f>
        <v/>
      </c>
      <c r="C60" s="13">
        <f>IFERROR(__xludf.DUMMYFUNCTION("GOOGLEFINANCE(""NSE:""&amp;A60,""PRICEOPEN"")"),467)</f>
        <v/>
      </c>
      <c r="D60" s="13">
        <f>IFERROR(__xludf.DUMMYFUNCTION("GOOGLEFINANCE(""NSE:""&amp;A60,""HIGH"")"),483.35)</f>
        <v/>
      </c>
      <c r="E60" s="13">
        <f>IFERROR(__xludf.DUMMYFUNCTION("GOOGLEFINANCE(""NSE:""&amp;A60,""LOW"")"),463.95)</f>
        <v/>
      </c>
      <c r="F60" s="13">
        <f>IFERROR(__xludf.DUMMYFUNCTION("GOOGLEFINANCE(""NSE:""&amp;A60,""closeyest"")"),469.85)</f>
        <v/>
      </c>
      <c r="G60" s="14">
        <f>(B60-C60)/B60</f>
        <v/>
      </c>
      <c r="H60" s="13">
        <f>IFERROR(__xludf.DUMMYFUNCTION("GOOGLEFINANCE(""NSE:""&amp;A60,""VOLUME"")"),188615)</f>
        <v/>
      </c>
      <c r="I60" s="13">
        <f>IFERROR(__xludf.DUMMYFUNCTION("AVERAGE(index(GOOGLEFINANCE(""NSE:""&amp;$A60, ""volume"", today()-21, today()-1), , 2))"),"#N/A")</f>
        <v/>
      </c>
      <c r="J60" s="14">
        <f>(H60-I60)/I60</f>
        <v/>
      </c>
      <c r="K60" s="13">
        <f>IFERROR(__xludf.DUMMYFUNCTION("AVERAGE(index(GOOGLEFINANCE(""NSE:""&amp;$A60, ""close"", today()-6, today()-1), , 2))"),"#N/A")</f>
        <v/>
      </c>
      <c r="L60" s="13">
        <f>IFERROR(__xludf.DUMMYFUNCTION("AVERAGE(index(GOOGLEFINANCE(""NSE:""&amp;$A60, ""close"", today()-14, today()-1), , 2))"),"#N/A")</f>
        <v/>
      </c>
      <c r="M60" s="13">
        <f>IFERROR(__xludf.DUMMYFUNCTION("AVERAGE(index(GOOGLEFINANCE(""NSE:""&amp;$A60, ""close"", today()-22, today()-1), , 2))"),"#N/A")</f>
        <v/>
      </c>
      <c r="N60" s="13">
        <f>AG60</f>
        <v/>
      </c>
      <c r="O60" s="13">
        <f>AI60</f>
        <v/>
      </c>
      <c r="P60" s="13">
        <f>W60</f>
        <v/>
      </c>
      <c r="Q60" s="13">
        <f>Y60</f>
        <v/>
      </c>
      <c r="R60" s="15" t="n"/>
      <c r="S60" s="15">
        <f>LEFT(W60,2)&amp;LEFT(Y60,2)</f>
        <v/>
      </c>
      <c r="T60" s="15" t="n"/>
      <c r="U60" s="15">
        <f>IF(K60&lt;L60,1,0)</f>
        <v/>
      </c>
      <c r="V60" s="15">
        <f>IF(H60&gt;I60,1,0)</f>
        <v/>
      </c>
      <c r="W60" s="15">
        <f>IF(SUM(U60:V60)=2,"Anticipatory_Sell","No_Action")</f>
        <v/>
      </c>
      <c r="X60" s="15" t="n"/>
      <c r="Y60" s="15">
        <f>IF(SUM(Z60:AA60)=2,"Confirm_Sell","No_Action")</f>
        <v/>
      </c>
      <c r="Z60" s="15">
        <f>IF(H60&gt;I60,1,0)</f>
        <v/>
      </c>
      <c r="AA60" s="15">
        <f>IF(K60&lt;M60,1,0)</f>
        <v/>
      </c>
      <c r="AB60" s="15" t="n"/>
      <c r="AC60" s="15">
        <f>LEFT(AG60,2)&amp;LEFT(AI60,2)</f>
        <v/>
      </c>
      <c r="AD60" s="15" t="n"/>
      <c r="AE60" s="15">
        <f>IF(K60&gt;L60,1,0)</f>
        <v/>
      </c>
      <c r="AF60" s="16">
        <f>IF(H60&gt;I60,1,0)</f>
        <v/>
      </c>
      <c r="AG60" s="16">
        <f>IF(SUM(AE60:AF60)=2,"Anticipatory_Buy","No_Action")</f>
        <v/>
      </c>
      <c r="AH60" s="15" t="n"/>
      <c r="AI60" s="15">
        <f>IF(SUM(AJ60:AK60)=2,"Confirm_Buy","No_Action")</f>
        <v/>
      </c>
      <c r="AJ60" s="15">
        <f>IF(H60&gt;I60,1,0)</f>
        <v/>
      </c>
      <c r="AK60" s="15">
        <f>IF(K60&gt;M60,1,0)</f>
        <v/>
      </c>
    </row>
    <row r="61" ht="14.5" customHeight="1">
      <c r="A61" s="12" t="inlineStr">
        <is>
          <t>BRITANNIA</t>
        </is>
      </c>
      <c r="B61" s="13">
        <f>IFERROR(__xludf.DUMMYFUNCTION("GOOGLEFINANCE(""NSE:""&amp;A61,""PRICE"")"),4798)</f>
        <v/>
      </c>
      <c r="C61" s="13">
        <f>IFERROR(__xludf.DUMMYFUNCTION("GOOGLEFINANCE(""NSE:""&amp;A61,""PRICEOPEN"")"),4844.95)</f>
        <v/>
      </c>
      <c r="D61" s="13">
        <f>IFERROR(__xludf.DUMMYFUNCTION("GOOGLEFINANCE(""NSE:""&amp;A61,""HIGH"")"),4855.9)</f>
        <v/>
      </c>
      <c r="E61" s="13">
        <f>IFERROR(__xludf.DUMMYFUNCTION("GOOGLEFINANCE(""NSE:""&amp;A61,""LOW"")"),4750.05)</f>
        <v/>
      </c>
      <c r="F61" s="13">
        <f>IFERROR(__xludf.DUMMYFUNCTION("GOOGLEFINANCE(""NSE:""&amp;A61,""closeyest"")"),4870.85)</f>
        <v/>
      </c>
      <c r="G61" s="14">
        <f>(B61-C61)/B61</f>
        <v/>
      </c>
      <c r="H61" s="13">
        <f>IFERROR(__xludf.DUMMYFUNCTION("GOOGLEFINANCE(""NSE:""&amp;A61,""VOLUME"")"),467154)</f>
        <v/>
      </c>
      <c r="I61" s="13">
        <f>IFERROR(__xludf.DUMMYFUNCTION("AVERAGE(index(GOOGLEFINANCE(""NSE:""&amp;$A61, ""volume"", today()-21, today()-1), , 2))"),"#N/A")</f>
        <v/>
      </c>
      <c r="J61" s="14">
        <f>(H61-I61)/I61</f>
        <v/>
      </c>
      <c r="K61" s="13">
        <f>IFERROR(__xludf.DUMMYFUNCTION("AVERAGE(index(GOOGLEFINANCE(""NSE:""&amp;$A61, ""close"", today()-6, today()-1), , 2))"),"#N/A")</f>
        <v/>
      </c>
      <c r="L61" s="13">
        <f>IFERROR(__xludf.DUMMYFUNCTION("AVERAGE(index(GOOGLEFINANCE(""NSE:""&amp;$A61, ""close"", today()-14, today()-1), , 2))"),"#N/A")</f>
        <v/>
      </c>
      <c r="M61" s="13">
        <f>IFERROR(__xludf.DUMMYFUNCTION("AVERAGE(index(GOOGLEFINANCE(""NSE:""&amp;$A61, ""close"", today()-22, today()-1), , 2))"),"#N/A")</f>
        <v/>
      </c>
      <c r="N61" s="13">
        <f>AG61</f>
        <v/>
      </c>
      <c r="O61" s="13">
        <f>AI61</f>
        <v/>
      </c>
      <c r="P61" s="13">
        <f>W61</f>
        <v/>
      </c>
      <c r="Q61" s="13">
        <f>Y61</f>
        <v/>
      </c>
      <c r="R61" s="15" t="n"/>
      <c r="S61" s="15">
        <f>LEFT(W61,2)&amp;LEFT(Y61,2)</f>
        <v/>
      </c>
      <c r="T61" s="15" t="n"/>
      <c r="U61" s="15">
        <f>IF(K61&lt;L61,1,0)</f>
        <v/>
      </c>
      <c r="V61" s="15">
        <f>IF(H61&gt;I61,1,0)</f>
        <v/>
      </c>
      <c r="W61" s="15">
        <f>IF(SUM(U61:V61)=2,"Anticipatory_Sell","No_Action")</f>
        <v/>
      </c>
      <c r="X61" s="15" t="n"/>
      <c r="Y61" s="15">
        <f>IF(SUM(Z61:AA61)=2,"Confirm_Sell","No_Action")</f>
        <v/>
      </c>
      <c r="Z61" s="15">
        <f>IF(H61&gt;I61,1,0)</f>
        <v/>
      </c>
      <c r="AA61" s="15">
        <f>IF(K61&lt;M61,1,0)</f>
        <v/>
      </c>
      <c r="AB61" s="15" t="n"/>
      <c r="AC61" s="15">
        <f>LEFT(AG61,2)&amp;LEFT(AI61,2)</f>
        <v/>
      </c>
      <c r="AD61" s="15" t="n"/>
      <c r="AE61" s="15">
        <f>IF(K61&gt;L61,1,0)</f>
        <v/>
      </c>
      <c r="AF61" s="16">
        <f>IF(H61&gt;I61,1,0)</f>
        <v/>
      </c>
      <c r="AG61" s="16">
        <f>IF(SUM(AE61:AF61)=2,"Anticipatory_Buy","No_Action")</f>
        <v/>
      </c>
      <c r="AH61" s="15" t="n"/>
      <c r="AI61" s="15">
        <f>IF(SUM(AJ61:AK61)=2,"Confirm_Buy","No_Action")</f>
        <v/>
      </c>
      <c r="AJ61" s="15">
        <f>IF(H61&gt;I61,1,0)</f>
        <v/>
      </c>
      <c r="AK61" s="15">
        <f>IF(K61&gt;M61,1,0)</f>
        <v/>
      </c>
    </row>
    <row r="62" ht="14.5" customHeight="1">
      <c r="A62" s="12" t="inlineStr">
        <is>
          <t>CAMS</t>
        </is>
      </c>
      <c r="B62" s="13">
        <f>IFERROR(__xludf.DUMMYFUNCTION("GOOGLEFINANCE(""NSE:""&amp;A62,""PRICE"")"),5284)</f>
        <v/>
      </c>
      <c r="C62" s="13">
        <f>IFERROR(__xludf.DUMMYFUNCTION("GOOGLEFINANCE(""NSE:""&amp;A62,""PRICEOPEN"")"),5069.6)</f>
        <v/>
      </c>
      <c r="D62" s="13">
        <f>IFERROR(__xludf.DUMMYFUNCTION("GOOGLEFINANCE(""NSE:""&amp;A62,""HIGH"")"),5315)</f>
        <v/>
      </c>
      <c r="E62" s="13">
        <f>IFERROR(__xludf.DUMMYFUNCTION("GOOGLEFINANCE(""NSE:""&amp;A62,""LOW"")"),5022.05)</f>
        <v/>
      </c>
      <c r="F62" s="13">
        <f>IFERROR(__xludf.DUMMYFUNCTION("GOOGLEFINANCE(""NSE:""&amp;A62,""closeyest"")"),5069.6)</f>
        <v/>
      </c>
      <c r="G62" s="14">
        <f>(B62-C62)/B62</f>
        <v/>
      </c>
      <c r="H62" s="13">
        <f>IFERROR(__xludf.DUMMYFUNCTION("GOOGLEFINANCE(""NSE:""&amp;A62,""VOLUME"")"),746803)</f>
        <v/>
      </c>
      <c r="I62" s="13">
        <f>IFERROR(__xludf.DUMMYFUNCTION("AVERAGE(index(GOOGLEFINANCE(""NSE:""&amp;$A62, ""volume"", today()-21, today()-1), , 2))"),"#N/A")</f>
        <v/>
      </c>
      <c r="J62" s="14">
        <f>(H62-I62)/I62</f>
        <v/>
      </c>
      <c r="K62" s="13">
        <f>IFERROR(__xludf.DUMMYFUNCTION("AVERAGE(index(GOOGLEFINANCE(""NSE:""&amp;$A62, ""close"", today()-6, today()-1), , 2))"),"#N/A")</f>
        <v/>
      </c>
      <c r="L62" s="13">
        <f>IFERROR(__xludf.DUMMYFUNCTION("AVERAGE(index(GOOGLEFINANCE(""NSE:""&amp;$A62, ""close"", today()-14, today()-1), , 2))"),"#N/A")</f>
        <v/>
      </c>
      <c r="M62" s="13">
        <f>IFERROR(__xludf.DUMMYFUNCTION("AVERAGE(index(GOOGLEFINANCE(""NSE:""&amp;$A62, ""close"", today()-22, today()-1), , 2))"),"#N/A")</f>
        <v/>
      </c>
      <c r="N62" s="13">
        <f>AG62</f>
        <v/>
      </c>
      <c r="O62" s="13">
        <f>AI62</f>
        <v/>
      </c>
      <c r="P62" s="13">
        <f>W62</f>
        <v/>
      </c>
      <c r="Q62" s="13">
        <f>Y62</f>
        <v/>
      </c>
      <c r="R62" s="15" t="n"/>
      <c r="S62" s="15">
        <f>LEFT(W62,2)&amp;LEFT(Y62,2)</f>
        <v/>
      </c>
      <c r="T62" s="15" t="n"/>
      <c r="U62" s="15">
        <f>IF(K62&lt;L62,1,0)</f>
        <v/>
      </c>
      <c r="V62" s="15">
        <f>IF(H62&gt;I62,1,0)</f>
        <v/>
      </c>
      <c r="W62" s="15">
        <f>IF(SUM(U62:V62)=2,"Anticipatory_Sell","No_Action")</f>
        <v/>
      </c>
      <c r="X62" s="15" t="n"/>
      <c r="Y62" s="15">
        <f>IF(SUM(Z62:AA62)=2,"Confirm_Sell","No_Action")</f>
        <v/>
      </c>
      <c r="Z62" s="15">
        <f>IF(H62&gt;I62,1,0)</f>
        <v/>
      </c>
      <c r="AA62" s="15">
        <f>IF(K62&lt;M62,1,0)</f>
        <v/>
      </c>
      <c r="AB62" s="15" t="n"/>
      <c r="AC62" s="15">
        <f>LEFT(AG62,2)&amp;LEFT(AI62,2)</f>
        <v/>
      </c>
      <c r="AD62" s="15" t="n"/>
      <c r="AE62" s="15">
        <f>IF(K62&gt;L62,1,0)</f>
        <v/>
      </c>
      <c r="AF62" s="16">
        <f>IF(H62&gt;I62,1,0)</f>
        <v/>
      </c>
      <c r="AG62" s="16">
        <f>IF(SUM(AE62:AF62)=2,"Anticipatory_Buy","No_Action")</f>
        <v/>
      </c>
      <c r="AH62" s="15" t="n"/>
      <c r="AI62" s="15">
        <f>IF(SUM(AJ62:AK62)=2,"Confirm_Buy","No_Action")</f>
        <v/>
      </c>
      <c r="AJ62" s="15">
        <f>IF(H62&gt;I62,1,0)</f>
        <v/>
      </c>
      <c r="AK62" s="15">
        <f>IF(K62&gt;M62,1,0)</f>
        <v/>
      </c>
    </row>
    <row r="63" ht="14.5" customHeight="1">
      <c r="A63" s="12" t="inlineStr">
        <is>
          <t>CAPLIPOINT</t>
        </is>
      </c>
      <c r="B63" s="13">
        <f>IFERROR(__xludf.DUMMYFUNCTION("GOOGLEFINANCE(""NSE:""&amp;A63,""PRICE"")"),2375)</f>
        <v/>
      </c>
      <c r="C63" s="13">
        <f>IFERROR(__xludf.DUMMYFUNCTION("GOOGLEFINANCE(""NSE:""&amp;A63,""PRICEOPEN"")"),2363.2)</f>
        <v/>
      </c>
      <c r="D63" s="13">
        <f>IFERROR(__xludf.DUMMYFUNCTION("GOOGLEFINANCE(""NSE:""&amp;A63,""HIGH"")"),2418)</f>
        <v/>
      </c>
      <c r="E63" s="13">
        <f>IFERROR(__xludf.DUMMYFUNCTION("GOOGLEFINANCE(""NSE:""&amp;A63,""LOW"")"),2340)</f>
        <v/>
      </c>
      <c r="F63" s="13">
        <f>IFERROR(__xludf.DUMMYFUNCTION("GOOGLEFINANCE(""NSE:""&amp;A63,""closeyest"")"),2354.65)</f>
        <v/>
      </c>
      <c r="G63" s="14">
        <f>(B63-C63)/B63</f>
        <v/>
      </c>
      <c r="H63" s="13">
        <f>IFERROR(__xludf.DUMMYFUNCTION("GOOGLEFINANCE(""NSE:""&amp;A63,""VOLUME"")"),139725)</f>
        <v/>
      </c>
      <c r="I63" s="13">
        <f>IFERROR(__xludf.DUMMYFUNCTION("AVERAGE(index(GOOGLEFINANCE(""NSE:""&amp;$A63, ""volume"", today()-21, today()-1), , 2))"),"#N/A")</f>
        <v/>
      </c>
      <c r="J63" s="14">
        <f>(H63-I63)/I63</f>
        <v/>
      </c>
      <c r="K63" s="13">
        <f>IFERROR(__xludf.DUMMYFUNCTION("AVERAGE(index(GOOGLEFINANCE(""NSE:""&amp;$A63, ""close"", today()-6, today()-1), , 2))"),"#N/A")</f>
        <v/>
      </c>
      <c r="L63" s="13">
        <f>IFERROR(__xludf.DUMMYFUNCTION("AVERAGE(index(GOOGLEFINANCE(""NSE:""&amp;$A63, ""close"", today()-14, today()-1), , 2))"),"#N/A")</f>
        <v/>
      </c>
      <c r="M63" s="13">
        <f>IFERROR(__xludf.DUMMYFUNCTION("AVERAGE(index(GOOGLEFINANCE(""NSE:""&amp;$A63, ""close"", today()-22, today()-1), , 2))"),"#N/A")</f>
        <v/>
      </c>
      <c r="N63" s="13">
        <f>AG63</f>
        <v/>
      </c>
      <c r="O63" s="13">
        <f>AI63</f>
        <v/>
      </c>
      <c r="P63" s="13">
        <f>W63</f>
        <v/>
      </c>
      <c r="Q63" s="13">
        <f>Y63</f>
        <v/>
      </c>
      <c r="R63" s="15" t="n"/>
      <c r="S63" s="15">
        <f>LEFT(W63,2)&amp;LEFT(Y63,2)</f>
        <v/>
      </c>
      <c r="T63" s="15" t="n"/>
      <c r="U63" s="15">
        <f>IF(K63&lt;L63,1,0)</f>
        <v/>
      </c>
      <c r="V63" s="15">
        <f>IF(H63&gt;I63,1,0)</f>
        <v/>
      </c>
      <c r="W63" s="15">
        <f>IF(SUM(U63:V63)=2,"Anticipatory_Sell","No_Action")</f>
        <v/>
      </c>
      <c r="X63" s="15" t="n"/>
      <c r="Y63" s="15">
        <f>IF(SUM(Z63:AA63)=2,"Confirm_Sell","No_Action")</f>
        <v/>
      </c>
      <c r="Z63" s="15">
        <f>IF(H63&gt;I63,1,0)</f>
        <v/>
      </c>
      <c r="AA63" s="15">
        <f>IF(K63&lt;M63,1,0)</f>
        <v/>
      </c>
      <c r="AB63" s="15" t="n"/>
      <c r="AC63" s="15">
        <f>LEFT(AG63,2)&amp;LEFT(AI63,2)</f>
        <v/>
      </c>
      <c r="AD63" s="15" t="n"/>
      <c r="AE63" s="15">
        <f>IF(K63&gt;L63,1,0)</f>
        <v/>
      </c>
      <c r="AF63" s="16">
        <f>IF(H63&gt;I63,1,0)</f>
        <v/>
      </c>
      <c r="AG63" s="16">
        <f>IF(SUM(AE63:AF63)=2,"Anticipatory_Buy","No_Action")</f>
        <v/>
      </c>
      <c r="AH63" s="15" t="n"/>
      <c r="AI63" s="15">
        <f>IF(SUM(AJ63:AK63)=2,"Confirm_Buy","No_Action")</f>
        <v/>
      </c>
      <c r="AJ63" s="15">
        <f>IF(H63&gt;I63,1,0)</f>
        <v/>
      </c>
      <c r="AK63" s="15">
        <f>IF(K63&gt;M63,1,0)</f>
        <v/>
      </c>
    </row>
    <row r="64" ht="14.5" customHeight="1">
      <c r="A64" s="12" t="inlineStr">
        <is>
          <t>CARBORUNIV</t>
        </is>
      </c>
      <c r="B64" s="13">
        <f>IFERROR(__xludf.DUMMYFUNCTION("GOOGLEFINANCE(""NSE:""&amp;A64,""PRICE"")"),1365)</f>
        <v/>
      </c>
      <c r="C64" s="13">
        <f>IFERROR(__xludf.DUMMYFUNCTION("GOOGLEFINANCE(""NSE:""&amp;A64,""PRICEOPEN"")"),1365)</f>
        <v/>
      </c>
      <c r="D64" s="13">
        <f>IFERROR(__xludf.DUMMYFUNCTION("GOOGLEFINANCE(""NSE:""&amp;A64,""HIGH"")"),1385.95)</f>
        <v/>
      </c>
      <c r="E64" s="13">
        <f>IFERROR(__xludf.DUMMYFUNCTION("GOOGLEFINANCE(""NSE:""&amp;A64,""LOW"")"),1357.05)</f>
        <v/>
      </c>
      <c r="F64" s="13">
        <f>IFERROR(__xludf.DUMMYFUNCTION("GOOGLEFINANCE(""NSE:""&amp;A64,""closeyest"")"),1363.85)</f>
        <v/>
      </c>
      <c r="G64" s="14">
        <f>(B64-C64)/B64</f>
        <v/>
      </c>
      <c r="H64" s="13">
        <f>IFERROR(__xludf.DUMMYFUNCTION("GOOGLEFINANCE(""NSE:""&amp;A64,""VOLUME"")"),81468)</f>
        <v/>
      </c>
      <c r="I64" s="13">
        <f>IFERROR(__xludf.DUMMYFUNCTION("AVERAGE(index(GOOGLEFINANCE(""NSE:""&amp;$A64, ""volume"", today()-21, today()-1), , 2))"),"#N/A")</f>
        <v/>
      </c>
      <c r="J64" s="14">
        <f>(H64-I64)/I64</f>
        <v/>
      </c>
      <c r="K64" s="13">
        <f>IFERROR(__xludf.DUMMYFUNCTION("AVERAGE(index(GOOGLEFINANCE(""NSE:""&amp;$A64, ""close"", today()-6, today()-1), , 2))"),"#N/A")</f>
        <v/>
      </c>
      <c r="L64" s="13">
        <f>IFERROR(__xludf.DUMMYFUNCTION("AVERAGE(index(GOOGLEFINANCE(""NSE:""&amp;$A64, ""close"", today()-14, today()-1), , 2))"),"#N/A")</f>
        <v/>
      </c>
      <c r="M64" s="13">
        <f>IFERROR(__xludf.DUMMYFUNCTION("AVERAGE(index(GOOGLEFINANCE(""NSE:""&amp;$A64, ""close"", today()-22, today()-1), , 2))"),"#N/A")</f>
        <v/>
      </c>
      <c r="N64" s="13">
        <f>AG64</f>
        <v/>
      </c>
      <c r="O64" s="13">
        <f>AI64</f>
        <v/>
      </c>
      <c r="P64" s="13">
        <f>W64</f>
        <v/>
      </c>
      <c r="Q64" s="13">
        <f>Y64</f>
        <v/>
      </c>
      <c r="R64" s="15" t="n"/>
      <c r="S64" s="15">
        <f>LEFT(W64,2)&amp;LEFT(Y64,2)</f>
        <v/>
      </c>
      <c r="T64" s="15" t="n"/>
      <c r="U64" s="15">
        <f>IF(K64&lt;L64,1,0)</f>
        <v/>
      </c>
      <c r="V64" s="15">
        <f>IF(H64&gt;I64,1,0)</f>
        <v/>
      </c>
      <c r="W64" s="15">
        <f>IF(SUM(U64:V64)=2,"Anticipatory_Sell","No_Action")</f>
        <v/>
      </c>
      <c r="X64" s="15" t="n"/>
      <c r="Y64" s="15">
        <f>IF(SUM(Z64:AA64)=2,"Confirm_Sell","No_Action")</f>
        <v/>
      </c>
      <c r="Z64" s="15">
        <f>IF(H64&gt;I64,1,0)</f>
        <v/>
      </c>
      <c r="AA64" s="15">
        <f>IF(K64&lt;M64,1,0)</f>
        <v/>
      </c>
      <c r="AB64" s="15" t="n"/>
      <c r="AC64" s="15">
        <f>LEFT(AG64,2)&amp;LEFT(AI64,2)</f>
        <v/>
      </c>
      <c r="AD64" s="15" t="n"/>
      <c r="AE64" s="15">
        <f>IF(K64&gt;L64,1,0)</f>
        <v/>
      </c>
      <c r="AF64" s="16">
        <f>IF(H64&gt;I64,1,0)</f>
        <v/>
      </c>
      <c r="AG64" s="16">
        <f>IF(SUM(AE64:AF64)=2,"Anticipatory_Buy","No_Action")</f>
        <v/>
      </c>
      <c r="AH64" s="15" t="n"/>
      <c r="AI64" s="15">
        <f>IF(SUM(AJ64:AK64)=2,"Confirm_Buy","No_Action")</f>
        <v/>
      </c>
      <c r="AJ64" s="15">
        <f>IF(H64&gt;I64,1,0)</f>
        <v/>
      </c>
      <c r="AK64" s="15">
        <f>IF(K64&gt;M64,1,0)</f>
        <v/>
      </c>
    </row>
    <row r="65" ht="14.5" customHeight="1">
      <c r="A65" s="12" t="inlineStr">
        <is>
          <t>CARERATING</t>
        </is>
      </c>
      <c r="B65" s="13">
        <f>IFERROR(__xludf.DUMMYFUNCTION("GOOGLEFINANCE(""NSE:""&amp;A65,""PRICE"")"),1412.05)</f>
        <v/>
      </c>
      <c r="C65" s="13">
        <f>IFERROR(__xludf.DUMMYFUNCTION("GOOGLEFINANCE(""NSE:""&amp;A65,""PRICEOPEN"")"),1420)</f>
        <v/>
      </c>
      <c r="D65" s="13">
        <f>IFERROR(__xludf.DUMMYFUNCTION("GOOGLEFINANCE(""NSE:""&amp;A65,""HIGH"")"),1455.85)</f>
        <v/>
      </c>
      <c r="E65" s="13">
        <f>IFERROR(__xludf.DUMMYFUNCTION("GOOGLEFINANCE(""NSE:""&amp;A65,""LOW"")"),1400)</f>
        <v/>
      </c>
      <c r="F65" s="13">
        <f>IFERROR(__xludf.DUMMYFUNCTION("GOOGLEFINANCE(""NSE:""&amp;A65,""closeyest"")"),1418.1)</f>
        <v/>
      </c>
      <c r="G65" s="14">
        <f>(B65-C65)/B65</f>
        <v/>
      </c>
      <c r="H65" s="13">
        <f>IFERROR(__xludf.DUMMYFUNCTION("GOOGLEFINANCE(""NSE:""&amp;A65,""VOLUME"")"),63977)</f>
        <v/>
      </c>
      <c r="I65" s="13">
        <f>IFERROR(__xludf.DUMMYFUNCTION("AVERAGE(index(GOOGLEFINANCE(""NSE:""&amp;$A65, ""volume"", today()-21, today()-1), , 2))"),"#N/A")</f>
        <v/>
      </c>
      <c r="J65" s="14">
        <f>(H65-I65)/I65</f>
        <v/>
      </c>
      <c r="K65" s="13">
        <f>IFERROR(__xludf.DUMMYFUNCTION("AVERAGE(index(GOOGLEFINANCE(""NSE:""&amp;$A65, ""close"", today()-6, today()-1), , 2))"),"#N/A")</f>
        <v/>
      </c>
      <c r="L65" s="13">
        <f>IFERROR(__xludf.DUMMYFUNCTION("AVERAGE(index(GOOGLEFINANCE(""NSE:""&amp;$A65, ""close"", today()-14, today()-1), , 2))"),"#N/A")</f>
        <v/>
      </c>
      <c r="M65" s="13">
        <f>IFERROR(__xludf.DUMMYFUNCTION("AVERAGE(index(GOOGLEFINANCE(""NSE:""&amp;$A65, ""close"", today()-22, today()-1), , 2))"),"#N/A")</f>
        <v/>
      </c>
      <c r="N65" s="13">
        <f>AG65</f>
        <v/>
      </c>
      <c r="O65" s="13">
        <f>AI65</f>
        <v/>
      </c>
      <c r="P65" s="13">
        <f>W65</f>
        <v/>
      </c>
      <c r="Q65" s="13">
        <f>Y65</f>
        <v/>
      </c>
      <c r="R65" s="15" t="n"/>
      <c r="S65" s="15">
        <f>LEFT(W65,2)&amp;LEFT(Y65,2)</f>
        <v/>
      </c>
      <c r="T65" s="15" t="n"/>
      <c r="U65" s="15">
        <f>IF(K65&lt;L65,1,0)</f>
        <v/>
      </c>
      <c r="V65" s="15">
        <f>IF(H65&gt;I65,1,0)</f>
        <v/>
      </c>
      <c r="W65" s="15">
        <f>IF(SUM(U65:V65)=2,"Anticipatory_Sell","No_Action")</f>
        <v/>
      </c>
      <c r="X65" s="15" t="n"/>
      <c r="Y65" s="15">
        <f>IF(SUM(Z65:AA65)=2,"Confirm_Sell","No_Action")</f>
        <v/>
      </c>
      <c r="Z65" s="15">
        <f>IF(H65&gt;I65,1,0)</f>
        <v/>
      </c>
      <c r="AA65" s="15">
        <f>IF(K65&lt;M65,1,0)</f>
        <v/>
      </c>
      <c r="AB65" s="15" t="n"/>
      <c r="AC65" s="15">
        <f>LEFT(AG65,2)&amp;LEFT(AI65,2)</f>
        <v/>
      </c>
      <c r="AD65" s="15" t="n"/>
      <c r="AE65" s="15">
        <f>IF(K65&gt;L65,1,0)</f>
        <v/>
      </c>
      <c r="AF65" s="16">
        <f>IF(H65&gt;I65,1,0)</f>
        <v/>
      </c>
      <c r="AG65" s="16">
        <f>IF(SUM(AE65:AF65)=2,"Anticipatory_Buy","No_Action")</f>
        <v/>
      </c>
      <c r="AH65" s="15" t="n"/>
      <c r="AI65" s="15">
        <f>IF(SUM(AJ65:AK65)=2,"Confirm_Buy","No_Action")</f>
        <v/>
      </c>
      <c r="AJ65" s="15">
        <f>IF(H65&gt;I65,1,0)</f>
        <v/>
      </c>
      <c r="AK65" s="15">
        <f>IF(K65&gt;M65,1,0)</f>
        <v/>
      </c>
    </row>
    <row r="66" ht="14.5" customHeight="1">
      <c r="A66" s="12" t="inlineStr">
        <is>
          <t>CARYSIL</t>
        </is>
      </c>
      <c r="B66" s="13">
        <f>IFERROR(__xludf.DUMMYFUNCTION("GOOGLEFINANCE(""NSE:""&amp;A66,""PRICE"")"),767.15)</f>
        <v/>
      </c>
      <c r="C66" s="13">
        <f>IFERROR(__xludf.DUMMYFUNCTION("GOOGLEFINANCE(""NSE:""&amp;A66,""PRICEOPEN"")"),768.95)</f>
        <v/>
      </c>
      <c r="D66" s="13">
        <f>IFERROR(__xludf.DUMMYFUNCTION("GOOGLEFINANCE(""NSE:""&amp;A66,""HIGH"")"),776.95)</f>
        <v/>
      </c>
      <c r="E66" s="13">
        <f>IFERROR(__xludf.DUMMYFUNCTION("GOOGLEFINANCE(""NSE:""&amp;A66,""LOW"")"),761)</f>
        <v/>
      </c>
      <c r="F66" s="13">
        <f>IFERROR(__xludf.DUMMYFUNCTION("GOOGLEFINANCE(""NSE:""&amp;A66,""closeyest"")"),768.95)</f>
        <v/>
      </c>
      <c r="G66" s="14">
        <f>(B66-C66)/B66</f>
        <v/>
      </c>
      <c r="H66" s="13">
        <f>IFERROR(__xludf.DUMMYFUNCTION("GOOGLEFINANCE(""NSE:""&amp;A66,""VOLUME"")"),42221)</f>
        <v/>
      </c>
      <c r="I66" s="13">
        <f>IFERROR(__xludf.DUMMYFUNCTION("AVERAGE(index(GOOGLEFINANCE(""NSE:""&amp;$A66, ""volume"", today()-21, today()-1), , 2))"),"#N/A")</f>
        <v/>
      </c>
      <c r="J66" s="14">
        <f>(H66-I66)/I66</f>
        <v/>
      </c>
      <c r="K66" s="13">
        <f>IFERROR(__xludf.DUMMYFUNCTION("AVERAGE(index(GOOGLEFINANCE(""NSE:""&amp;$A66, ""close"", today()-6, today()-1), , 2))"),"#N/A")</f>
        <v/>
      </c>
      <c r="L66" s="13">
        <f>IFERROR(__xludf.DUMMYFUNCTION("AVERAGE(index(GOOGLEFINANCE(""NSE:""&amp;$A66, ""close"", today()-14, today()-1), , 2))"),"#N/A")</f>
        <v/>
      </c>
      <c r="M66" s="13">
        <f>IFERROR(__xludf.DUMMYFUNCTION("AVERAGE(index(GOOGLEFINANCE(""NSE:""&amp;$A66, ""close"", today()-22, today()-1), , 2))"),"#N/A")</f>
        <v/>
      </c>
      <c r="N66" s="13">
        <f>AG66</f>
        <v/>
      </c>
      <c r="O66" s="13">
        <f>AI66</f>
        <v/>
      </c>
      <c r="P66" s="13">
        <f>W66</f>
        <v/>
      </c>
      <c r="Q66" s="13">
        <f>Y66</f>
        <v/>
      </c>
      <c r="R66" s="15" t="n"/>
      <c r="S66" s="15">
        <f>LEFT(W66,2)&amp;LEFT(Y66,2)</f>
        <v/>
      </c>
      <c r="T66" s="15" t="n"/>
      <c r="U66" s="15">
        <f>IF(K66&lt;L66,1,0)</f>
        <v/>
      </c>
      <c r="V66" s="15">
        <f>IF(H66&gt;I66,1,0)</f>
        <v/>
      </c>
      <c r="W66" s="15">
        <f>IF(SUM(U66:V66)=2,"Anticipatory_Sell","No_Action")</f>
        <v/>
      </c>
      <c r="X66" s="15" t="n"/>
      <c r="Y66" s="15">
        <f>IF(SUM(Z66:AA66)=2,"Confirm_Sell","No_Action")</f>
        <v/>
      </c>
      <c r="Z66" s="15">
        <f>IF(H66&gt;I66,1,0)</f>
        <v/>
      </c>
      <c r="AA66" s="15">
        <f>IF(K66&lt;M66,1,0)</f>
        <v/>
      </c>
      <c r="AB66" s="15" t="n"/>
      <c r="AC66" s="15">
        <f>LEFT(AG66,2)&amp;LEFT(AI66,2)</f>
        <v/>
      </c>
      <c r="AD66" s="15" t="n"/>
      <c r="AE66" s="15">
        <f>IF(K66&gt;L66,1,0)</f>
        <v/>
      </c>
      <c r="AF66" s="16">
        <f>IF(H66&gt;I66,1,0)</f>
        <v/>
      </c>
      <c r="AG66" s="16">
        <f>IF(SUM(AE66:AF66)=2,"Anticipatory_Buy","No_Action")</f>
        <v/>
      </c>
      <c r="AH66" s="15" t="n"/>
      <c r="AI66" s="15">
        <f>IF(SUM(AJ66:AK66)=2,"Confirm_Buy","No_Action")</f>
        <v/>
      </c>
      <c r="AJ66" s="15">
        <f>IF(H66&gt;I66,1,0)</f>
        <v/>
      </c>
      <c r="AK66" s="15">
        <f>IF(K66&gt;M66,1,0)</f>
        <v/>
      </c>
    </row>
    <row r="67" ht="14.5" customHeight="1">
      <c r="A67" s="12" t="inlineStr">
        <is>
          <t>CCL</t>
        </is>
      </c>
      <c r="B67" s="13">
        <f>IFERROR(__xludf.DUMMYFUNCTION("GOOGLEFINANCE(""NSE:""&amp;A67,""PRICE"")"),790)</f>
        <v/>
      </c>
      <c r="C67" s="13">
        <f>IFERROR(__xludf.DUMMYFUNCTION("GOOGLEFINANCE(""NSE:""&amp;A67,""PRICEOPEN"")"),790.65)</f>
        <v/>
      </c>
      <c r="D67" s="13">
        <f>IFERROR(__xludf.DUMMYFUNCTION("GOOGLEFINANCE(""NSE:""&amp;A67,""HIGH"")"),796)</f>
        <v/>
      </c>
      <c r="E67" s="13">
        <f>IFERROR(__xludf.DUMMYFUNCTION("GOOGLEFINANCE(""NSE:""&amp;A67,""LOW"")"),772)</f>
        <v/>
      </c>
      <c r="F67" s="13">
        <f>IFERROR(__xludf.DUMMYFUNCTION("GOOGLEFINANCE(""NSE:""&amp;A67,""closeyest"")"),789.25)</f>
        <v/>
      </c>
      <c r="G67" s="14">
        <f>(B67-C67)/B67</f>
        <v/>
      </c>
      <c r="H67" s="13">
        <f>IFERROR(__xludf.DUMMYFUNCTION("GOOGLEFINANCE(""NSE:""&amp;A67,""VOLUME"")"),146107)</f>
        <v/>
      </c>
      <c r="I67" s="13">
        <f>IFERROR(__xludf.DUMMYFUNCTION("AVERAGE(index(GOOGLEFINANCE(""NSE:""&amp;$A67, ""volume"", today()-21, today()-1), , 2))"),"#N/A")</f>
        <v/>
      </c>
      <c r="J67" s="14">
        <f>(H67-I67)/I67</f>
        <v/>
      </c>
      <c r="K67" s="13">
        <f>IFERROR(__xludf.DUMMYFUNCTION("AVERAGE(index(GOOGLEFINANCE(""NSE:""&amp;$A67, ""close"", today()-6, today()-1), , 2))"),"#N/A")</f>
        <v/>
      </c>
      <c r="L67" s="13">
        <f>IFERROR(__xludf.DUMMYFUNCTION("AVERAGE(index(GOOGLEFINANCE(""NSE:""&amp;$A67, ""close"", today()-14, today()-1), , 2))"),"#N/A")</f>
        <v/>
      </c>
      <c r="M67" s="13">
        <f>IFERROR(__xludf.DUMMYFUNCTION("AVERAGE(index(GOOGLEFINANCE(""NSE:""&amp;$A67, ""close"", today()-22, today()-1), , 2))"),"#N/A")</f>
        <v/>
      </c>
      <c r="N67" s="13">
        <f>AG67</f>
        <v/>
      </c>
      <c r="O67" s="13">
        <f>AI67</f>
        <v/>
      </c>
      <c r="P67" s="13">
        <f>W67</f>
        <v/>
      </c>
      <c r="Q67" s="13">
        <f>Y67</f>
        <v/>
      </c>
      <c r="R67" s="15" t="n"/>
      <c r="S67" s="15">
        <f>LEFT(W67,2)&amp;LEFT(Y67,2)</f>
        <v/>
      </c>
      <c r="T67" s="15" t="n"/>
      <c r="U67" s="15">
        <f>IF(K67&lt;L67,1,0)</f>
        <v/>
      </c>
      <c r="V67" s="15">
        <f>IF(H67&gt;I67,1,0)</f>
        <v/>
      </c>
      <c r="W67" s="15">
        <f>IF(SUM(U67:V67)=2,"Anticipatory_Sell","No_Action")</f>
        <v/>
      </c>
      <c r="X67" s="15" t="n"/>
      <c r="Y67" s="15">
        <f>IF(SUM(Z67:AA67)=2,"Confirm_Sell","No_Action")</f>
        <v/>
      </c>
      <c r="Z67" s="15">
        <f>IF(H67&gt;I67,1,0)</f>
        <v/>
      </c>
      <c r="AA67" s="15">
        <f>IF(K67&lt;M67,1,0)</f>
        <v/>
      </c>
      <c r="AB67" s="15" t="n"/>
      <c r="AC67" s="15">
        <f>LEFT(AG67,2)&amp;LEFT(AI67,2)</f>
        <v/>
      </c>
      <c r="AD67" s="15" t="n"/>
      <c r="AE67" s="15">
        <f>IF(K67&gt;L67,1,0)</f>
        <v/>
      </c>
      <c r="AF67" s="16">
        <f>IF(H67&gt;I67,1,0)</f>
        <v/>
      </c>
      <c r="AG67" s="16">
        <f>IF(SUM(AE67:AF67)=2,"Anticipatory_Buy","No_Action")</f>
        <v/>
      </c>
      <c r="AH67" s="15" t="n"/>
      <c r="AI67" s="15">
        <f>IF(SUM(AJ67:AK67)=2,"Confirm_Buy","No_Action")</f>
        <v/>
      </c>
      <c r="AJ67" s="15">
        <f>IF(H67&gt;I67,1,0)</f>
        <v/>
      </c>
      <c r="AK67" s="15">
        <f>IF(K67&gt;M67,1,0)</f>
        <v/>
      </c>
    </row>
    <row r="68" ht="14.5" customHeight="1">
      <c r="A68" s="12" t="inlineStr">
        <is>
          <t>CEATLTD</t>
        </is>
      </c>
      <c r="B68" s="13">
        <f>IFERROR(__xludf.DUMMYFUNCTION("GOOGLEFINANCE(""NSE:""&amp;A68,""PRICE"")"),3329)</f>
        <v/>
      </c>
      <c r="C68" s="13">
        <f>IFERROR(__xludf.DUMMYFUNCTION("GOOGLEFINANCE(""NSE:""&amp;A68,""PRICEOPEN"")"),3270)</f>
        <v/>
      </c>
      <c r="D68" s="13">
        <f>IFERROR(__xludf.DUMMYFUNCTION("GOOGLEFINANCE(""NSE:""&amp;A68,""HIGH"")"),3578.8)</f>
        <v/>
      </c>
      <c r="E68" s="13">
        <f>IFERROR(__xludf.DUMMYFUNCTION("GOOGLEFINANCE(""NSE:""&amp;A68,""LOW"")"),3231.95)</f>
        <v/>
      </c>
      <c r="F68" s="13">
        <f>IFERROR(__xludf.DUMMYFUNCTION("GOOGLEFINANCE(""NSE:""&amp;A68,""closeyest"")"),3095.7)</f>
        <v/>
      </c>
      <c r="G68" s="14">
        <f>(B68-C68)/B68</f>
        <v/>
      </c>
      <c r="H68" s="13">
        <f>IFERROR(__xludf.DUMMYFUNCTION("GOOGLEFINANCE(""NSE:""&amp;A68,""VOLUME"")"),5554507)</f>
        <v/>
      </c>
      <c r="I68" s="13">
        <f>IFERROR(__xludf.DUMMYFUNCTION("AVERAGE(index(GOOGLEFINANCE(""NSE:""&amp;$A68, ""volume"", today()-21, today()-1), , 2))"),"#N/A")</f>
        <v/>
      </c>
      <c r="J68" s="14">
        <f>(H68-I68)/I68</f>
        <v/>
      </c>
      <c r="K68" s="13">
        <f>IFERROR(__xludf.DUMMYFUNCTION("AVERAGE(index(GOOGLEFINANCE(""NSE:""&amp;$A68, ""close"", today()-6, today()-1), , 2))"),"#N/A")</f>
        <v/>
      </c>
      <c r="L68" s="13">
        <f>IFERROR(__xludf.DUMMYFUNCTION("AVERAGE(index(GOOGLEFINANCE(""NSE:""&amp;$A68, ""close"", today()-14, today()-1), , 2))"),"#N/A")</f>
        <v/>
      </c>
      <c r="M68" s="13">
        <f>IFERROR(__xludf.DUMMYFUNCTION("AVERAGE(index(GOOGLEFINANCE(""NSE:""&amp;$A68, ""close"", today()-22, today()-1), , 2))"),"#N/A")</f>
        <v/>
      </c>
      <c r="N68" s="13">
        <f>AG68</f>
        <v/>
      </c>
      <c r="O68" s="13">
        <f>AI68</f>
        <v/>
      </c>
      <c r="P68" s="13">
        <f>W68</f>
        <v/>
      </c>
      <c r="Q68" s="13">
        <f>Y68</f>
        <v/>
      </c>
      <c r="R68" s="15" t="n"/>
      <c r="S68" s="15">
        <f>LEFT(W68,2)&amp;LEFT(Y68,2)</f>
        <v/>
      </c>
      <c r="T68" s="15" t="n"/>
      <c r="U68" s="15">
        <f>IF(K68&lt;L68,1,0)</f>
        <v/>
      </c>
      <c r="V68" s="15">
        <f>IF(H68&gt;I68,1,0)</f>
        <v/>
      </c>
      <c r="W68" s="15">
        <f>IF(SUM(U68:V68)=2,"Anticipatory_Sell","No_Action")</f>
        <v/>
      </c>
      <c r="X68" s="15" t="n"/>
      <c r="Y68" s="15">
        <f>IF(SUM(Z68:AA68)=2,"Confirm_Sell","No_Action")</f>
        <v/>
      </c>
      <c r="Z68" s="15">
        <f>IF(H68&gt;I68,1,0)</f>
        <v/>
      </c>
      <c r="AA68" s="15">
        <f>IF(K68&lt;M68,1,0)</f>
        <v/>
      </c>
      <c r="AB68" s="15" t="n"/>
      <c r="AC68" s="15">
        <f>LEFT(AG68,2)&amp;LEFT(AI68,2)</f>
        <v/>
      </c>
      <c r="AD68" s="15" t="n"/>
      <c r="AE68" s="15">
        <f>IF(K68&gt;L68,1,0)</f>
        <v/>
      </c>
      <c r="AF68" s="16">
        <f>IF(H68&gt;I68,1,0)</f>
        <v/>
      </c>
      <c r="AG68" s="16">
        <f>IF(SUM(AE68:AF68)=2,"Anticipatory_Buy","No_Action")</f>
        <v/>
      </c>
      <c r="AH68" s="15" t="n"/>
      <c r="AI68" s="15">
        <f>IF(SUM(AJ68:AK68)=2,"Confirm_Buy","No_Action")</f>
        <v/>
      </c>
      <c r="AJ68" s="15">
        <f>IF(H68&gt;I68,1,0)</f>
        <v/>
      </c>
      <c r="AK68" s="15">
        <f>IF(K68&gt;M68,1,0)</f>
        <v/>
      </c>
    </row>
    <row r="69" ht="14.5" customHeight="1">
      <c r="A69" s="12" t="inlineStr">
        <is>
          <t>CENTURYPLY</t>
        </is>
      </c>
      <c r="B69" s="13">
        <f>IFERROR(__xludf.DUMMYFUNCTION("GOOGLEFINANCE(""NSE:""&amp;A69,""PRICE"")"),786.4)</f>
        <v/>
      </c>
      <c r="C69" s="13">
        <f>IFERROR(__xludf.DUMMYFUNCTION("GOOGLEFINANCE(""NSE:""&amp;A69,""PRICEOPEN"")"),787.95)</f>
        <v/>
      </c>
      <c r="D69" s="13">
        <f>IFERROR(__xludf.DUMMYFUNCTION("GOOGLEFINANCE(""NSE:""&amp;A69,""HIGH"")"),789.6)</f>
        <v/>
      </c>
      <c r="E69" s="13">
        <f>IFERROR(__xludf.DUMMYFUNCTION("GOOGLEFINANCE(""NSE:""&amp;A69,""LOW"")"),774)</f>
        <v/>
      </c>
      <c r="F69" s="13">
        <f>IFERROR(__xludf.DUMMYFUNCTION("GOOGLEFINANCE(""NSE:""&amp;A69,""closeyest"")"),787.9)</f>
        <v/>
      </c>
      <c r="G69" s="14">
        <f>(B69-C69)/B69</f>
        <v/>
      </c>
      <c r="H69" s="13">
        <f>IFERROR(__xludf.DUMMYFUNCTION("GOOGLEFINANCE(""NSE:""&amp;A69,""VOLUME"")"),81992)</f>
        <v/>
      </c>
      <c r="I69" s="13">
        <f>IFERROR(__xludf.DUMMYFUNCTION("AVERAGE(index(GOOGLEFINANCE(""NSE:""&amp;$A69, ""volume"", today()-21, today()-1), , 2))"),"#N/A")</f>
        <v/>
      </c>
      <c r="J69" s="14">
        <f>(H69-I69)/I69</f>
        <v/>
      </c>
      <c r="K69" s="13">
        <f>IFERROR(__xludf.DUMMYFUNCTION("AVERAGE(index(GOOGLEFINANCE(""NSE:""&amp;$A69, ""close"", today()-6, today()-1), , 2))"),"#N/A")</f>
        <v/>
      </c>
      <c r="L69" s="13">
        <f>IFERROR(__xludf.DUMMYFUNCTION("AVERAGE(index(GOOGLEFINANCE(""NSE:""&amp;$A69, ""close"", today()-14, today()-1), , 2))"),"#N/A")</f>
        <v/>
      </c>
      <c r="M69" s="13">
        <f>IFERROR(__xludf.DUMMYFUNCTION("AVERAGE(index(GOOGLEFINANCE(""NSE:""&amp;$A69, ""close"", today()-22, today()-1), , 2))"),"#N/A")</f>
        <v/>
      </c>
      <c r="N69" s="13">
        <f>AG69</f>
        <v/>
      </c>
      <c r="O69" s="13">
        <f>AI69</f>
        <v/>
      </c>
      <c r="P69" s="13">
        <f>W69</f>
        <v/>
      </c>
      <c r="Q69" s="13">
        <f>Y69</f>
        <v/>
      </c>
      <c r="R69" s="15" t="n"/>
      <c r="S69" s="15">
        <f>LEFT(W69,2)&amp;LEFT(Y69,2)</f>
        <v/>
      </c>
      <c r="T69" s="15" t="n"/>
      <c r="U69" s="15">
        <f>IF(K69&lt;L69,1,0)</f>
        <v/>
      </c>
      <c r="V69" s="15">
        <f>IF(H69&gt;I69,1,0)</f>
        <v/>
      </c>
      <c r="W69" s="15">
        <f>IF(SUM(U69:V69)=2,"Anticipatory_Sell","No_Action")</f>
        <v/>
      </c>
      <c r="X69" s="15" t="n"/>
      <c r="Y69" s="15">
        <f>IF(SUM(Z69:AA69)=2,"Confirm_Sell","No_Action")</f>
        <v/>
      </c>
      <c r="Z69" s="15">
        <f>IF(H69&gt;I69,1,0)</f>
        <v/>
      </c>
      <c r="AA69" s="15">
        <f>IF(K69&lt;M69,1,0)</f>
        <v/>
      </c>
      <c r="AB69" s="15" t="n"/>
      <c r="AC69" s="15">
        <f>LEFT(AG69,2)&amp;LEFT(AI69,2)</f>
        <v/>
      </c>
      <c r="AD69" s="15" t="n"/>
      <c r="AE69" s="15">
        <f>IF(K69&gt;L69,1,0)</f>
        <v/>
      </c>
      <c r="AF69" s="16">
        <f>IF(H69&gt;I69,1,0)</f>
        <v/>
      </c>
      <c r="AG69" s="16">
        <f>IF(SUM(AE69:AF69)=2,"Anticipatory_Buy","No_Action")</f>
        <v/>
      </c>
      <c r="AH69" s="15" t="n"/>
      <c r="AI69" s="15">
        <f>IF(SUM(AJ69:AK69)=2,"Confirm_Buy","No_Action")</f>
        <v/>
      </c>
      <c r="AJ69" s="15">
        <f>IF(H69&gt;I69,1,0)</f>
        <v/>
      </c>
      <c r="AK69" s="15">
        <f>IF(K69&gt;M69,1,0)</f>
        <v/>
      </c>
    </row>
    <row r="70" ht="14.5" customHeight="1">
      <c r="A70" s="12" t="inlineStr">
        <is>
          <t>CERA</t>
        </is>
      </c>
      <c r="B70" s="13">
        <f>IFERROR(__xludf.DUMMYFUNCTION("GOOGLEFINANCE(""NSE:""&amp;A70,""PRICE"")"),7795.25)</f>
        <v/>
      </c>
      <c r="C70" s="13">
        <f>IFERROR(__xludf.DUMMYFUNCTION("GOOGLEFINANCE(""NSE:""&amp;A70,""PRICEOPEN"")"),7888.8)</f>
        <v/>
      </c>
      <c r="D70" s="13">
        <f>IFERROR(__xludf.DUMMYFUNCTION("GOOGLEFINANCE(""NSE:""&amp;A70,""HIGH"")"),7888.8)</f>
        <v/>
      </c>
      <c r="E70" s="13">
        <f>IFERROR(__xludf.DUMMYFUNCTION("GOOGLEFINANCE(""NSE:""&amp;A70,""LOW"")"),7766.3)</f>
        <v/>
      </c>
      <c r="F70" s="13">
        <f>IFERROR(__xludf.DUMMYFUNCTION("GOOGLEFINANCE(""NSE:""&amp;A70,""closeyest"")"),7868.8)</f>
        <v/>
      </c>
      <c r="G70" s="14">
        <f>(B70-C70)/B70</f>
        <v/>
      </c>
      <c r="H70" s="13">
        <f>IFERROR(__xludf.DUMMYFUNCTION("GOOGLEFINANCE(""NSE:""&amp;A70,""VOLUME"")"),9082)</f>
        <v/>
      </c>
      <c r="I70" s="13">
        <f>IFERROR(__xludf.DUMMYFUNCTION("AVERAGE(index(GOOGLEFINANCE(""NSE:""&amp;$A70, ""volume"", today()-21, today()-1), , 2))"),"#N/A")</f>
        <v/>
      </c>
      <c r="J70" s="14">
        <f>(H70-I70)/I70</f>
        <v/>
      </c>
      <c r="K70" s="13">
        <f>IFERROR(__xludf.DUMMYFUNCTION("AVERAGE(index(GOOGLEFINANCE(""NSE:""&amp;$A70, ""close"", today()-6, today()-1), , 2))"),"#N/A")</f>
        <v/>
      </c>
      <c r="L70" s="13">
        <f>IFERROR(__xludf.DUMMYFUNCTION("AVERAGE(index(GOOGLEFINANCE(""NSE:""&amp;$A70, ""close"", today()-14, today()-1), , 2))"),"#N/A")</f>
        <v/>
      </c>
      <c r="M70" s="13">
        <f>IFERROR(__xludf.DUMMYFUNCTION("AVERAGE(index(GOOGLEFINANCE(""NSE:""&amp;$A70, ""close"", today()-22, today()-1), , 2))"),"#N/A")</f>
        <v/>
      </c>
      <c r="N70" s="13">
        <f>AG70</f>
        <v/>
      </c>
      <c r="O70" s="13">
        <f>AI70</f>
        <v/>
      </c>
      <c r="P70" s="13">
        <f>W70</f>
        <v/>
      </c>
      <c r="Q70" s="13">
        <f>Y70</f>
        <v/>
      </c>
      <c r="R70" s="15" t="n"/>
      <c r="S70" s="15">
        <f>LEFT(W70,2)&amp;LEFT(Y70,2)</f>
        <v/>
      </c>
      <c r="T70" s="15" t="n"/>
      <c r="U70" s="15">
        <f>IF(K70&lt;L70,1,0)</f>
        <v/>
      </c>
      <c r="V70" s="15">
        <f>IF(H70&gt;I70,1,0)</f>
        <v/>
      </c>
      <c r="W70" s="15">
        <f>IF(SUM(U70:V70)=2,"Anticipatory_Sell","No_Action")</f>
        <v/>
      </c>
      <c r="X70" s="15" t="n"/>
      <c r="Y70" s="15">
        <f>IF(SUM(Z70:AA70)=2,"Confirm_Sell","No_Action")</f>
        <v/>
      </c>
      <c r="Z70" s="15">
        <f>IF(H70&gt;I70,1,0)</f>
        <v/>
      </c>
      <c r="AA70" s="15">
        <f>IF(K70&lt;M70,1,0)</f>
        <v/>
      </c>
      <c r="AB70" s="15" t="n"/>
      <c r="AC70" s="15">
        <f>LEFT(AG70,2)&amp;LEFT(AI70,2)</f>
        <v/>
      </c>
      <c r="AD70" s="15" t="n"/>
      <c r="AE70" s="15">
        <f>IF(K70&gt;L70,1,0)</f>
        <v/>
      </c>
      <c r="AF70" s="16">
        <f>IF(H70&gt;I70,1,0)</f>
        <v/>
      </c>
      <c r="AG70" s="16">
        <f>IF(SUM(AE70:AF70)=2,"Anticipatory_Buy","No_Action")</f>
        <v/>
      </c>
      <c r="AH70" s="15" t="n"/>
      <c r="AI70" s="15">
        <f>IF(SUM(AJ70:AK70)=2,"Confirm_Buy","No_Action")</f>
        <v/>
      </c>
      <c r="AJ70" s="15">
        <f>IF(H70&gt;I70,1,0)</f>
        <v/>
      </c>
      <c r="AK70" s="15">
        <f>IF(K70&gt;M70,1,0)</f>
        <v/>
      </c>
    </row>
    <row r="71" ht="14.5" customHeight="1">
      <c r="A71" s="12" t="inlineStr">
        <is>
          <t>CHAMBLFERT</t>
        </is>
      </c>
      <c r="B71" s="13">
        <f>IFERROR(__xludf.DUMMYFUNCTION("GOOGLEFINANCE(""NSE:""&amp;A71,""PRICE"")"),527)</f>
        <v/>
      </c>
      <c r="C71" s="13">
        <f>IFERROR(__xludf.DUMMYFUNCTION("GOOGLEFINANCE(""NSE:""&amp;A71,""PRICEOPEN"")"),542.45)</f>
        <v/>
      </c>
      <c r="D71" s="13">
        <f>IFERROR(__xludf.DUMMYFUNCTION("GOOGLEFINANCE(""NSE:""&amp;A71,""HIGH"")"),546.2)</f>
        <v/>
      </c>
      <c r="E71" s="13">
        <f>IFERROR(__xludf.DUMMYFUNCTION("GOOGLEFINANCE(""NSE:""&amp;A71,""LOW"")"),517.25)</f>
        <v/>
      </c>
      <c r="F71" s="13">
        <f>IFERROR(__xludf.DUMMYFUNCTION("GOOGLEFINANCE(""NSE:""&amp;A71,""closeyest"")"),542.65)</f>
        <v/>
      </c>
      <c r="G71" s="14">
        <f>(B71-C71)/B71</f>
        <v/>
      </c>
      <c r="H71" s="13">
        <f>IFERROR(__xludf.DUMMYFUNCTION("GOOGLEFINANCE(""NSE:""&amp;A71,""VOLUME"")"),1830719)</f>
        <v/>
      </c>
      <c r="I71" s="13">
        <f>IFERROR(__xludf.DUMMYFUNCTION("AVERAGE(index(GOOGLEFINANCE(""NSE:""&amp;$A71, ""volume"", today()-21, today()-1), , 2))"),"#N/A")</f>
        <v/>
      </c>
      <c r="J71" s="14">
        <f>(H71-I71)/I71</f>
        <v/>
      </c>
      <c r="K71" s="13">
        <f>IFERROR(__xludf.DUMMYFUNCTION("AVERAGE(index(GOOGLEFINANCE(""NSE:""&amp;$A71, ""close"", today()-6, today()-1), , 2))"),"#N/A")</f>
        <v/>
      </c>
      <c r="L71" s="13">
        <f>IFERROR(__xludf.DUMMYFUNCTION("AVERAGE(index(GOOGLEFINANCE(""NSE:""&amp;$A71, ""close"", today()-14, today()-1), , 2))"),"#N/A")</f>
        <v/>
      </c>
      <c r="M71" s="13">
        <f>IFERROR(__xludf.DUMMYFUNCTION("AVERAGE(index(GOOGLEFINANCE(""NSE:""&amp;$A71, ""close"", today()-22, today()-1), , 2))"),"#N/A")</f>
        <v/>
      </c>
      <c r="N71" s="13">
        <f>AG71</f>
        <v/>
      </c>
      <c r="O71" s="13">
        <f>AI71</f>
        <v/>
      </c>
      <c r="P71" s="13">
        <f>W71</f>
        <v/>
      </c>
      <c r="Q71" s="13">
        <f>Y71</f>
        <v/>
      </c>
      <c r="R71" s="15" t="n"/>
      <c r="S71" s="15">
        <f>LEFT(W71,2)&amp;LEFT(Y71,2)</f>
        <v/>
      </c>
      <c r="T71" s="15" t="n"/>
      <c r="U71" s="15">
        <f>IF(K71&lt;L71,1,0)</f>
        <v/>
      </c>
      <c r="V71" s="15">
        <f>IF(H71&gt;I71,1,0)</f>
        <v/>
      </c>
      <c r="W71" s="15">
        <f>IF(SUM(U71:V71)=2,"Anticipatory_Sell","No_Action")</f>
        <v/>
      </c>
      <c r="X71" s="15" t="n"/>
      <c r="Y71" s="15">
        <f>IF(SUM(Z71:AA71)=2,"Confirm_Sell","No_Action")</f>
        <v/>
      </c>
      <c r="Z71" s="15">
        <f>IF(H71&gt;I71,1,0)</f>
        <v/>
      </c>
      <c r="AA71" s="15">
        <f>IF(K71&lt;M71,1,0)</f>
        <v/>
      </c>
      <c r="AB71" s="15" t="n"/>
      <c r="AC71" s="15">
        <f>LEFT(AG71,2)&amp;LEFT(AI71,2)</f>
        <v/>
      </c>
      <c r="AD71" s="15" t="n"/>
      <c r="AE71" s="15">
        <f>IF(K71&gt;L71,1,0)</f>
        <v/>
      </c>
      <c r="AF71" s="16">
        <f>IF(H71&gt;I71,1,0)</f>
        <v/>
      </c>
      <c r="AG71" s="16">
        <f>IF(SUM(AE71:AF71)=2,"Anticipatory_Buy","No_Action")</f>
        <v/>
      </c>
      <c r="AH71" s="15" t="n"/>
      <c r="AI71" s="15">
        <f>IF(SUM(AJ71:AK71)=2,"Confirm_Buy","No_Action")</f>
        <v/>
      </c>
      <c r="AJ71" s="15">
        <f>IF(H71&gt;I71,1,0)</f>
        <v/>
      </c>
      <c r="AK71" s="15">
        <f>IF(K71&gt;M71,1,0)</f>
        <v/>
      </c>
    </row>
    <row r="72" ht="14.5" customHeight="1">
      <c r="A72" s="12" t="inlineStr">
        <is>
          <t>CHOLAHLDNG</t>
        </is>
      </c>
      <c r="B72" s="13">
        <f>IFERROR(__xludf.DUMMYFUNCTION("GOOGLEFINANCE(""NSE:""&amp;A72,""PRICE"")"),1544)</f>
        <v/>
      </c>
      <c r="C72" s="13">
        <f>IFERROR(__xludf.DUMMYFUNCTION("GOOGLEFINANCE(""NSE:""&amp;A72,""PRICEOPEN"")"),1520)</f>
        <v/>
      </c>
      <c r="D72" s="13">
        <f>IFERROR(__xludf.DUMMYFUNCTION("GOOGLEFINANCE(""NSE:""&amp;A72,""HIGH"")"),1572.9)</f>
        <v/>
      </c>
      <c r="E72" s="13">
        <f>IFERROR(__xludf.DUMMYFUNCTION("GOOGLEFINANCE(""NSE:""&amp;A72,""LOW"")"),1519)</f>
        <v/>
      </c>
      <c r="F72" s="13">
        <f>IFERROR(__xludf.DUMMYFUNCTION("GOOGLEFINANCE(""NSE:""&amp;A72,""closeyest"")"),1520.45)</f>
        <v/>
      </c>
      <c r="G72" s="14">
        <f>(B72-C72)/B72</f>
        <v/>
      </c>
      <c r="H72" s="13">
        <f>IFERROR(__xludf.DUMMYFUNCTION("GOOGLEFINANCE(""NSE:""&amp;A72,""VOLUME"")"),192581)</f>
        <v/>
      </c>
      <c r="I72" s="13">
        <f>IFERROR(__xludf.DUMMYFUNCTION("AVERAGE(index(GOOGLEFINANCE(""NSE:""&amp;$A72, ""volume"", today()-21, today()-1), , 2))"),"#N/A")</f>
        <v/>
      </c>
      <c r="J72" s="14">
        <f>(H72-I72)/I72</f>
        <v/>
      </c>
      <c r="K72" s="13">
        <f>IFERROR(__xludf.DUMMYFUNCTION("AVERAGE(index(GOOGLEFINANCE(""NSE:""&amp;$A72, ""close"", today()-6, today()-1), , 2))"),"#N/A")</f>
        <v/>
      </c>
      <c r="L72" s="13">
        <f>IFERROR(__xludf.DUMMYFUNCTION("AVERAGE(index(GOOGLEFINANCE(""NSE:""&amp;$A72, ""close"", today()-14, today()-1), , 2))"),"#N/A")</f>
        <v/>
      </c>
      <c r="M72" s="13">
        <f>IFERROR(__xludf.DUMMYFUNCTION("AVERAGE(index(GOOGLEFINANCE(""NSE:""&amp;$A72, ""close"", today()-22, today()-1), , 2))"),"#N/A")</f>
        <v/>
      </c>
      <c r="N72" s="13">
        <f>AG72</f>
        <v/>
      </c>
      <c r="O72" s="13">
        <f>AI72</f>
        <v/>
      </c>
      <c r="P72" s="13">
        <f>W72</f>
        <v/>
      </c>
      <c r="Q72" s="13">
        <f>Y72</f>
        <v/>
      </c>
      <c r="R72" s="15" t="n"/>
      <c r="S72" s="15">
        <f>LEFT(W72,2)&amp;LEFT(Y72,2)</f>
        <v/>
      </c>
      <c r="T72" s="15" t="n"/>
      <c r="U72" s="15">
        <f>IF(K72&lt;L72,1,0)</f>
        <v/>
      </c>
      <c r="V72" s="15">
        <f>IF(H72&gt;I72,1,0)</f>
        <v/>
      </c>
      <c r="W72" s="15">
        <f>IF(SUM(U72:V72)=2,"Anticipatory_Sell","No_Action")</f>
        <v/>
      </c>
      <c r="X72" s="15" t="n"/>
      <c r="Y72" s="15">
        <f>IF(SUM(Z72:AA72)=2,"Confirm_Sell","No_Action")</f>
        <v/>
      </c>
      <c r="Z72" s="15">
        <f>IF(H72&gt;I72,1,0)</f>
        <v/>
      </c>
      <c r="AA72" s="15">
        <f>IF(K72&lt;M72,1,0)</f>
        <v/>
      </c>
      <c r="AB72" s="15" t="n"/>
      <c r="AC72" s="15">
        <f>LEFT(AG72,2)&amp;LEFT(AI72,2)</f>
        <v/>
      </c>
      <c r="AD72" s="15" t="n"/>
      <c r="AE72" s="15">
        <f>IF(K72&gt;L72,1,0)</f>
        <v/>
      </c>
      <c r="AF72" s="16">
        <f>IF(H72&gt;I72,1,0)</f>
        <v/>
      </c>
      <c r="AG72" s="16">
        <f>IF(SUM(AE72:AF72)=2,"Anticipatory_Buy","No_Action")</f>
        <v/>
      </c>
      <c r="AH72" s="15" t="n"/>
      <c r="AI72" s="15">
        <f>IF(SUM(AJ72:AK72)=2,"Confirm_Buy","No_Action")</f>
        <v/>
      </c>
      <c r="AJ72" s="15">
        <f>IF(H72&gt;I72,1,0)</f>
        <v/>
      </c>
      <c r="AK72" s="15">
        <f>IF(K72&gt;M72,1,0)</f>
        <v/>
      </c>
    </row>
    <row r="73" ht="14.5" customHeight="1">
      <c r="A73" s="12" t="inlineStr">
        <is>
          <t>CHOLAFIN</t>
        </is>
      </c>
      <c r="B73" s="13">
        <f>IFERROR(__xludf.DUMMYFUNCTION("GOOGLEFINANCE(""NSE:""&amp;A73,""PRICE"")"),1280.05)</f>
        <v/>
      </c>
      <c r="C73" s="13">
        <f>IFERROR(__xludf.DUMMYFUNCTION("GOOGLEFINANCE(""NSE:""&amp;A73,""PRICEOPEN"")"),1275.1)</f>
        <v/>
      </c>
      <c r="D73" s="13">
        <f>IFERROR(__xludf.DUMMYFUNCTION("GOOGLEFINANCE(""NSE:""&amp;A73,""HIGH"")"),1293.4)</f>
        <v/>
      </c>
      <c r="E73" s="13">
        <f>IFERROR(__xludf.DUMMYFUNCTION("GOOGLEFINANCE(""NSE:""&amp;A73,""LOW"")"),1272.65)</f>
        <v/>
      </c>
      <c r="F73" s="13">
        <f>IFERROR(__xludf.DUMMYFUNCTION("GOOGLEFINANCE(""NSE:""&amp;A73,""closeyest"")"),1275.1)</f>
        <v/>
      </c>
      <c r="G73" s="14">
        <f>(B73-C73)/B73</f>
        <v/>
      </c>
      <c r="H73" s="13">
        <f>IFERROR(__xludf.DUMMYFUNCTION("GOOGLEFINANCE(""NSE:""&amp;A73,""VOLUME"")"),1661864)</f>
        <v/>
      </c>
      <c r="I73" s="13">
        <f>IFERROR(__xludf.DUMMYFUNCTION("AVERAGE(index(GOOGLEFINANCE(""NSE:""&amp;$A73, ""volume"", today()-21, today()-1), , 2))"),"#N/A")</f>
        <v/>
      </c>
      <c r="J73" s="14">
        <f>(H73-I73)/I73</f>
        <v/>
      </c>
      <c r="K73" s="13">
        <f>IFERROR(__xludf.DUMMYFUNCTION("AVERAGE(index(GOOGLEFINANCE(""NSE:""&amp;$A73, ""close"", today()-6, today()-1), , 2))"),"#N/A")</f>
        <v/>
      </c>
      <c r="L73" s="13">
        <f>IFERROR(__xludf.DUMMYFUNCTION("AVERAGE(index(GOOGLEFINANCE(""NSE:""&amp;$A73, ""close"", today()-14, today()-1), , 2))"),"#N/A")</f>
        <v/>
      </c>
      <c r="M73" s="13">
        <f>IFERROR(__xludf.DUMMYFUNCTION("AVERAGE(index(GOOGLEFINANCE(""NSE:""&amp;$A73, ""close"", today()-22, today()-1), , 2))"),"#N/A")</f>
        <v/>
      </c>
      <c r="N73" s="13">
        <f>AG73</f>
        <v/>
      </c>
      <c r="O73" s="13">
        <f>AI73</f>
        <v/>
      </c>
      <c r="P73" s="13">
        <f>W73</f>
        <v/>
      </c>
      <c r="Q73" s="13">
        <f>Y73</f>
        <v/>
      </c>
      <c r="R73" s="15" t="n"/>
      <c r="S73" s="15">
        <f>LEFT(W73,2)&amp;LEFT(Y73,2)</f>
        <v/>
      </c>
      <c r="T73" s="15" t="n"/>
      <c r="U73" s="15">
        <f>IF(K73&lt;L73,1,0)</f>
        <v/>
      </c>
      <c r="V73" s="15">
        <f>IF(H73&gt;I73,1,0)</f>
        <v/>
      </c>
      <c r="W73" s="15">
        <f>IF(SUM(U73:V73)=2,"Anticipatory_Sell","No_Action")</f>
        <v/>
      </c>
      <c r="X73" s="15" t="n"/>
      <c r="Y73" s="15">
        <f>IF(SUM(Z73:AA73)=2,"Confirm_Sell","No_Action")</f>
        <v/>
      </c>
      <c r="Z73" s="15">
        <f>IF(H73&gt;I73,1,0)</f>
        <v/>
      </c>
      <c r="AA73" s="15">
        <f>IF(K73&lt;M73,1,0)</f>
        <v/>
      </c>
      <c r="AB73" s="15" t="n"/>
      <c r="AC73" s="15">
        <f>LEFT(AG73,2)&amp;LEFT(AI73,2)</f>
        <v/>
      </c>
      <c r="AD73" s="15" t="n"/>
      <c r="AE73" s="15">
        <f>IF(K73&gt;L73,1,0)</f>
        <v/>
      </c>
      <c r="AF73" s="16">
        <f>IF(H73&gt;I73,1,0)</f>
        <v/>
      </c>
      <c r="AG73" s="16">
        <f>IF(SUM(AE73:AF73)=2,"Anticipatory_Buy","No_Action")</f>
        <v/>
      </c>
      <c r="AH73" s="15" t="n"/>
      <c r="AI73" s="15">
        <f>IF(SUM(AJ73:AK73)=2,"Confirm_Buy","No_Action")</f>
        <v/>
      </c>
      <c r="AJ73" s="15">
        <f>IF(H73&gt;I73,1,0)</f>
        <v/>
      </c>
      <c r="AK73" s="15">
        <f>IF(K73&gt;M73,1,0)</f>
        <v/>
      </c>
    </row>
    <row r="74" ht="14.5" customHeight="1">
      <c r="A74" s="12" t="inlineStr">
        <is>
          <t>CIEINDIA</t>
        </is>
      </c>
      <c r="B74" s="13">
        <f>IFERROR(__xludf.DUMMYFUNCTION("GOOGLEFINANCE(""NSE:""&amp;A74,""PRICE"")"),483.55)</f>
        <v/>
      </c>
      <c r="C74" s="13">
        <f>IFERROR(__xludf.DUMMYFUNCTION("GOOGLEFINANCE(""NSE:""&amp;A74,""PRICEOPEN"")"),480.85)</f>
        <v/>
      </c>
      <c r="D74" s="13">
        <f>IFERROR(__xludf.DUMMYFUNCTION("GOOGLEFINANCE(""NSE:""&amp;A74,""HIGH"")"),487)</f>
        <v/>
      </c>
      <c r="E74" s="13">
        <f>IFERROR(__xludf.DUMMYFUNCTION("GOOGLEFINANCE(""NSE:""&amp;A74,""LOW"")"),477.25)</f>
        <v/>
      </c>
      <c r="F74" s="13">
        <f>IFERROR(__xludf.DUMMYFUNCTION("GOOGLEFINANCE(""NSE:""&amp;A74,""closeyest"")"),481.3)</f>
        <v/>
      </c>
      <c r="G74" s="14">
        <f>(B74-C74)/B74</f>
        <v/>
      </c>
      <c r="H74" s="13">
        <f>IFERROR(__xludf.DUMMYFUNCTION("GOOGLEFINANCE(""NSE:""&amp;A74,""VOLUME"")"),136095)</f>
        <v/>
      </c>
      <c r="I74" s="13">
        <f>IFERROR(__xludf.DUMMYFUNCTION("AVERAGE(index(GOOGLEFINANCE(""NSE:""&amp;$A74, ""volume"", today()-21, today()-1), , 2))"),"#N/A")</f>
        <v/>
      </c>
      <c r="J74" s="14">
        <f>(H74-I74)/I74</f>
        <v/>
      </c>
      <c r="K74" s="13">
        <f>IFERROR(__xludf.DUMMYFUNCTION("AVERAGE(index(GOOGLEFINANCE(""NSE:""&amp;$A74, ""close"", today()-6, today()-1), , 2))"),"#N/A")</f>
        <v/>
      </c>
      <c r="L74" s="13">
        <f>IFERROR(__xludf.DUMMYFUNCTION("AVERAGE(index(GOOGLEFINANCE(""NSE:""&amp;$A74, ""close"", today()-14, today()-1), , 2))"),"#N/A")</f>
        <v/>
      </c>
      <c r="M74" s="13">
        <f>IFERROR(__xludf.DUMMYFUNCTION("AVERAGE(index(GOOGLEFINANCE(""NSE:""&amp;$A74, ""close"", today()-22, today()-1), , 2))"),"#N/A")</f>
        <v/>
      </c>
      <c r="N74" s="13">
        <f>AG74</f>
        <v/>
      </c>
      <c r="O74" s="13">
        <f>AI74</f>
        <v/>
      </c>
      <c r="P74" s="13">
        <f>W74</f>
        <v/>
      </c>
      <c r="Q74" s="13">
        <f>Y74</f>
        <v/>
      </c>
      <c r="R74" s="15" t="n"/>
      <c r="S74" s="15">
        <f>LEFT(W74,2)&amp;LEFT(Y74,2)</f>
        <v/>
      </c>
      <c r="T74" s="15" t="n"/>
      <c r="U74" s="15">
        <f>IF(K74&lt;L74,1,0)</f>
        <v/>
      </c>
      <c r="V74" s="15">
        <f>IF(H74&gt;I74,1,0)</f>
        <v/>
      </c>
      <c r="W74" s="15">
        <f>IF(SUM(U74:V74)=2,"Anticipatory_Sell","No_Action")</f>
        <v/>
      </c>
      <c r="X74" s="15" t="n"/>
      <c r="Y74" s="15">
        <f>IF(SUM(Z74:AA74)=2,"Confirm_Sell","No_Action")</f>
        <v/>
      </c>
      <c r="Z74" s="15">
        <f>IF(H74&gt;I74,1,0)</f>
        <v/>
      </c>
      <c r="AA74" s="15">
        <f>IF(K74&lt;M74,1,0)</f>
        <v/>
      </c>
      <c r="AB74" s="15" t="n"/>
      <c r="AC74" s="15">
        <f>LEFT(AG74,2)&amp;LEFT(AI74,2)</f>
        <v/>
      </c>
      <c r="AD74" s="15" t="n"/>
      <c r="AE74" s="15">
        <f>IF(K74&gt;L74,1,0)</f>
        <v/>
      </c>
      <c r="AF74" s="16">
        <f>IF(H74&gt;I74,1,0)</f>
        <v/>
      </c>
      <c r="AG74" s="16">
        <f>IF(SUM(AE74:AF74)=2,"Anticipatory_Buy","No_Action")</f>
        <v/>
      </c>
      <c r="AH74" s="15" t="n"/>
      <c r="AI74" s="15">
        <f>IF(SUM(AJ74:AK74)=2,"Confirm_Buy","No_Action")</f>
        <v/>
      </c>
      <c r="AJ74" s="15">
        <f>IF(H74&gt;I74,1,0)</f>
        <v/>
      </c>
      <c r="AK74" s="15">
        <f>IF(K74&gt;M74,1,0)</f>
        <v/>
      </c>
    </row>
    <row r="75" ht="14.5" customHeight="1">
      <c r="A75" s="12" t="inlineStr">
        <is>
          <t>CIPLA</t>
        </is>
      </c>
      <c r="B75" s="13">
        <f>IFERROR(__xludf.DUMMYFUNCTION("GOOGLEFINANCE(""NSE:""&amp;A75,""PRICE"")"),1470.8)</f>
        <v/>
      </c>
      <c r="C75" s="13">
        <f>IFERROR(__xludf.DUMMYFUNCTION("GOOGLEFINANCE(""NSE:""&amp;A75,""PRICEOPEN"")"),1480)</f>
        <v/>
      </c>
      <c r="D75" s="13">
        <f>IFERROR(__xludf.DUMMYFUNCTION("GOOGLEFINANCE(""NSE:""&amp;A75,""HIGH"")"),1484.75)</f>
        <v/>
      </c>
      <c r="E75" s="13">
        <f>IFERROR(__xludf.DUMMYFUNCTION("GOOGLEFINANCE(""NSE:""&amp;A75,""LOW"")"),1467.3)</f>
        <v/>
      </c>
      <c r="F75" s="13">
        <f>IFERROR(__xludf.DUMMYFUNCTION("GOOGLEFINANCE(""NSE:""&amp;A75,""closeyest"")"),1477.4)</f>
        <v/>
      </c>
      <c r="G75" s="14">
        <f>(B75-C75)/B75</f>
        <v/>
      </c>
      <c r="H75" s="13">
        <f>IFERROR(__xludf.DUMMYFUNCTION("GOOGLEFINANCE(""NSE:""&amp;A75,""VOLUME"")"),2144057)</f>
        <v/>
      </c>
      <c r="I75" s="13">
        <f>IFERROR(__xludf.DUMMYFUNCTION("AVERAGE(index(GOOGLEFINANCE(""NSE:""&amp;$A75, ""volume"", today()-21, today()-1), , 2))"),"#N/A")</f>
        <v/>
      </c>
      <c r="J75" s="14">
        <f>(H75-I75)/I75</f>
        <v/>
      </c>
      <c r="K75" s="13">
        <f>IFERROR(__xludf.DUMMYFUNCTION("AVERAGE(index(GOOGLEFINANCE(""NSE:""&amp;$A75, ""close"", today()-6, today()-1), , 2))"),"#N/A")</f>
        <v/>
      </c>
      <c r="L75" s="13">
        <f>IFERROR(__xludf.DUMMYFUNCTION("AVERAGE(index(GOOGLEFINANCE(""NSE:""&amp;$A75, ""close"", today()-14, today()-1), , 2))"),"#N/A")</f>
        <v/>
      </c>
      <c r="M75" s="13">
        <f>IFERROR(__xludf.DUMMYFUNCTION("AVERAGE(index(GOOGLEFINANCE(""NSE:""&amp;$A75, ""close"", today()-22, today()-1), , 2))"),"#N/A")</f>
        <v/>
      </c>
      <c r="N75" s="13">
        <f>AG75</f>
        <v/>
      </c>
      <c r="O75" s="13">
        <f>AI75</f>
        <v/>
      </c>
      <c r="P75" s="13">
        <f>W75</f>
        <v/>
      </c>
      <c r="Q75" s="13">
        <f>Y75</f>
        <v/>
      </c>
      <c r="R75" s="15" t="n"/>
      <c r="S75" s="15">
        <f>LEFT(W75,2)&amp;LEFT(Y75,2)</f>
        <v/>
      </c>
      <c r="T75" s="15" t="n"/>
      <c r="U75" s="15">
        <f>IF(K75&lt;L75,1,0)</f>
        <v/>
      </c>
      <c r="V75" s="15">
        <f>IF(H75&gt;I75,1,0)</f>
        <v/>
      </c>
      <c r="W75" s="15">
        <f>IF(SUM(U75:V75)=2,"Anticipatory_Sell","No_Action")</f>
        <v/>
      </c>
      <c r="X75" s="15" t="n"/>
      <c r="Y75" s="15">
        <f>IF(SUM(Z75:AA75)=2,"Confirm_Sell","No_Action")</f>
        <v/>
      </c>
      <c r="Z75" s="15">
        <f>IF(H75&gt;I75,1,0)</f>
        <v/>
      </c>
      <c r="AA75" s="15">
        <f>IF(K75&lt;M75,1,0)</f>
        <v/>
      </c>
      <c r="AB75" s="15" t="n"/>
      <c r="AC75" s="15">
        <f>LEFT(AG75,2)&amp;LEFT(AI75,2)</f>
        <v/>
      </c>
      <c r="AD75" s="15" t="n"/>
      <c r="AE75" s="15">
        <f>IF(K75&gt;L75,1,0)</f>
        <v/>
      </c>
      <c r="AF75" s="16">
        <f>IF(H75&gt;I75,1,0)</f>
        <v/>
      </c>
      <c r="AG75" s="16">
        <f>IF(SUM(AE75:AF75)=2,"Anticipatory_Buy","No_Action")</f>
        <v/>
      </c>
      <c r="AH75" s="15" t="n"/>
      <c r="AI75" s="15">
        <f>IF(SUM(AJ75:AK75)=2,"Confirm_Buy","No_Action")</f>
        <v/>
      </c>
      <c r="AJ75" s="15">
        <f>IF(H75&gt;I75,1,0)</f>
        <v/>
      </c>
      <c r="AK75" s="15">
        <f>IF(K75&gt;M75,1,0)</f>
        <v/>
      </c>
    </row>
    <row r="76" ht="14.5" customHeight="1">
      <c r="A76" s="12" t="inlineStr">
        <is>
          <t>CMSINFO</t>
        </is>
      </c>
      <c r="B76" s="13">
        <f>IFERROR(__xludf.DUMMYFUNCTION("GOOGLEFINANCE(""NSE:""&amp;A76,""PRICE"")"),526.95)</f>
        <v/>
      </c>
      <c r="C76" s="13">
        <f>IFERROR(__xludf.DUMMYFUNCTION("GOOGLEFINANCE(""NSE:""&amp;A76,""PRICEOPEN"")"),516)</f>
        <v/>
      </c>
      <c r="D76" s="13">
        <f>IFERROR(__xludf.DUMMYFUNCTION("GOOGLEFINANCE(""NSE:""&amp;A76,""HIGH"")"),528)</f>
        <v/>
      </c>
      <c r="E76" s="13">
        <f>IFERROR(__xludf.DUMMYFUNCTION("GOOGLEFINANCE(""NSE:""&amp;A76,""LOW"")"),508.15)</f>
        <v/>
      </c>
      <c r="F76" s="13">
        <f>IFERROR(__xludf.DUMMYFUNCTION("GOOGLEFINANCE(""NSE:""&amp;A76,""closeyest"")"),513.5)</f>
        <v/>
      </c>
      <c r="G76" s="14">
        <f>(B76-C76)/B76</f>
        <v/>
      </c>
      <c r="H76" s="13">
        <f>IFERROR(__xludf.DUMMYFUNCTION("GOOGLEFINANCE(""NSE:""&amp;A76,""VOLUME"")"),410273)</f>
        <v/>
      </c>
      <c r="I76" s="13">
        <f>IFERROR(__xludf.DUMMYFUNCTION("AVERAGE(index(GOOGLEFINANCE(""NSE:""&amp;$A76, ""volume"", today()-21, today()-1), , 2))"),"#N/A")</f>
        <v/>
      </c>
      <c r="J76" s="14">
        <f>(H76-I76)/I76</f>
        <v/>
      </c>
      <c r="K76" s="13">
        <f>IFERROR(__xludf.DUMMYFUNCTION("AVERAGE(index(GOOGLEFINANCE(""NSE:""&amp;$A76, ""close"", today()-6, today()-1), , 2))"),"#N/A")</f>
        <v/>
      </c>
      <c r="L76" s="13">
        <f>IFERROR(__xludf.DUMMYFUNCTION("AVERAGE(index(GOOGLEFINANCE(""NSE:""&amp;$A76, ""close"", today()-14, today()-1), , 2))"),"#N/A")</f>
        <v/>
      </c>
      <c r="M76" s="13">
        <f>IFERROR(__xludf.DUMMYFUNCTION("AVERAGE(index(GOOGLEFINANCE(""NSE:""&amp;$A76, ""close"", today()-22, today()-1), , 2))"),"#N/A")</f>
        <v/>
      </c>
      <c r="N76" s="13">
        <f>AG76</f>
        <v/>
      </c>
      <c r="O76" s="13">
        <f>AI76</f>
        <v/>
      </c>
      <c r="P76" s="13">
        <f>W76</f>
        <v/>
      </c>
      <c r="Q76" s="13">
        <f>Y76</f>
        <v/>
      </c>
      <c r="R76" s="15" t="n"/>
      <c r="S76" s="15">
        <f>LEFT(W76,2)&amp;LEFT(Y76,2)</f>
        <v/>
      </c>
      <c r="T76" s="15" t="n"/>
      <c r="U76" s="15">
        <f>IF(K76&lt;L76,1,0)</f>
        <v/>
      </c>
      <c r="V76" s="15">
        <f>IF(H76&gt;I76,1,0)</f>
        <v/>
      </c>
      <c r="W76" s="15">
        <f>IF(SUM(U76:V76)=2,"Anticipatory_Sell","No_Action")</f>
        <v/>
      </c>
      <c r="X76" s="15" t="n"/>
      <c r="Y76" s="15">
        <f>IF(SUM(Z76:AA76)=2,"Confirm_Sell","No_Action")</f>
        <v/>
      </c>
      <c r="Z76" s="15">
        <f>IF(H76&gt;I76,1,0)</f>
        <v/>
      </c>
      <c r="AA76" s="15">
        <f>IF(K76&lt;M76,1,0)</f>
        <v/>
      </c>
      <c r="AB76" s="15" t="n"/>
      <c r="AC76" s="15">
        <f>LEFT(AG76,2)&amp;LEFT(AI76,2)</f>
        <v/>
      </c>
      <c r="AD76" s="15" t="n"/>
      <c r="AE76" s="15">
        <f>IF(K76&gt;L76,1,0)</f>
        <v/>
      </c>
      <c r="AF76" s="16">
        <f>IF(H76&gt;I76,1,0)</f>
        <v/>
      </c>
      <c r="AG76" s="16">
        <f>IF(SUM(AE76:AF76)=2,"Anticipatory_Buy","No_Action")</f>
        <v/>
      </c>
      <c r="AH76" s="15" t="n"/>
      <c r="AI76" s="15">
        <f>IF(SUM(AJ76:AK76)=2,"Confirm_Buy","No_Action")</f>
        <v/>
      </c>
      <c r="AJ76" s="15">
        <f>IF(H76&gt;I76,1,0)</f>
        <v/>
      </c>
      <c r="AK76" s="15">
        <f>IF(K76&gt;M76,1,0)</f>
        <v/>
      </c>
    </row>
    <row r="77" ht="14.5" customHeight="1">
      <c r="A77" s="12" t="inlineStr">
        <is>
          <t>COALINDIA</t>
        </is>
      </c>
      <c r="B77" s="13">
        <f>IFERROR(__xludf.DUMMYFUNCTION("GOOGLEFINANCE(""NSE:""&amp;A77,""PRICE"")"),414.4)</f>
        <v/>
      </c>
      <c r="C77" s="13">
        <f>IFERROR(__xludf.DUMMYFUNCTION("GOOGLEFINANCE(""NSE:""&amp;A77,""PRICEOPEN"")"),418)</f>
        <v/>
      </c>
      <c r="D77" s="13">
        <f>IFERROR(__xludf.DUMMYFUNCTION("GOOGLEFINANCE(""NSE:""&amp;A77,""HIGH"")"),420.95)</f>
        <v/>
      </c>
      <c r="E77" s="13">
        <f>IFERROR(__xludf.DUMMYFUNCTION("GOOGLEFINANCE(""NSE:""&amp;A77,""LOW"")"),412.5)</f>
        <v/>
      </c>
      <c r="F77" s="13">
        <f>IFERROR(__xludf.DUMMYFUNCTION("GOOGLEFINANCE(""NSE:""&amp;A77,""closeyest"")"),417.15)</f>
        <v/>
      </c>
      <c r="G77" s="14">
        <f>(B77-C77)/B77</f>
        <v/>
      </c>
      <c r="H77" s="13">
        <f>IFERROR(__xludf.DUMMYFUNCTION("GOOGLEFINANCE(""NSE:""&amp;A77,""VOLUME"")"),6662023)</f>
        <v/>
      </c>
      <c r="I77" s="13">
        <f>IFERROR(__xludf.DUMMYFUNCTION("AVERAGE(index(GOOGLEFINANCE(""NSE:""&amp;$A77, ""volume"", today()-21, today()-1), , 2))"),"#N/A")</f>
        <v/>
      </c>
      <c r="J77" s="14">
        <f>(H77-I77)/I77</f>
        <v/>
      </c>
      <c r="K77" s="13">
        <f>IFERROR(__xludf.DUMMYFUNCTION("AVERAGE(index(GOOGLEFINANCE(""NSE:""&amp;$A77, ""close"", today()-6, today()-1), , 2))"),"#N/A")</f>
        <v/>
      </c>
      <c r="L77" s="13">
        <f>IFERROR(__xludf.DUMMYFUNCTION("AVERAGE(index(GOOGLEFINANCE(""NSE:""&amp;$A77, ""close"", today()-14, today()-1), , 2))"),"#N/A")</f>
        <v/>
      </c>
      <c r="M77" s="13">
        <f>IFERROR(__xludf.DUMMYFUNCTION("AVERAGE(index(GOOGLEFINANCE(""NSE:""&amp;$A77, ""close"", today()-22, today()-1), , 2))"),"#N/A")</f>
        <v/>
      </c>
      <c r="N77" s="13">
        <f>AG77</f>
        <v/>
      </c>
      <c r="O77" s="13">
        <f>AI77</f>
        <v/>
      </c>
      <c r="P77" s="13">
        <f>W77</f>
        <v/>
      </c>
      <c r="Q77" s="13">
        <f>Y77</f>
        <v/>
      </c>
      <c r="R77" s="15" t="n"/>
      <c r="S77" s="15">
        <f>LEFT(W77,2)&amp;LEFT(Y77,2)</f>
        <v/>
      </c>
      <c r="T77" s="15" t="n"/>
      <c r="U77" s="15">
        <f>IF(K77&lt;L77,1,0)</f>
        <v/>
      </c>
      <c r="V77" s="15">
        <f>IF(H77&gt;I77,1,0)</f>
        <v/>
      </c>
      <c r="W77" s="15">
        <f>IF(SUM(U77:V77)=2,"Anticipatory_Sell","No_Action")</f>
        <v/>
      </c>
      <c r="X77" s="15" t="n"/>
      <c r="Y77" s="15">
        <f>IF(SUM(Z77:AA77)=2,"Confirm_Sell","No_Action")</f>
        <v/>
      </c>
      <c r="Z77" s="15">
        <f>IF(H77&gt;I77,1,0)</f>
        <v/>
      </c>
      <c r="AA77" s="15">
        <f>IF(K77&lt;M77,1,0)</f>
        <v/>
      </c>
      <c r="AB77" s="15" t="n"/>
      <c r="AC77" s="15">
        <f>LEFT(AG77,2)&amp;LEFT(AI77,2)</f>
        <v/>
      </c>
      <c r="AD77" s="15" t="n"/>
      <c r="AE77" s="15">
        <f>IF(K77&gt;L77,1,0)</f>
        <v/>
      </c>
      <c r="AF77" s="16">
        <f>IF(H77&gt;I77,1,0)</f>
        <v/>
      </c>
      <c r="AG77" s="16">
        <f>IF(SUM(AE77:AF77)=2,"Anticipatory_Buy","No_Action")</f>
        <v/>
      </c>
      <c r="AH77" s="15" t="n"/>
      <c r="AI77" s="15">
        <f>IF(SUM(AJ77:AK77)=2,"Confirm_Buy","No_Action")</f>
        <v/>
      </c>
      <c r="AJ77" s="15">
        <f>IF(H77&gt;I77,1,0)</f>
        <v/>
      </c>
      <c r="AK77" s="15">
        <f>IF(K77&gt;M77,1,0)</f>
        <v/>
      </c>
    </row>
    <row r="78" ht="14.5" customHeight="1">
      <c r="A78" s="12" t="inlineStr">
        <is>
          <t>COCHINSHIP</t>
        </is>
      </c>
      <c r="B78" s="13">
        <f>IFERROR(__xludf.DUMMYFUNCTION("GOOGLEFINANCE(""NSE:""&amp;A78,""PRICE"")"),1681)</f>
        <v/>
      </c>
      <c r="C78" s="13">
        <f>IFERROR(__xludf.DUMMYFUNCTION("GOOGLEFINANCE(""NSE:""&amp;A78,""PRICEOPEN"")"),1684.7)</f>
        <v/>
      </c>
      <c r="D78" s="13">
        <f>IFERROR(__xludf.DUMMYFUNCTION("GOOGLEFINANCE(""NSE:""&amp;A78,""HIGH"")"),1693.9)</f>
        <v/>
      </c>
      <c r="E78" s="13">
        <f>IFERROR(__xludf.DUMMYFUNCTION("GOOGLEFINANCE(""NSE:""&amp;A78,""LOW"")"),1663)</f>
        <v/>
      </c>
      <c r="F78" s="13">
        <f>IFERROR(__xludf.DUMMYFUNCTION("GOOGLEFINANCE(""NSE:""&amp;A78,""closeyest"")"),1691.9)</f>
        <v/>
      </c>
      <c r="G78" s="14">
        <f>(B78-C78)/B78</f>
        <v/>
      </c>
      <c r="H78" s="13">
        <f>IFERROR(__xludf.DUMMYFUNCTION("GOOGLEFINANCE(""NSE:""&amp;A78,""VOLUME"")"),359831)</f>
        <v/>
      </c>
      <c r="I78" s="13">
        <f>IFERROR(__xludf.DUMMYFUNCTION("AVERAGE(index(GOOGLEFINANCE(""NSE:""&amp;$A78, ""volume"", today()-21, today()-1), , 2))"),"#N/A")</f>
        <v/>
      </c>
      <c r="J78" s="14">
        <f>(H78-I78)/I78</f>
        <v/>
      </c>
      <c r="K78" s="13">
        <f>IFERROR(__xludf.DUMMYFUNCTION("AVERAGE(index(GOOGLEFINANCE(""NSE:""&amp;$A78, ""close"", today()-6, today()-1), , 2))"),"#N/A")</f>
        <v/>
      </c>
      <c r="L78" s="13">
        <f>IFERROR(__xludf.DUMMYFUNCTION("AVERAGE(index(GOOGLEFINANCE(""NSE:""&amp;$A78, ""close"", today()-14, today()-1), , 2))"),"#N/A")</f>
        <v/>
      </c>
      <c r="M78" s="13">
        <f>IFERROR(__xludf.DUMMYFUNCTION("AVERAGE(index(GOOGLEFINANCE(""NSE:""&amp;$A78, ""close"", today()-22, today()-1), , 2))"),"#N/A")</f>
        <v/>
      </c>
      <c r="N78" s="13">
        <f>AG78</f>
        <v/>
      </c>
      <c r="O78" s="13">
        <f>AI78</f>
        <v/>
      </c>
      <c r="P78" s="13">
        <f>W78</f>
        <v/>
      </c>
      <c r="Q78" s="13">
        <f>Y78</f>
        <v/>
      </c>
      <c r="R78" s="15" t="n"/>
      <c r="S78" s="15">
        <f>LEFT(W78,2)&amp;LEFT(Y78,2)</f>
        <v/>
      </c>
      <c r="T78" s="15" t="n"/>
      <c r="U78" s="15">
        <f>IF(K78&lt;L78,1,0)</f>
        <v/>
      </c>
      <c r="V78" s="15">
        <f>IF(H78&gt;I78,1,0)</f>
        <v/>
      </c>
      <c r="W78" s="15">
        <f>IF(SUM(U78:V78)=2,"Anticipatory_Sell","No_Action")</f>
        <v/>
      </c>
      <c r="X78" s="15" t="n"/>
      <c r="Y78" s="15">
        <f>IF(SUM(Z78:AA78)=2,"Confirm_Sell","No_Action")</f>
        <v/>
      </c>
      <c r="Z78" s="15">
        <f>IF(H78&gt;I78,1,0)</f>
        <v/>
      </c>
      <c r="AA78" s="15">
        <f>IF(K78&lt;M78,1,0)</f>
        <v/>
      </c>
      <c r="AB78" s="15" t="n"/>
      <c r="AC78" s="15">
        <f>LEFT(AG78,2)&amp;LEFT(AI78,2)</f>
        <v/>
      </c>
      <c r="AD78" s="15" t="n"/>
      <c r="AE78" s="15">
        <f>IF(K78&gt;L78,1,0)</f>
        <v/>
      </c>
      <c r="AF78" s="16">
        <f>IF(H78&gt;I78,1,0)</f>
        <v/>
      </c>
      <c r="AG78" s="16">
        <f>IF(SUM(AE78:AF78)=2,"Anticipatory_Buy","No_Action")</f>
        <v/>
      </c>
      <c r="AH78" s="15" t="n"/>
      <c r="AI78" s="15">
        <f>IF(SUM(AJ78:AK78)=2,"Confirm_Buy","No_Action")</f>
        <v/>
      </c>
      <c r="AJ78" s="15">
        <f>IF(H78&gt;I78,1,0)</f>
        <v/>
      </c>
      <c r="AK78" s="15">
        <f>IF(K78&gt;M78,1,0)</f>
        <v/>
      </c>
    </row>
    <row r="79" ht="14.5" customHeight="1">
      <c r="A79" s="12" t="inlineStr">
        <is>
          <t>COLPAL</t>
        </is>
      </c>
      <c r="B79" s="13">
        <f>IFERROR(__xludf.DUMMYFUNCTION("GOOGLEFINANCE(""NSE:""&amp;A79,""PRICE"")"),2804)</f>
        <v/>
      </c>
      <c r="C79" s="13">
        <f>IFERROR(__xludf.DUMMYFUNCTION("GOOGLEFINANCE(""NSE:""&amp;A79,""PRICEOPEN"")"),2886.8)</f>
        <v/>
      </c>
      <c r="D79" s="13">
        <f>IFERROR(__xludf.DUMMYFUNCTION("GOOGLEFINANCE(""NSE:""&amp;A79,""HIGH"")"),2886.8)</f>
        <v/>
      </c>
      <c r="E79" s="13">
        <f>IFERROR(__xludf.DUMMYFUNCTION("GOOGLEFINANCE(""NSE:""&amp;A79,""LOW"")"),2777.5)</f>
        <v/>
      </c>
      <c r="F79" s="13">
        <f>IFERROR(__xludf.DUMMYFUNCTION("GOOGLEFINANCE(""NSE:""&amp;A79,""closeyest"")"),2886.8)</f>
        <v/>
      </c>
      <c r="G79" s="14">
        <f>(B79-C79)/B79</f>
        <v/>
      </c>
      <c r="H79" s="13">
        <f>IFERROR(__xludf.DUMMYFUNCTION("GOOGLEFINANCE(""NSE:""&amp;A79,""VOLUME"")"),834357)</f>
        <v/>
      </c>
      <c r="I79" s="13">
        <f>IFERROR(__xludf.DUMMYFUNCTION("AVERAGE(index(GOOGLEFINANCE(""NSE:""&amp;$A79, ""volume"", today()-21, today()-1), , 2))"),"#N/A")</f>
        <v/>
      </c>
      <c r="J79" s="14">
        <f>(H79-I79)/I79</f>
        <v/>
      </c>
      <c r="K79" s="13">
        <f>IFERROR(__xludf.DUMMYFUNCTION("AVERAGE(index(GOOGLEFINANCE(""NSE:""&amp;$A79, ""close"", today()-6, today()-1), , 2))"),"#N/A")</f>
        <v/>
      </c>
      <c r="L79" s="13">
        <f>IFERROR(__xludf.DUMMYFUNCTION("AVERAGE(index(GOOGLEFINANCE(""NSE:""&amp;$A79, ""close"", today()-14, today()-1), , 2))"),"#N/A")</f>
        <v/>
      </c>
      <c r="M79" s="13">
        <f>IFERROR(__xludf.DUMMYFUNCTION("AVERAGE(index(GOOGLEFINANCE(""NSE:""&amp;$A79, ""close"", today()-22, today()-1), , 2))"),"#N/A")</f>
        <v/>
      </c>
      <c r="N79" s="13">
        <f>AG79</f>
        <v/>
      </c>
      <c r="O79" s="13">
        <f>AI79</f>
        <v/>
      </c>
      <c r="P79" s="13">
        <f>W79</f>
        <v/>
      </c>
      <c r="Q79" s="13">
        <f>Y79</f>
        <v/>
      </c>
      <c r="R79" s="15" t="n"/>
      <c r="S79" s="15">
        <f>LEFT(W79,2)&amp;LEFT(Y79,2)</f>
        <v/>
      </c>
      <c r="T79" s="15" t="n"/>
      <c r="U79" s="15">
        <f>IF(K79&lt;L79,1,0)</f>
        <v/>
      </c>
      <c r="V79" s="15">
        <f>IF(H79&gt;I79,1,0)</f>
        <v/>
      </c>
      <c r="W79" s="15">
        <f>IF(SUM(U79:V79)=2,"Anticipatory_Sell","No_Action")</f>
        <v/>
      </c>
      <c r="X79" s="15" t="n"/>
      <c r="Y79" s="15">
        <f>IF(SUM(Z79:AA79)=2,"Confirm_Sell","No_Action")</f>
        <v/>
      </c>
      <c r="Z79" s="15">
        <f>IF(H79&gt;I79,1,0)</f>
        <v/>
      </c>
      <c r="AA79" s="15">
        <f>IF(K79&lt;M79,1,0)</f>
        <v/>
      </c>
      <c r="AB79" s="15" t="n"/>
      <c r="AC79" s="15">
        <f>LEFT(AG79,2)&amp;LEFT(AI79,2)</f>
        <v/>
      </c>
      <c r="AD79" s="15" t="n"/>
      <c r="AE79" s="15">
        <f>IF(K79&gt;L79,1,0)</f>
        <v/>
      </c>
      <c r="AF79" s="16">
        <f>IF(H79&gt;I79,1,0)</f>
        <v/>
      </c>
      <c r="AG79" s="16">
        <f>IF(SUM(AE79:AF79)=2,"Anticipatory_Buy","No_Action")</f>
        <v/>
      </c>
      <c r="AH79" s="15" t="n"/>
      <c r="AI79" s="15">
        <f>IF(SUM(AJ79:AK79)=2,"Confirm_Buy","No_Action")</f>
        <v/>
      </c>
      <c r="AJ79" s="15">
        <f>IF(H79&gt;I79,1,0)</f>
        <v/>
      </c>
      <c r="AK79" s="15">
        <f>IF(K79&gt;M79,1,0)</f>
        <v/>
      </c>
    </row>
    <row r="80" ht="14.5" customHeight="1">
      <c r="A80" s="12" t="inlineStr">
        <is>
          <t>CONTROLPR</t>
        </is>
      </c>
      <c r="B80" s="13">
        <f>IFERROR(__xludf.DUMMYFUNCTION("GOOGLEFINANCE(""NSE:""&amp;A80,""PRICE"")"),740)</f>
        <v/>
      </c>
      <c r="C80" s="13">
        <f>IFERROR(__xludf.DUMMYFUNCTION("GOOGLEFINANCE(""NSE:""&amp;A80,""PRICEOPEN"")"),730.2)</f>
        <v/>
      </c>
      <c r="D80" s="13">
        <f>IFERROR(__xludf.DUMMYFUNCTION("GOOGLEFINANCE(""NSE:""&amp;A80,""HIGH"")"),746)</f>
        <v/>
      </c>
      <c r="E80" s="13">
        <f>IFERROR(__xludf.DUMMYFUNCTION("GOOGLEFINANCE(""NSE:""&amp;A80,""LOW"")"),730.2)</f>
        <v/>
      </c>
      <c r="F80" s="13">
        <f>IFERROR(__xludf.DUMMYFUNCTION("GOOGLEFINANCE(""NSE:""&amp;A80,""closeyest"")"),738.9)</f>
        <v/>
      </c>
      <c r="G80" s="14">
        <f>(B80-C80)/B80</f>
        <v/>
      </c>
      <c r="H80" s="13">
        <f>IFERROR(__xludf.DUMMYFUNCTION("GOOGLEFINANCE(""NSE:""&amp;A80,""VOLUME"")"),13044)</f>
        <v/>
      </c>
      <c r="I80" s="13">
        <f>IFERROR(__xludf.DUMMYFUNCTION("AVERAGE(index(GOOGLEFINANCE(""NSE:""&amp;$A80, ""volume"", today()-21, today()-1), , 2))"),"#N/A")</f>
        <v/>
      </c>
      <c r="J80" s="14">
        <f>(H80-I80)/I80</f>
        <v/>
      </c>
      <c r="K80" s="13">
        <f>IFERROR(__xludf.DUMMYFUNCTION("AVERAGE(index(GOOGLEFINANCE(""NSE:""&amp;$A80, ""close"", today()-6, today()-1), , 2))"),"#N/A")</f>
        <v/>
      </c>
      <c r="L80" s="13">
        <f>IFERROR(__xludf.DUMMYFUNCTION("AVERAGE(index(GOOGLEFINANCE(""NSE:""&amp;$A80, ""close"", today()-14, today()-1), , 2))"),"#N/A")</f>
        <v/>
      </c>
      <c r="M80" s="13">
        <f>IFERROR(__xludf.DUMMYFUNCTION("AVERAGE(index(GOOGLEFINANCE(""NSE:""&amp;$A80, ""close"", today()-22, today()-1), , 2))"),"#N/A")</f>
        <v/>
      </c>
      <c r="N80" s="13">
        <f>AG80</f>
        <v/>
      </c>
      <c r="O80" s="13">
        <f>AI80</f>
        <v/>
      </c>
      <c r="P80" s="13">
        <f>W80</f>
        <v/>
      </c>
      <c r="Q80" s="13">
        <f>Y80</f>
        <v/>
      </c>
      <c r="R80" s="15" t="n"/>
      <c r="S80" s="15">
        <f>LEFT(W80,2)&amp;LEFT(Y80,2)</f>
        <v/>
      </c>
      <c r="T80" s="15" t="n"/>
      <c r="U80" s="15">
        <f>IF(K80&lt;L80,1,0)</f>
        <v/>
      </c>
      <c r="V80" s="15">
        <f>IF(H80&gt;I80,1,0)</f>
        <v/>
      </c>
      <c r="W80" s="15">
        <f>IF(SUM(U80:V80)=2,"Anticipatory_Sell","No_Action")</f>
        <v/>
      </c>
      <c r="X80" s="15" t="n"/>
      <c r="Y80" s="15">
        <f>IF(SUM(Z80:AA80)=2,"Confirm_Sell","No_Action")</f>
        <v/>
      </c>
      <c r="Z80" s="15">
        <f>IF(H80&gt;I80,1,0)</f>
        <v/>
      </c>
      <c r="AA80" s="15">
        <f>IF(K80&lt;M80,1,0)</f>
        <v/>
      </c>
      <c r="AB80" s="15" t="n"/>
      <c r="AC80" s="15">
        <f>LEFT(AG80,2)&amp;LEFT(AI80,2)</f>
        <v/>
      </c>
      <c r="AD80" s="15" t="n"/>
      <c r="AE80" s="15">
        <f>IF(K80&gt;L80,1,0)</f>
        <v/>
      </c>
      <c r="AF80" s="16">
        <f>IF(H80&gt;I80,1,0)</f>
        <v/>
      </c>
      <c r="AG80" s="16">
        <f>IF(SUM(AE80:AF80)=2,"Anticipatory_Buy","No_Action")</f>
        <v/>
      </c>
      <c r="AH80" s="15" t="n"/>
      <c r="AI80" s="15">
        <f>IF(SUM(AJ80:AK80)=2,"Confirm_Buy","No_Action")</f>
        <v/>
      </c>
      <c r="AJ80" s="15">
        <f>IF(H80&gt;I80,1,0)</f>
        <v/>
      </c>
      <c r="AK80" s="15">
        <f>IF(K80&gt;M80,1,0)</f>
        <v/>
      </c>
    </row>
    <row r="81" ht="14.5" customHeight="1">
      <c r="A81" s="12" t="inlineStr">
        <is>
          <t>COROMANDEL</t>
        </is>
      </c>
      <c r="B81" s="13">
        <f>IFERROR(__xludf.DUMMYFUNCTION("GOOGLEFINANCE(""NSE:""&amp;A81,""PRICE"")"),1762.05)</f>
        <v/>
      </c>
      <c r="C81" s="13">
        <f>IFERROR(__xludf.DUMMYFUNCTION("GOOGLEFINANCE(""NSE:""&amp;A81,""PRICEOPEN"")"),1762.4)</f>
        <v/>
      </c>
      <c r="D81" s="13">
        <f>IFERROR(__xludf.DUMMYFUNCTION("GOOGLEFINANCE(""NSE:""&amp;A81,""HIGH"")"),1772.95)</f>
        <v/>
      </c>
      <c r="E81" s="13">
        <f>IFERROR(__xludf.DUMMYFUNCTION("GOOGLEFINANCE(""NSE:""&amp;A81,""LOW"")"),1730.6)</f>
        <v/>
      </c>
      <c r="F81" s="13">
        <f>IFERROR(__xludf.DUMMYFUNCTION("GOOGLEFINANCE(""NSE:""&amp;A81,""closeyest"")"),1762.4)</f>
        <v/>
      </c>
      <c r="G81" s="14">
        <f>(B81-C81)/B81</f>
        <v/>
      </c>
      <c r="H81" s="13">
        <f>IFERROR(__xludf.DUMMYFUNCTION("GOOGLEFINANCE(""NSE:""&amp;A81,""VOLUME"")"),343856)</f>
        <v/>
      </c>
      <c r="I81" s="13">
        <f>IFERROR(__xludf.DUMMYFUNCTION("AVERAGE(index(GOOGLEFINANCE(""NSE:""&amp;$A81, ""volume"", today()-21, today()-1), , 2))"),"#N/A")</f>
        <v/>
      </c>
      <c r="J81" s="14">
        <f>(H81-I81)/I81</f>
        <v/>
      </c>
      <c r="K81" s="13">
        <f>IFERROR(__xludf.DUMMYFUNCTION("AVERAGE(index(GOOGLEFINANCE(""NSE:""&amp;$A81, ""close"", today()-6, today()-1), , 2))"),"#N/A")</f>
        <v/>
      </c>
      <c r="L81" s="13">
        <f>IFERROR(__xludf.DUMMYFUNCTION("AVERAGE(index(GOOGLEFINANCE(""NSE:""&amp;$A81, ""close"", today()-14, today()-1), , 2))"),"#N/A")</f>
        <v/>
      </c>
      <c r="M81" s="13">
        <f>IFERROR(__xludf.DUMMYFUNCTION("AVERAGE(index(GOOGLEFINANCE(""NSE:""&amp;$A81, ""close"", today()-22, today()-1), , 2))"),"#N/A")</f>
        <v/>
      </c>
      <c r="N81" s="13">
        <f>AG81</f>
        <v/>
      </c>
      <c r="O81" s="13">
        <f>AI81</f>
        <v/>
      </c>
      <c r="P81" s="13">
        <f>W81</f>
        <v/>
      </c>
      <c r="Q81" s="13">
        <f>Y81</f>
        <v/>
      </c>
      <c r="R81" s="15" t="n"/>
      <c r="S81" s="15">
        <f>LEFT(W81,2)&amp;LEFT(Y81,2)</f>
        <v/>
      </c>
      <c r="T81" s="15" t="n"/>
      <c r="U81" s="15">
        <f>IF(K81&lt;L81,1,0)</f>
        <v/>
      </c>
      <c r="V81" s="15">
        <f>IF(H81&gt;I81,1,0)</f>
        <v/>
      </c>
      <c r="W81" s="15">
        <f>IF(SUM(U81:V81)=2,"Anticipatory_Sell","No_Action")</f>
        <v/>
      </c>
      <c r="X81" s="15" t="n"/>
      <c r="Y81" s="15">
        <f>IF(SUM(Z81:AA81)=2,"Confirm_Sell","No_Action")</f>
        <v/>
      </c>
      <c r="Z81" s="15">
        <f>IF(H81&gt;I81,1,0)</f>
        <v/>
      </c>
      <c r="AA81" s="15">
        <f>IF(K81&lt;M81,1,0)</f>
        <v/>
      </c>
      <c r="AB81" s="15" t="n"/>
      <c r="AC81" s="15">
        <f>LEFT(AG81,2)&amp;LEFT(AI81,2)</f>
        <v/>
      </c>
      <c r="AD81" s="15" t="n"/>
      <c r="AE81" s="15">
        <f>IF(K81&gt;L81,1,0)</f>
        <v/>
      </c>
      <c r="AF81" s="16">
        <f>IF(H81&gt;I81,1,0)</f>
        <v/>
      </c>
      <c r="AG81" s="16">
        <f>IF(SUM(AE81:AF81)=2,"Anticipatory_Buy","No_Action")</f>
        <v/>
      </c>
      <c r="AH81" s="15" t="n"/>
      <c r="AI81" s="15">
        <f>IF(SUM(AJ81:AK81)=2,"Confirm_Buy","No_Action")</f>
        <v/>
      </c>
      <c r="AJ81" s="15">
        <f>IF(H81&gt;I81,1,0)</f>
        <v/>
      </c>
      <c r="AK81" s="15">
        <f>IF(K81&gt;M81,1,0)</f>
        <v/>
      </c>
    </row>
    <row r="82" ht="14.5" customHeight="1">
      <c r="A82" s="12" t="inlineStr">
        <is>
          <t>CREDITACC</t>
        </is>
      </c>
      <c r="B82" s="13">
        <f>IFERROR(__xludf.DUMMYFUNCTION("GOOGLEFINANCE(""NSE:""&amp;A82,""PRICE"")"),938)</f>
        <v/>
      </c>
      <c r="C82" s="13">
        <f>IFERROR(__xludf.DUMMYFUNCTION("GOOGLEFINANCE(""NSE:""&amp;A82,""PRICEOPEN"")"),933)</f>
        <v/>
      </c>
      <c r="D82" s="13">
        <f>IFERROR(__xludf.DUMMYFUNCTION("GOOGLEFINANCE(""NSE:""&amp;A82,""HIGH"")"),942)</f>
        <v/>
      </c>
      <c r="E82" s="13">
        <f>IFERROR(__xludf.DUMMYFUNCTION("GOOGLEFINANCE(""NSE:""&amp;A82,""LOW"")"),926.55)</f>
        <v/>
      </c>
      <c r="F82" s="13">
        <f>IFERROR(__xludf.DUMMYFUNCTION("GOOGLEFINANCE(""NSE:""&amp;A82,""closeyest"")"),933.3)</f>
        <v/>
      </c>
      <c r="G82" s="14">
        <f>(B82-C82)/B82</f>
        <v/>
      </c>
      <c r="H82" s="13">
        <f>IFERROR(__xludf.DUMMYFUNCTION("GOOGLEFINANCE(""NSE:""&amp;A82,""VOLUME"")"),152830)</f>
        <v/>
      </c>
      <c r="I82" s="13">
        <f>IFERROR(__xludf.DUMMYFUNCTION("AVERAGE(index(GOOGLEFINANCE(""NSE:""&amp;$A82, ""volume"", today()-21, today()-1), , 2))"),"#N/A")</f>
        <v/>
      </c>
      <c r="J82" s="14">
        <f>(H82-I82)/I82</f>
        <v/>
      </c>
      <c r="K82" s="13">
        <f>IFERROR(__xludf.DUMMYFUNCTION("AVERAGE(index(GOOGLEFINANCE(""NSE:""&amp;$A82, ""close"", today()-6, today()-1), , 2))"),"#N/A")</f>
        <v/>
      </c>
      <c r="L82" s="13">
        <f>IFERROR(__xludf.DUMMYFUNCTION("AVERAGE(index(GOOGLEFINANCE(""NSE:""&amp;$A82, ""close"", today()-14, today()-1), , 2))"),"#N/A")</f>
        <v/>
      </c>
      <c r="M82" s="13">
        <f>IFERROR(__xludf.DUMMYFUNCTION("AVERAGE(index(GOOGLEFINANCE(""NSE:""&amp;$A82, ""close"", today()-22, today()-1), , 2))"),"#N/A")</f>
        <v/>
      </c>
      <c r="N82" s="13">
        <f>AG82</f>
        <v/>
      </c>
      <c r="O82" s="13">
        <f>AI82</f>
        <v/>
      </c>
      <c r="P82" s="13">
        <f>W82</f>
        <v/>
      </c>
      <c r="Q82" s="13">
        <f>Y82</f>
        <v/>
      </c>
      <c r="R82" s="15" t="n"/>
      <c r="S82" s="15">
        <f>LEFT(W82,2)&amp;LEFT(Y82,2)</f>
        <v/>
      </c>
      <c r="T82" s="15" t="n"/>
      <c r="U82" s="15">
        <f>IF(K82&lt;L82,1,0)</f>
        <v/>
      </c>
      <c r="V82" s="15">
        <f>IF(H82&gt;I82,1,0)</f>
        <v/>
      </c>
      <c r="W82" s="15">
        <f>IF(SUM(U82:V82)=2,"Anticipatory_Sell","No_Action")</f>
        <v/>
      </c>
      <c r="X82" s="15" t="n"/>
      <c r="Y82" s="15">
        <f>IF(SUM(Z82:AA82)=2,"Confirm_Sell","No_Action")</f>
        <v/>
      </c>
      <c r="Z82" s="15">
        <f>IF(H82&gt;I82,1,0)</f>
        <v/>
      </c>
      <c r="AA82" s="15">
        <f>IF(K82&lt;M82,1,0)</f>
        <v/>
      </c>
      <c r="AB82" s="15" t="n"/>
      <c r="AC82" s="15">
        <f>LEFT(AG82,2)&amp;LEFT(AI82,2)</f>
        <v/>
      </c>
      <c r="AD82" s="15" t="n"/>
      <c r="AE82" s="15">
        <f>IF(K82&gt;L82,1,0)</f>
        <v/>
      </c>
      <c r="AF82" s="16">
        <f>IF(H82&gt;I82,1,0)</f>
        <v/>
      </c>
      <c r="AG82" s="16">
        <f>IF(SUM(AE82:AF82)=2,"Anticipatory_Buy","No_Action")</f>
        <v/>
      </c>
      <c r="AH82" s="15" t="n"/>
      <c r="AI82" s="15">
        <f>IF(SUM(AJ82:AK82)=2,"Confirm_Buy","No_Action")</f>
        <v/>
      </c>
      <c r="AJ82" s="15">
        <f>IF(H82&gt;I82,1,0)</f>
        <v/>
      </c>
      <c r="AK82" s="15">
        <f>IF(K82&gt;M82,1,0)</f>
        <v/>
      </c>
    </row>
    <row r="83" ht="14.5" customHeight="1">
      <c r="A83" s="12" t="inlineStr">
        <is>
          <t>CROMPTON</t>
        </is>
      </c>
      <c r="B83" s="13">
        <f>IFERROR(__xludf.DUMMYFUNCTION("GOOGLEFINANCE(""NSE:""&amp;A83,""PRICE"")"),414.25)</f>
        <v/>
      </c>
      <c r="C83" s="13">
        <f>IFERROR(__xludf.DUMMYFUNCTION("GOOGLEFINANCE(""NSE:""&amp;A83,""PRICEOPEN"")"),406.5)</f>
        <v/>
      </c>
      <c r="D83" s="13">
        <f>IFERROR(__xludf.DUMMYFUNCTION("GOOGLEFINANCE(""NSE:""&amp;A83,""HIGH"")"),418)</f>
        <v/>
      </c>
      <c r="E83" s="13">
        <f>IFERROR(__xludf.DUMMYFUNCTION("GOOGLEFINANCE(""NSE:""&amp;A83,""LOW"")"),405.7)</f>
        <v/>
      </c>
      <c r="F83" s="13">
        <f>IFERROR(__xludf.DUMMYFUNCTION("GOOGLEFINANCE(""NSE:""&amp;A83,""closeyest"")"),406.2)</f>
        <v/>
      </c>
      <c r="G83" s="14">
        <f>(B83-C83)/B83</f>
        <v/>
      </c>
      <c r="H83" s="13">
        <f>IFERROR(__xludf.DUMMYFUNCTION("GOOGLEFINANCE(""NSE:""&amp;A83,""VOLUME"")"),1575373)</f>
        <v/>
      </c>
      <c r="I83" s="13">
        <f>IFERROR(__xludf.DUMMYFUNCTION("AVERAGE(index(GOOGLEFINANCE(""NSE:""&amp;$A83, ""volume"", today()-21, today()-1), , 2))"),"#N/A")</f>
        <v/>
      </c>
      <c r="J83" s="14">
        <f>(H83-I83)/I83</f>
        <v/>
      </c>
      <c r="K83" s="13">
        <f>IFERROR(__xludf.DUMMYFUNCTION("AVERAGE(index(GOOGLEFINANCE(""NSE:""&amp;$A83, ""close"", today()-6, today()-1), , 2))"),"#N/A")</f>
        <v/>
      </c>
      <c r="L83" s="13">
        <f>IFERROR(__xludf.DUMMYFUNCTION("AVERAGE(index(GOOGLEFINANCE(""NSE:""&amp;$A83, ""close"", today()-14, today()-1), , 2))"),"#N/A")</f>
        <v/>
      </c>
      <c r="M83" s="13">
        <f>IFERROR(__xludf.DUMMYFUNCTION("AVERAGE(index(GOOGLEFINANCE(""NSE:""&amp;$A83, ""close"", today()-22, today()-1), , 2))"),"#N/A")</f>
        <v/>
      </c>
      <c r="N83" s="13">
        <f>AG83</f>
        <v/>
      </c>
      <c r="O83" s="13">
        <f>AI83</f>
        <v/>
      </c>
      <c r="P83" s="13">
        <f>W83</f>
        <v/>
      </c>
      <c r="Q83" s="13">
        <f>Y83</f>
        <v/>
      </c>
      <c r="R83" s="15" t="n"/>
      <c r="S83" s="15">
        <f>LEFT(W83,2)&amp;LEFT(Y83,2)</f>
        <v/>
      </c>
      <c r="T83" s="15" t="n"/>
      <c r="U83" s="15">
        <f>IF(K83&lt;L83,1,0)</f>
        <v/>
      </c>
      <c r="V83" s="15">
        <f>IF(H83&gt;I83,1,0)</f>
        <v/>
      </c>
      <c r="W83" s="15">
        <f>IF(SUM(U83:V83)=2,"Anticipatory_Sell","No_Action")</f>
        <v/>
      </c>
      <c r="X83" s="15" t="n"/>
      <c r="Y83" s="15">
        <f>IF(SUM(Z83:AA83)=2,"Confirm_Sell","No_Action")</f>
        <v/>
      </c>
      <c r="Z83" s="15">
        <f>IF(H83&gt;I83,1,0)</f>
        <v/>
      </c>
      <c r="AA83" s="15">
        <f>IF(K83&lt;M83,1,0)</f>
        <v/>
      </c>
      <c r="AB83" s="15" t="n"/>
      <c r="AC83" s="15">
        <f>LEFT(AG83,2)&amp;LEFT(AI83,2)</f>
        <v/>
      </c>
      <c r="AD83" s="15" t="n"/>
      <c r="AE83" s="15">
        <f>IF(K83&gt;L83,1,0)</f>
        <v/>
      </c>
      <c r="AF83" s="16">
        <f>IF(H83&gt;I83,1,0)</f>
        <v/>
      </c>
      <c r="AG83" s="16">
        <f>IF(SUM(AE83:AF83)=2,"Anticipatory_Buy","No_Action")</f>
        <v/>
      </c>
      <c r="AH83" s="15" t="n"/>
      <c r="AI83" s="15">
        <f>IF(SUM(AJ83:AK83)=2,"Confirm_Buy","No_Action")</f>
        <v/>
      </c>
      <c r="AJ83" s="15">
        <f>IF(H83&gt;I83,1,0)</f>
        <v/>
      </c>
      <c r="AK83" s="15">
        <f>IF(K83&gt;M83,1,0)</f>
        <v/>
      </c>
    </row>
    <row r="84" ht="14.5" customHeight="1">
      <c r="A84" s="12" t="inlineStr">
        <is>
          <t>CUMMINSIND</t>
        </is>
      </c>
      <c r="B84" s="13">
        <f>IFERROR(__xludf.DUMMYFUNCTION("GOOGLEFINANCE(""NSE:""&amp;A84,""PRICE"")"),3501)</f>
        <v/>
      </c>
      <c r="C84" s="13">
        <f>IFERROR(__xludf.DUMMYFUNCTION("GOOGLEFINANCE(""NSE:""&amp;A84,""PRICEOPEN"")"),3469.95)</f>
        <v/>
      </c>
      <c r="D84" s="13">
        <f>IFERROR(__xludf.DUMMYFUNCTION("GOOGLEFINANCE(""NSE:""&amp;A84,""HIGH"")"),3518)</f>
        <v/>
      </c>
      <c r="E84" s="13">
        <f>IFERROR(__xludf.DUMMYFUNCTION("GOOGLEFINANCE(""NSE:""&amp;A84,""LOW"")"),3460)</f>
        <v/>
      </c>
      <c r="F84" s="13">
        <f>IFERROR(__xludf.DUMMYFUNCTION("GOOGLEFINANCE(""NSE:""&amp;A84,""closeyest"")"),3465)</f>
        <v/>
      </c>
      <c r="G84" s="14">
        <f>(B84-C84)/B84</f>
        <v/>
      </c>
      <c r="H84" s="13">
        <f>IFERROR(__xludf.DUMMYFUNCTION("GOOGLEFINANCE(""NSE:""&amp;A84,""VOLUME"")"),185203)</f>
        <v/>
      </c>
      <c r="I84" s="13">
        <f>IFERROR(__xludf.DUMMYFUNCTION("AVERAGE(index(GOOGLEFINANCE(""NSE:""&amp;$A84, ""volume"", today()-21, today()-1), , 2))"),"#N/A")</f>
        <v/>
      </c>
      <c r="J84" s="14">
        <f>(H84-I84)/I84</f>
        <v/>
      </c>
      <c r="K84" s="13">
        <f>IFERROR(__xludf.DUMMYFUNCTION("AVERAGE(index(GOOGLEFINANCE(""NSE:""&amp;$A84, ""close"", today()-6, today()-1), , 2))"),"#N/A")</f>
        <v/>
      </c>
      <c r="L84" s="13">
        <f>IFERROR(__xludf.DUMMYFUNCTION("AVERAGE(index(GOOGLEFINANCE(""NSE:""&amp;$A84, ""close"", today()-14, today()-1), , 2))"),"#N/A")</f>
        <v/>
      </c>
      <c r="M84" s="13">
        <f>IFERROR(__xludf.DUMMYFUNCTION("AVERAGE(index(GOOGLEFINANCE(""NSE:""&amp;$A84, ""close"", today()-22, today()-1), , 2))"),"#N/A")</f>
        <v/>
      </c>
      <c r="N84" s="13">
        <f>AG84</f>
        <v/>
      </c>
      <c r="O84" s="13">
        <f>AI84</f>
        <v/>
      </c>
      <c r="P84" s="13">
        <f>W84</f>
        <v/>
      </c>
      <c r="Q84" s="13">
        <f>Y84</f>
        <v/>
      </c>
      <c r="R84" s="15" t="n"/>
      <c r="S84" s="15">
        <f>LEFT(W84,2)&amp;LEFT(Y84,2)</f>
        <v/>
      </c>
      <c r="T84" s="15" t="n"/>
      <c r="U84" s="15">
        <f>IF(K84&lt;L84,1,0)</f>
        <v/>
      </c>
      <c r="V84" s="15">
        <f>IF(H84&gt;I84,1,0)</f>
        <v/>
      </c>
      <c r="W84" s="15">
        <f>IF(SUM(U84:V84)=2,"Anticipatory_Sell","No_Action")</f>
        <v/>
      </c>
      <c r="X84" s="15" t="n"/>
      <c r="Y84" s="15">
        <f>IF(SUM(Z84:AA84)=2,"Confirm_Sell","No_Action")</f>
        <v/>
      </c>
      <c r="Z84" s="15">
        <f>IF(H84&gt;I84,1,0)</f>
        <v/>
      </c>
      <c r="AA84" s="15">
        <f>IF(K84&lt;M84,1,0)</f>
        <v/>
      </c>
      <c r="AB84" s="15" t="n"/>
      <c r="AC84" s="15">
        <f>LEFT(AG84,2)&amp;LEFT(AI84,2)</f>
        <v/>
      </c>
      <c r="AD84" s="15" t="n"/>
      <c r="AE84" s="15">
        <f>IF(K84&gt;L84,1,0)</f>
        <v/>
      </c>
      <c r="AF84" s="16">
        <f>IF(H84&gt;I84,1,0)</f>
        <v/>
      </c>
      <c r="AG84" s="16">
        <f>IF(SUM(AE84:AF84)=2,"Anticipatory_Buy","No_Action")</f>
        <v/>
      </c>
      <c r="AH84" s="15" t="n"/>
      <c r="AI84" s="15">
        <f>IF(SUM(AJ84:AK84)=2,"Confirm_Buy","No_Action")</f>
        <v/>
      </c>
      <c r="AJ84" s="15">
        <f>IF(H84&gt;I84,1,0)</f>
        <v/>
      </c>
      <c r="AK84" s="15">
        <f>IF(K84&gt;M84,1,0)</f>
        <v/>
      </c>
    </row>
    <row r="85" ht="14.5" customHeight="1">
      <c r="A85" s="12" t="inlineStr">
        <is>
          <t>DBCORP</t>
        </is>
      </c>
      <c r="B85" s="13">
        <f>IFERROR(__xludf.DUMMYFUNCTION("GOOGLEFINANCE(""NSE:""&amp;A85,""PRICE"")"),323.4)</f>
        <v/>
      </c>
      <c r="C85" s="13">
        <f>IFERROR(__xludf.DUMMYFUNCTION("GOOGLEFINANCE(""NSE:""&amp;A85,""PRICEOPEN"")"),331.5)</f>
        <v/>
      </c>
      <c r="D85" s="13">
        <f>IFERROR(__xludf.DUMMYFUNCTION("GOOGLEFINANCE(""NSE:""&amp;A85,""HIGH"")"),331.6)</f>
        <v/>
      </c>
      <c r="E85" s="13">
        <f>IFERROR(__xludf.DUMMYFUNCTION("GOOGLEFINANCE(""NSE:""&amp;A85,""LOW"")"),321.6)</f>
        <v/>
      </c>
      <c r="F85" s="13">
        <f>IFERROR(__xludf.DUMMYFUNCTION("GOOGLEFINANCE(""NSE:""&amp;A85,""closeyest"")"),331.6)</f>
        <v/>
      </c>
      <c r="G85" s="14">
        <f>(B85-C85)/B85</f>
        <v/>
      </c>
      <c r="H85" s="13">
        <f>IFERROR(__xludf.DUMMYFUNCTION("GOOGLEFINANCE(""NSE:""&amp;A85,""VOLUME"")"),55341)</f>
        <v/>
      </c>
      <c r="I85" s="13">
        <f>IFERROR(__xludf.DUMMYFUNCTION("AVERAGE(index(GOOGLEFINANCE(""NSE:""&amp;$A85, ""volume"", today()-21, today()-1), , 2))"),"#N/A")</f>
        <v/>
      </c>
      <c r="J85" s="14">
        <f>(H85-I85)/I85</f>
        <v/>
      </c>
      <c r="K85" s="13">
        <f>IFERROR(__xludf.DUMMYFUNCTION("AVERAGE(index(GOOGLEFINANCE(""NSE:""&amp;$A85, ""close"", today()-6, today()-1), , 2))"),"#N/A")</f>
        <v/>
      </c>
      <c r="L85" s="13">
        <f>IFERROR(__xludf.DUMMYFUNCTION("AVERAGE(index(GOOGLEFINANCE(""NSE:""&amp;$A85, ""close"", today()-14, today()-1), , 2))"),"#N/A")</f>
        <v/>
      </c>
      <c r="M85" s="13">
        <f>IFERROR(__xludf.DUMMYFUNCTION("AVERAGE(index(GOOGLEFINANCE(""NSE:""&amp;$A85, ""close"", today()-22, today()-1), , 2))"),"#N/A")</f>
        <v/>
      </c>
      <c r="N85" s="13">
        <f>AG85</f>
        <v/>
      </c>
      <c r="O85" s="13">
        <f>AI85</f>
        <v/>
      </c>
      <c r="P85" s="13">
        <f>W85</f>
        <v/>
      </c>
      <c r="Q85" s="13">
        <f>Y85</f>
        <v/>
      </c>
      <c r="R85" s="15" t="n"/>
      <c r="S85" s="15">
        <f>LEFT(W85,2)&amp;LEFT(Y85,2)</f>
        <v/>
      </c>
      <c r="T85" s="15" t="n"/>
      <c r="U85" s="15">
        <f>IF(K85&lt;L85,1,0)</f>
        <v/>
      </c>
      <c r="V85" s="15">
        <f>IF(H85&gt;I85,1,0)</f>
        <v/>
      </c>
      <c r="W85" s="15">
        <f>IF(SUM(U85:V85)=2,"Anticipatory_Sell","No_Action")</f>
        <v/>
      </c>
      <c r="X85" s="15" t="n"/>
      <c r="Y85" s="15">
        <f>IF(SUM(Z85:AA85)=2,"Confirm_Sell","No_Action")</f>
        <v/>
      </c>
      <c r="Z85" s="15">
        <f>IF(H85&gt;I85,1,0)</f>
        <v/>
      </c>
      <c r="AA85" s="15">
        <f>IF(K85&lt;M85,1,0)</f>
        <v/>
      </c>
      <c r="AB85" s="15" t="n"/>
      <c r="AC85" s="15">
        <f>LEFT(AG85,2)&amp;LEFT(AI85,2)</f>
        <v/>
      </c>
      <c r="AD85" s="15" t="n"/>
      <c r="AE85" s="15">
        <f>IF(K85&gt;L85,1,0)</f>
        <v/>
      </c>
      <c r="AF85" s="16">
        <f>IF(H85&gt;I85,1,0)</f>
        <v/>
      </c>
      <c r="AG85" s="16">
        <f>IF(SUM(AE85:AF85)=2,"Anticipatory_Buy","No_Action")</f>
        <v/>
      </c>
      <c r="AH85" s="15" t="n"/>
      <c r="AI85" s="15">
        <f>IF(SUM(AJ85:AK85)=2,"Confirm_Buy","No_Action")</f>
        <v/>
      </c>
      <c r="AJ85" s="15">
        <f>IF(H85&gt;I85,1,0)</f>
        <v/>
      </c>
      <c r="AK85" s="15">
        <f>IF(K85&gt;M85,1,0)</f>
        <v/>
      </c>
    </row>
    <row r="86" ht="14.5" customHeight="1">
      <c r="A86" s="12" t="inlineStr">
        <is>
          <t>DABUR</t>
        </is>
      </c>
      <c r="B86" s="13">
        <f>IFERROR(__xludf.DUMMYFUNCTION("GOOGLEFINANCE(""NSE:""&amp;A86,""PRICE"")"),507)</f>
        <v/>
      </c>
      <c r="C86" s="13">
        <f>IFERROR(__xludf.DUMMYFUNCTION("GOOGLEFINANCE(""NSE:""&amp;A86,""PRICEOPEN"")"),519)</f>
        <v/>
      </c>
      <c r="D86" s="13">
        <f>IFERROR(__xludf.DUMMYFUNCTION("GOOGLEFINANCE(""NSE:""&amp;A86,""HIGH"")"),520.75)</f>
        <v/>
      </c>
      <c r="E86" s="13">
        <f>IFERROR(__xludf.DUMMYFUNCTION("GOOGLEFINANCE(""NSE:""&amp;A86,""LOW"")"),503.2)</f>
        <v/>
      </c>
      <c r="F86" s="13">
        <f>IFERROR(__xludf.DUMMYFUNCTION("GOOGLEFINANCE(""NSE:""&amp;A86,""closeyest"")"),523.8)</f>
        <v/>
      </c>
      <c r="G86" s="14">
        <f>(B86-C86)/B86</f>
        <v/>
      </c>
      <c r="H86" s="13">
        <f>IFERROR(__xludf.DUMMYFUNCTION("GOOGLEFINANCE(""NSE:""&amp;A86,""VOLUME"")"),6086175)</f>
        <v/>
      </c>
      <c r="I86" s="13">
        <f>IFERROR(__xludf.DUMMYFUNCTION("AVERAGE(index(GOOGLEFINANCE(""NSE:""&amp;$A86, ""volume"", today()-21, today()-1), , 2))"),"#N/A")</f>
        <v/>
      </c>
      <c r="J86" s="14">
        <f>(H86-I86)/I86</f>
        <v/>
      </c>
      <c r="K86" s="13">
        <f>IFERROR(__xludf.DUMMYFUNCTION("AVERAGE(index(GOOGLEFINANCE(""NSE:""&amp;$A86, ""close"", today()-6, today()-1), , 2))"),"#N/A")</f>
        <v/>
      </c>
      <c r="L86" s="13">
        <f>IFERROR(__xludf.DUMMYFUNCTION("AVERAGE(index(GOOGLEFINANCE(""NSE:""&amp;$A86, ""close"", today()-14, today()-1), , 2))"),"#N/A")</f>
        <v/>
      </c>
      <c r="M86" s="13">
        <f>IFERROR(__xludf.DUMMYFUNCTION("AVERAGE(index(GOOGLEFINANCE(""NSE:""&amp;$A86, ""close"", today()-22, today()-1), , 2))"),"#N/A")</f>
        <v/>
      </c>
      <c r="N86" s="13">
        <f>AG86</f>
        <v/>
      </c>
      <c r="O86" s="13">
        <f>AI86</f>
        <v/>
      </c>
      <c r="P86" s="13">
        <f>W86</f>
        <v/>
      </c>
      <c r="Q86" s="13">
        <f>Y86</f>
        <v/>
      </c>
      <c r="R86" s="15" t="n"/>
      <c r="S86" s="15">
        <f>LEFT(W86,2)&amp;LEFT(Y86,2)</f>
        <v/>
      </c>
      <c r="T86" s="15" t="n"/>
      <c r="U86" s="15">
        <f>IF(K86&lt;L86,1,0)</f>
        <v/>
      </c>
      <c r="V86" s="15">
        <f>IF(H86&gt;I86,1,0)</f>
        <v/>
      </c>
      <c r="W86" s="15">
        <f>IF(SUM(U86:V86)=2,"Anticipatory_Sell","No_Action")</f>
        <v/>
      </c>
      <c r="X86" s="15" t="n"/>
      <c r="Y86" s="15">
        <f>IF(SUM(Z86:AA86)=2,"Confirm_Sell","No_Action")</f>
        <v/>
      </c>
      <c r="Z86" s="15">
        <f>IF(H86&gt;I86,1,0)</f>
        <v/>
      </c>
      <c r="AA86" s="15">
        <f>IF(K86&lt;M86,1,0)</f>
        <v/>
      </c>
      <c r="AB86" s="15" t="n"/>
      <c r="AC86" s="15">
        <f>LEFT(AG86,2)&amp;LEFT(AI86,2)</f>
        <v/>
      </c>
      <c r="AD86" s="15" t="n"/>
      <c r="AE86" s="15">
        <f>IF(K86&gt;L86,1,0)</f>
        <v/>
      </c>
      <c r="AF86" s="16">
        <f>IF(H86&gt;I86,1,0)</f>
        <v/>
      </c>
      <c r="AG86" s="16">
        <f>IF(SUM(AE86:AF86)=2,"Anticipatory_Buy","No_Action")</f>
        <v/>
      </c>
      <c r="AH86" s="15" t="n"/>
      <c r="AI86" s="15">
        <f>IF(SUM(AJ86:AK86)=2,"Confirm_Buy","No_Action")</f>
        <v/>
      </c>
      <c r="AJ86" s="15">
        <f>IF(H86&gt;I86,1,0)</f>
        <v/>
      </c>
      <c r="AK86" s="15">
        <f>IF(K86&gt;M86,1,0)</f>
        <v/>
      </c>
    </row>
    <row r="87" ht="14.5" customHeight="1">
      <c r="A87" s="12" t="inlineStr">
        <is>
          <t>DEEPAKNTR</t>
        </is>
      </c>
      <c r="B87" s="13">
        <f>IFERROR(__xludf.DUMMYFUNCTION("GOOGLEFINANCE(""NSE:""&amp;A87,""PRICE"")"),2682.5)</f>
        <v/>
      </c>
      <c r="C87" s="13">
        <f>IFERROR(__xludf.DUMMYFUNCTION("GOOGLEFINANCE(""NSE:""&amp;A87,""PRICEOPEN"")"),2714)</f>
        <v/>
      </c>
      <c r="D87" s="13">
        <f>IFERROR(__xludf.DUMMYFUNCTION("GOOGLEFINANCE(""NSE:""&amp;A87,""HIGH"")"),2715.45)</f>
        <v/>
      </c>
      <c r="E87" s="13">
        <f>IFERROR(__xludf.DUMMYFUNCTION("GOOGLEFINANCE(""NSE:""&amp;A87,""LOW"")"),2661.35)</f>
        <v/>
      </c>
      <c r="F87" s="13">
        <f>IFERROR(__xludf.DUMMYFUNCTION("GOOGLEFINANCE(""NSE:""&amp;A87,""closeyest"")"),2701.8)</f>
        <v/>
      </c>
      <c r="G87" s="14">
        <f>(B87-C87)/B87</f>
        <v/>
      </c>
      <c r="H87" s="13">
        <f>IFERROR(__xludf.DUMMYFUNCTION("GOOGLEFINANCE(""NSE:""&amp;A87,""VOLUME"")"),111268)</f>
        <v/>
      </c>
      <c r="I87" s="13">
        <f>IFERROR(__xludf.DUMMYFUNCTION("AVERAGE(index(GOOGLEFINANCE(""NSE:""&amp;$A87, ""volume"", today()-21, today()-1), , 2))"),"#N/A")</f>
        <v/>
      </c>
      <c r="J87" s="14">
        <f>(H87-I87)/I87</f>
        <v/>
      </c>
      <c r="K87" s="13">
        <f>IFERROR(__xludf.DUMMYFUNCTION("AVERAGE(index(GOOGLEFINANCE(""NSE:""&amp;$A87, ""close"", today()-6, today()-1), , 2))"),"#N/A")</f>
        <v/>
      </c>
      <c r="L87" s="13">
        <f>IFERROR(__xludf.DUMMYFUNCTION("AVERAGE(index(GOOGLEFINANCE(""NSE:""&amp;$A87, ""close"", today()-14, today()-1), , 2))"),"#N/A")</f>
        <v/>
      </c>
      <c r="M87" s="13">
        <f>IFERROR(__xludf.DUMMYFUNCTION("AVERAGE(index(GOOGLEFINANCE(""NSE:""&amp;$A87, ""close"", today()-22, today()-1), , 2))"),"#N/A")</f>
        <v/>
      </c>
      <c r="N87" s="13">
        <f>AG87</f>
        <v/>
      </c>
      <c r="O87" s="13">
        <f>AI87</f>
        <v/>
      </c>
      <c r="P87" s="13">
        <f>W87</f>
        <v/>
      </c>
      <c r="Q87" s="13">
        <f>Y87</f>
        <v/>
      </c>
      <c r="R87" s="15" t="n"/>
      <c r="S87" s="15">
        <f>LEFT(W87,2)&amp;LEFT(Y87,2)</f>
        <v/>
      </c>
      <c r="T87" s="15" t="n"/>
      <c r="U87" s="15">
        <f>IF(K87&lt;L87,1,0)</f>
        <v/>
      </c>
      <c r="V87" s="15">
        <f>IF(H87&gt;I87,1,0)</f>
        <v/>
      </c>
      <c r="W87" s="15">
        <f>IF(SUM(U87:V87)=2,"Anticipatory_Sell","No_Action")</f>
        <v/>
      </c>
      <c r="X87" s="15" t="n"/>
      <c r="Y87" s="15">
        <f>IF(SUM(Z87:AA87)=2,"Confirm_Sell","No_Action")</f>
        <v/>
      </c>
      <c r="Z87" s="15">
        <f>IF(H87&gt;I87,1,0)</f>
        <v/>
      </c>
      <c r="AA87" s="15">
        <f>IF(K87&lt;M87,1,0)</f>
        <v/>
      </c>
      <c r="AB87" s="15" t="n"/>
      <c r="AC87" s="15">
        <f>LEFT(AG87,2)&amp;LEFT(AI87,2)</f>
        <v/>
      </c>
      <c r="AD87" s="15" t="n"/>
      <c r="AE87" s="15">
        <f>IF(K87&gt;L87,1,0)</f>
        <v/>
      </c>
      <c r="AF87" s="16">
        <f>IF(H87&gt;I87,1,0)</f>
        <v/>
      </c>
      <c r="AG87" s="16">
        <f>IF(SUM(AE87:AF87)=2,"Anticipatory_Buy","No_Action")</f>
        <v/>
      </c>
      <c r="AH87" s="15" t="n"/>
      <c r="AI87" s="15">
        <f>IF(SUM(AJ87:AK87)=2,"Confirm_Buy","No_Action")</f>
        <v/>
      </c>
      <c r="AJ87" s="15">
        <f>IF(H87&gt;I87,1,0)</f>
        <v/>
      </c>
      <c r="AK87" s="15">
        <f>IF(K87&gt;M87,1,0)</f>
        <v/>
      </c>
    </row>
    <row r="88" ht="14.5" customHeight="1">
      <c r="A88" s="12" t="inlineStr">
        <is>
          <t>DELTACORP</t>
        </is>
      </c>
      <c r="B88" s="13">
        <f>IFERROR(__xludf.DUMMYFUNCTION("GOOGLEFINANCE(""NSE:""&amp;A88,""PRICE"")"),123.9)</f>
        <v/>
      </c>
      <c r="C88" s="13">
        <f>IFERROR(__xludf.DUMMYFUNCTION("GOOGLEFINANCE(""NSE:""&amp;A88,""PRICEOPEN"")"),125)</f>
        <v/>
      </c>
      <c r="D88" s="13">
        <f>IFERROR(__xludf.DUMMYFUNCTION("GOOGLEFINANCE(""NSE:""&amp;A88,""HIGH"")"),125.42)</f>
        <v/>
      </c>
      <c r="E88" s="13">
        <f>IFERROR(__xludf.DUMMYFUNCTION("GOOGLEFINANCE(""NSE:""&amp;A88,""LOW"")"),123.4)</f>
        <v/>
      </c>
      <c r="F88" s="13">
        <f>IFERROR(__xludf.DUMMYFUNCTION("GOOGLEFINANCE(""NSE:""&amp;A88,""closeyest"")"),122.65)</f>
        <v/>
      </c>
      <c r="G88" s="14">
        <f>(B88-C88)/B88</f>
        <v/>
      </c>
      <c r="H88" s="13">
        <f>IFERROR(__xludf.DUMMYFUNCTION("GOOGLEFINANCE(""NSE:""&amp;A88,""VOLUME"")"),2877926)</f>
        <v/>
      </c>
      <c r="I88" s="13">
        <f>IFERROR(__xludf.DUMMYFUNCTION("AVERAGE(index(GOOGLEFINANCE(""NSE:""&amp;$A88, ""volume"", today()-21, today()-1), , 2))"),"#N/A")</f>
        <v/>
      </c>
      <c r="J88" s="14">
        <f>(H88-I88)/I88</f>
        <v/>
      </c>
      <c r="K88" s="13">
        <f>IFERROR(__xludf.DUMMYFUNCTION("AVERAGE(index(GOOGLEFINANCE(""NSE:""&amp;$A88, ""close"", today()-6, today()-1), , 2))"),"#N/A")</f>
        <v/>
      </c>
      <c r="L88" s="13">
        <f>IFERROR(__xludf.DUMMYFUNCTION("AVERAGE(index(GOOGLEFINANCE(""NSE:""&amp;$A88, ""close"", today()-14, today()-1), , 2))"),"#N/A")</f>
        <v/>
      </c>
      <c r="M88" s="13">
        <f>IFERROR(__xludf.DUMMYFUNCTION("AVERAGE(index(GOOGLEFINANCE(""NSE:""&amp;$A88, ""close"", today()-22, today()-1), , 2))"),"#N/A")</f>
        <v/>
      </c>
      <c r="N88" s="13">
        <f>AG88</f>
        <v/>
      </c>
      <c r="O88" s="13">
        <f>AI88</f>
        <v/>
      </c>
      <c r="P88" s="13">
        <f>W88</f>
        <v/>
      </c>
      <c r="Q88" s="13">
        <f>Y88</f>
        <v/>
      </c>
      <c r="R88" s="15" t="n"/>
      <c r="S88" s="15">
        <f>LEFT(W88,2)&amp;LEFT(Y88,2)</f>
        <v/>
      </c>
      <c r="T88" s="15" t="n"/>
      <c r="U88" s="15">
        <f>IF(K88&lt;L88,1,0)</f>
        <v/>
      </c>
      <c r="V88" s="15">
        <f>IF(H88&gt;I88,1,0)</f>
        <v/>
      </c>
      <c r="W88" s="15">
        <f>IF(SUM(U88:V88)=2,"Anticipatory_Sell","No_Action")</f>
        <v/>
      </c>
      <c r="X88" s="15" t="n"/>
      <c r="Y88" s="15">
        <f>IF(SUM(Z88:AA88)=2,"Confirm_Sell","No_Action")</f>
        <v/>
      </c>
      <c r="Z88" s="15">
        <f>IF(H88&gt;I88,1,0)</f>
        <v/>
      </c>
      <c r="AA88" s="15">
        <f>IF(K88&lt;M88,1,0)</f>
        <v/>
      </c>
      <c r="AB88" s="15" t="n"/>
      <c r="AC88" s="15">
        <f>LEFT(AG88,2)&amp;LEFT(AI88,2)</f>
        <v/>
      </c>
      <c r="AD88" s="15" t="n"/>
      <c r="AE88" s="15">
        <f>IF(K88&gt;L88,1,0)</f>
        <v/>
      </c>
      <c r="AF88" s="16">
        <f>IF(H88&gt;I88,1,0)</f>
        <v/>
      </c>
      <c r="AG88" s="16">
        <f>IF(SUM(AE88:AF88)=2,"Anticipatory_Buy","No_Action")</f>
        <v/>
      </c>
      <c r="AH88" s="15" t="n"/>
      <c r="AI88" s="15">
        <f>IF(SUM(AJ88:AK88)=2,"Confirm_Buy","No_Action")</f>
        <v/>
      </c>
      <c r="AJ88" s="15">
        <f>IF(H88&gt;I88,1,0)</f>
        <v/>
      </c>
      <c r="AK88" s="15">
        <f>IF(K88&gt;M88,1,0)</f>
        <v/>
      </c>
    </row>
    <row r="89" ht="14.5" customHeight="1">
      <c r="A89" s="12" t="inlineStr">
        <is>
          <t>DHANUKA</t>
        </is>
      </c>
      <c r="B89" s="13">
        <f>IFERROR(__xludf.DUMMYFUNCTION("GOOGLEFINANCE(""NSE:""&amp;A89,""PRICE"")"),1575)</f>
        <v/>
      </c>
      <c r="C89" s="13">
        <f>IFERROR(__xludf.DUMMYFUNCTION("GOOGLEFINANCE(""NSE:""&amp;A89,""PRICEOPEN"")"),1600)</f>
        <v/>
      </c>
      <c r="D89" s="13">
        <f>IFERROR(__xludf.DUMMYFUNCTION("GOOGLEFINANCE(""NSE:""&amp;A89,""HIGH"")"),1620)</f>
        <v/>
      </c>
      <c r="E89" s="13">
        <f>IFERROR(__xludf.DUMMYFUNCTION("GOOGLEFINANCE(""NSE:""&amp;A89,""LOW"")"),1570.05)</f>
        <v/>
      </c>
      <c r="F89" s="13">
        <f>IFERROR(__xludf.DUMMYFUNCTION("GOOGLEFINANCE(""NSE:""&amp;A89,""closeyest"")"),1599.7)</f>
        <v/>
      </c>
      <c r="G89" s="14">
        <f>(B89-C89)/B89</f>
        <v/>
      </c>
      <c r="H89" s="13">
        <f>IFERROR(__xludf.DUMMYFUNCTION("GOOGLEFINANCE(""NSE:""&amp;A89,""VOLUME"")"),29396)</f>
        <v/>
      </c>
      <c r="I89" s="13">
        <f>IFERROR(__xludf.DUMMYFUNCTION("AVERAGE(index(GOOGLEFINANCE(""NSE:""&amp;$A89, ""volume"", today()-21, today()-1), , 2))"),"#N/A")</f>
        <v/>
      </c>
      <c r="J89" s="14">
        <f>(H89-I89)/I89</f>
        <v/>
      </c>
      <c r="K89" s="13">
        <f>IFERROR(__xludf.DUMMYFUNCTION("AVERAGE(index(GOOGLEFINANCE(""NSE:""&amp;$A89, ""close"", today()-6, today()-1), , 2))"),"#N/A")</f>
        <v/>
      </c>
      <c r="L89" s="13">
        <f>IFERROR(__xludf.DUMMYFUNCTION("AVERAGE(index(GOOGLEFINANCE(""NSE:""&amp;$A89, ""close"", today()-14, today()-1), , 2))"),"#N/A")</f>
        <v/>
      </c>
      <c r="M89" s="13">
        <f>IFERROR(__xludf.DUMMYFUNCTION("AVERAGE(index(GOOGLEFINANCE(""NSE:""&amp;$A89, ""close"", today()-22, today()-1), , 2))"),"#N/A")</f>
        <v/>
      </c>
      <c r="N89" s="13">
        <f>AG89</f>
        <v/>
      </c>
      <c r="O89" s="13">
        <f>AI89</f>
        <v/>
      </c>
      <c r="P89" s="13">
        <f>W89</f>
        <v/>
      </c>
      <c r="Q89" s="13">
        <f>Y89</f>
        <v/>
      </c>
      <c r="R89" s="15" t="n"/>
      <c r="S89" s="15">
        <f>LEFT(W89,2)&amp;LEFT(Y89,2)</f>
        <v/>
      </c>
      <c r="T89" s="15" t="n"/>
      <c r="U89" s="15">
        <f>IF(K89&lt;L89,1,0)</f>
        <v/>
      </c>
      <c r="V89" s="15">
        <f>IF(H89&gt;I89,1,0)</f>
        <v/>
      </c>
      <c r="W89" s="15">
        <f>IF(SUM(U89:V89)=2,"Anticipatory_Sell","No_Action")</f>
        <v/>
      </c>
      <c r="X89" s="15" t="n"/>
      <c r="Y89" s="15">
        <f>IF(SUM(Z89:AA89)=2,"Confirm_Sell","No_Action")</f>
        <v/>
      </c>
      <c r="Z89" s="15">
        <f>IF(H89&gt;I89,1,0)</f>
        <v/>
      </c>
      <c r="AA89" s="15">
        <f>IF(K89&lt;M89,1,0)</f>
        <v/>
      </c>
      <c r="AB89" s="15" t="n"/>
      <c r="AC89" s="15">
        <f>LEFT(AG89,2)&amp;LEFT(AI89,2)</f>
        <v/>
      </c>
      <c r="AD89" s="15" t="n"/>
      <c r="AE89" s="15">
        <f>IF(K89&gt;L89,1,0)</f>
        <v/>
      </c>
      <c r="AF89" s="16">
        <f>IF(H89&gt;I89,1,0)</f>
        <v/>
      </c>
      <c r="AG89" s="16">
        <f>IF(SUM(AE89:AF89)=2,"Anticipatory_Buy","No_Action")</f>
        <v/>
      </c>
      <c r="AH89" s="15" t="n"/>
      <c r="AI89" s="15">
        <f>IF(SUM(AJ89:AK89)=2,"Confirm_Buy","No_Action")</f>
        <v/>
      </c>
      <c r="AJ89" s="15">
        <f>IF(H89&gt;I89,1,0)</f>
        <v/>
      </c>
      <c r="AK89" s="15">
        <f>IF(K89&gt;M89,1,0)</f>
        <v/>
      </c>
    </row>
    <row r="90" ht="14.5" customHeight="1">
      <c r="A90" s="12" t="inlineStr">
        <is>
          <t>DIVISLAB</t>
        </is>
      </c>
      <c r="B90" s="13">
        <f>IFERROR(__xludf.DUMMYFUNCTION("GOOGLEFINANCE(""NSE:""&amp;A90,""PRICE"")"),5951.85)</f>
        <v/>
      </c>
      <c r="C90" s="13">
        <f>IFERROR(__xludf.DUMMYFUNCTION("GOOGLEFINANCE(""NSE:""&amp;A90,""PRICEOPEN"")"),5999.95)</f>
        <v/>
      </c>
      <c r="D90" s="13">
        <f>IFERROR(__xludf.DUMMYFUNCTION("GOOGLEFINANCE(""NSE:""&amp;A90,""HIGH"")"),6041.55)</f>
        <v/>
      </c>
      <c r="E90" s="13">
        <f>IFERROR(__xludf.DUMMYFUNCTION("GOOGLEFINANCE(""NSE:""&amp;A90,""LOW"")"),5937.65)</f>
        <v/>
      </c>
      <c r="F90" s="13">
        <f>IFERROR(__xludf.DUMMYFUNCTION("GOOGLEFINANCE(""NSE:""&amp;A90,""closeyest"")"),6130.75)</f>
        <v/>
      </c>
      <c r="G90" s="14">
        <f>(B90-C90)/B90</f>
        <v/>
      </c>
      <c r="H90" s="13">
        <f>IFERROR(__xludf.DUMMYFUNCTION("GOOGLEFINANCE(""NSE:""&amp;A90,""VOLUME"")"),1123022)</f>
        <v/>
      </c>
      <c r="I90" s="13">
        <f>IFERROR(__xludf.DUMMYFUNCTION("AVERAGE(index(GOOGLEFINANCE(""NSE:""&amp;$A90, ""volume"", today()-21, today()-1), , 2))"),"#N/A")</f>
        <v/>
      </c>
      <c r="J90" s="14">
        <f>(H90-I90)/I90</f>
        <v/>
      </c>
      <c r="K90" s="13">
        <f>IFERROR(__xludf.DUMMYFUNCTION("AVERAGE(index(GOOGLEFINANCE(""NSE:""&amp;$A90, ""close"", today()-6, today()-1), , 2))"),"#N/A")</f>
        <v/>
      </c>
      <c r="L90" s="13">
        <f>IFERROR(__xludf.DUMMYFUNCTION("AVERAGE(index(GOOGLEFINANCE(""NSE:""&amp;$A90, ""close"", today()-14, today()-1), , 2))"),"#N/A")</f>
        <v/>
      </c>
      <c r="M90" s="13">
        <f>IFERROR(__xludf.DUMMYFUNCTION("AVERAGE(index(GOOGLEFINANCE(""NSE:""&amp;$A90, ""close"", today()-22, today()-1), , 2))"),"#N/A")</f>
        <v/>
      </c>
      <c r="N90" s="13">
        <f>AG90</f>
        <v/>
      </c>
      <c r="O90" s="13">
        <f>AI90</f>
        <v/>
      </c>
      <c r="P90" s="13">
        <f>W90</f>
        <v/>
      </c>
      <c r="Q90" s="13">
        <f>Y90</f>
        <v/>
      </c>
      <c r="R90" s="15" t="n"/>
      <c r="S90" s="15">
        <f>LEFT(W90,2)&amp;LEFT(Y90,2)</f>
        <v/>
      </c>
      <c r="T90" s="15" t="n"/>
      <c r="U90" s="15">
        <f>IF(K90&lt;L90,1,0)</f>
        <v/>
      </c>
      <c r="V90" s="15">
        <f>IF(H90&gt;I90,1,0)</f>
        <v/>
      </c>
      <c r="W90" s="15">
        <f>IF(SUM(U90:V90)=2,"Anticipatory_Sell","No_Action")</f>
        <v/>
      </c>
      <c r="X90" s="15" t="n"/>
      <c r="Y90" s="15">
        <f>IF(SUM(Z90:AA90)=2,"Confirm_Sell","No_Action")</f>
        <v/>
      </c>
      <c r="Z90" s="15">
        <f>IF(H90&gt;I90,1,0)</f>
        <v/>
      </c>
      <c r="AA90" s="15">
        <f>IF(K90&lt;M90,1,0)</f>
        <v/>
      </c>
      <c r="AB90" s="15" t="n"/>
      <c r="AC90" s="15">
        <f>LEFT(AG90,2)&amp;LEFT(AI90,2)</f>
        <v/>
      </c>
      <c r="AD90" s="15" t="n"/>
      <c r="AE90" s="15">
        <f>IF(K90&gt;L90,1,0)</f>
        <v/>
      </c>
      <c r="AF90" s="16">
        <f>IF(H90&gt;I90,1,0)</f>
        <v/>
      </c>
      <c r="AG90" s="16">
        <f>IF(SUM(AE90:AF90)=2,"Anticipatory_Buy","No_Action")</f>
        <v/>
      </c>
      <c r="AH90" s="15" t="n"/>
      <c r="AI90" s="15">
        <f>IF(SUM(AJ90:AK90)=2,"Confirm_Buy","No_Action")</f>
        <v/>
      </c>
      <c r="AJ90" s="15">
        <f>IF(H90&gt;I90,1,0)</f>
        <v/>
      </c>
      <c r="AK90" s="15">
        <f>IF(K90&gt;M90,1,0)</f>
        <v/>
      </c>
    </row>
    <row r="91" ht="14.5" customHeight="1">
      <c r="A91" s="12" t="inlineStr">
        <is>
          <t>DIXON</t>
        </is>
      </c>
      <c r="B91" s="13">
        <f>IFERROR(__xludf.DUMMYFUNCTION("GOOGLEFINANCE(""NSE:""&amp;A91,""PRICE"")"),17369)</f>
        <v/>
      </c>
      <c r="C91" s="13">
        <f>IFERROR(__xludf.DUMMYFUNCTION("GOOGLEFINANCE(""NSE:""&amp;A91,""PRICEOPEN"")"),17421.05)</f>
        <v/>
      </c>
      <c r="D91" s="13">
        <f>IFERROR(__xludf.DUMMYFUNCTION("GOOGLEFINANCE(""NSE:""&amp;A91,""HIGH"")"),17685)</f>
        <v/>
      </c>
      <c r="E91" s="13">
        <f>IFERROR(__xludf.DUMMYFUNCTION("GOOGLEFINANCE(""NSE:""&amp;A91,""LOW"")"),17290)</f>
        <v/>
      </c>
      <c r="F91" s="13">
        <f>IFERROR(__xludf.DUMMYFUNCTION("GOOGLEFINANCE(""NSE:""&amp;A91,""closeyest"")"),17421.05)</f>
        <v/>
      </c>
      <c r="G91" s="14">
        <f>(B91-C91)/B91</f>
        <v/>
      </c>
      <c r="H91" s="13">
        <f>IFERROR(__xludf.DUMMYFUNCTION("GOOGLEFINANCE(""NSE:""&amp;A91,""VOLUME"")"),367646)</f>
        <v/>
      </c>
      <c r="I91" s="13">
        <f>IFERROR(__xludf.DUMMYFUNCTION("AVERAGE(index(GOOGLEFINANCE(""NSE:""&amp;$A91, ""volume"", today()-21, today()-1), , 2))"),"#N/A")</f>
        <v/>
      </c>
      <c r="J91" s="14">
        <f>(H91-I91)/I91</f>
        <v/>
      </c>
      <c r="K91" s="13">
        <f>IFERROR(__xludf.DUMMYFUNCTION("AVERAGE(index(GOOGLEFINANCE(""NSE:""&amp;$A91, ""close"", today()-6, today()-1), , 2))"),"#N/A")</f>
        <v/>
      </c>
      <c r="L91" s="13">
        <f>IFERROR(__xludf.DUMMYFUNCTION("AVERAGE(index(GOOGLEFINANCE(""NSE:""&amp;$A91, ""close"", today()-14, today()-1), , 2))"),"#N/A")</f>
        <v/>
      </c>
      <c r="M91" s="13">
        <f>IFERROR(__xludf.DUMMYFUNCTION("AVERAGE(index(GOOGLEFINANCE(""NSE:""&amp;$A91, ""close"", today()-22, today()-1), , 2))"),"#N/A")</f>
        <v/>
      </c>
      <c r="N91" s="13">
        <f>AG91</f>
        <v/>
      </c>
      <c r="O91" s="13">
        <f>AI91</f>
        <v/>
      </c>
      <c r="P91" s="13">
        <f>W91</f>
        <v/>
      </c>
      <c r="Q91" s="13">
        <f>Y91</f>
        <v/>
      </c>
      <c r="R91" s="15" t="n"/>
      <c r="S91" s="15">
        <f>LEFT(W91,2)&amp;LEFT(Y91,2)</f>
        <v/>
      </c>
      <c r="T91" s="15" t="n"/>
      <c r="U91" s="15">
        <f>IF(K91&lt;L91,1,0)</f>
        <v/>
      </c>
      <c r="V91" s="15">
        <f>IF(H91&gt;I91,1,0)</f>
        <v/>
      </c>
      <c r="W91" s="15">
        <f>IF(SUM(U91:V91)=2,"Anticipatory_Sell","No_Action")</f>
        <v/>
      </c>
      <c r="X91" s="15" t="n"/>
      <c r="Y91" s="15">
        <f>IF(SUM(Z91:AA91)=2,"Confirm_Sell","No_Action")</f>
        <v/>
      </c>
      <c r="Z91" s="15">
        <f>IF(H91&gt;I91,1,0)</f>
        <v/>
      </c>
      <c r="AA91" s="15">
        <f>IF(K91&lt;M91,1,0)</f>
        <v/>
      </c>
      <c r="AB91" s="15" t="n"/>
      <c r="AC91" s="15">
        <f>LEFT(AG91,2)&amp;LEFT(AI91,2)</f>
        <v/>
      </c>
      <c r="AD91" s="15" t="n"/>
      <c r="AE91" s="15">
        <f>IF(K91&gt;L91,1,0)</f>
        <v/>
      </c>
      <c r="AF91" s="16">
        <f>IF(H91&gt;I91,1,0)</f>
        <v/>
      </c>
      <c r="AG91" s="16">
        <f>IF(SUM(AE91:AF91)=2,"Anticipatory_Buy","No_Action")</f>
        <v/>
      </c>
      <c r="AH91" s="15" t="n"/>
      <c r="AI91" s="15">
        <f>IF(SUM(AJ91:AK91)=2,"Confirm_Buy","No_Action")</f>
        <v/>
      </c>
      <c r="AJ91" s="15">
        <f>IF(H91&gt;I91,1,0)</f>
        <v/>
      </c>
      <c r="AK91" s="15">
        <f>IF(K91&gt;M91,1,0)</f>
        <v/>
      </c>
    </row>
    <row r="92" ht="14.5" customHeight="1">
      <c r="A92" s="12" t="inlineStr">
        <is>
          <t>LALPATHLAB</t>
        </is>
      </c>
      <c r="B92" s="13">
        <f>IFERROR(__xludf.DUMMYFUNCTION("GOOGLEFINANCE(""NSE:""&amp;A92,""PRICE"")"),3146.9)</f>
        <v/>
      </c>
      <c r="C92" s="13">
        <f>IFERROR(__xludf.DUMMYFUNCTION("GOOGLEFINANCE(""NSE:""&amp;A92,""PRICEOPEN"")"),3073.85)</f>
        <v/>
      </c>
      <c r="D92" s="13">
        <f>IFERROR(__xludf.DUMMYFUNCTION("GOOGLEFINANCE(""NSE:""&amp;A92,""HIGH"")"),3146.9)</f>
        <v/>
      </c>
      <c r="E92" s="13">
        <f>IFERROR(__xludf.DUMMYFUNCTION("GOOGLEFINANCE(""NSE:""&amp;A92,""LOW"")"),3026.35)</f>
        <v/>
      </c>
      <c r="F92" s="13">
        <f>IFERROR(__xludf.DUMMYFUNCTION("GOOGLEFINANCE(""NSE:""&amp;A92,""closeyest"")"),3068.05)</f>
        <v/>
      </c>
      <c r="G92" s="14">
        <f>(B92-C92)/B92</f>
        <v/>
      </c>
      <c r="H92" s="13">
        <f>IFERROR(__xludf.DUMMYFUNCTION("GOOGLEFINANCE(""NSE:""&amp;A92,""VOLUME"")"),181602)</f>
        <v/>
      </c>
      <c r="I92" s="13">
        <f>IFERROR(__xludf.DUMMYFUNCTION("AVERAGE(index(GOOGLEFINANCE(""NSE:""&amp;$A92, ""volume"", today()-21, today()-1), , 2))"),"#N/A")</f>
        <v/>
      </c>
      <c r="J92" s="14">
        <f>(H92-I92)/I92</f>
        <v/>
      </c>
      <c r="K92" s="13">
        <f>IFERROR(__xludf.DUMMYFUNCTION("AVERAGE(index(GOOGLEFINANCE(""NSE:""&amp;$A92, ""close"", today()-6, today()-1), , 2))"),"#N/A")</f>
        <v/>
      </c>
      <c r="L92" s="13">
        <f>IFERROR(__xludf.DUMMYFUNCTION("AVERAGE(index(GOOGLEFINANCE(""NSE:""&amp;$A92, ""close"", today()-14, today()-1), , 2))"),"#N/A")</f>
        <v/>
      </c>
      <c r="M92" s="13">
        <f>IFERROR(__xludf.DUMMYFUNCTION("AVERAGE(index(GOOGLEFINANCE(""NSE:""&amp;$A92, ""close"", today()-22, today()-1), , 2))"),"#N/A")</f>
        <v/>
      </c>
      <c r="N92" s="13">
        <f>AG92</f>
        <v/>
      </c>
      <c r="O92" s="13">
        <f>AI92</f>
        <v/>
      </c>
      <c r="P92" s="13">
        <f>W92</f>
        <v/>
      </c>
      <c r="Q92" s="13">
        <f>Y92</f>
        <v/>
      </c>
      <c r="R92" s="15" t="n"/>
      <c r="S92" s="15">
        <f>LEFT(W92,2)&amp;LEFT(Y92,2)</f>
        <v/>
      </c>
      <c r="T92" s="15" t="n"/>
      <c r="U92" s="15">
        <f>IF(K92&lt;L92,1,0)</f>
        <v/>
      </c>
      <c r="V92" s="15">
        <f>IF(H92&gt;I92,1,0)</f>
        <v/>
      </c>
      <c r="W92" s="15">
        <f>IF(SUM(U92:V92)=2,"Anticipatory_Sell","No_Action")</f>
        <v/>
      </c>
      <c r="X92" s="15" t="n"/>
      <c r="Y92" s="15">
        <f>IF(SUM(Z92:AA92)=2,"Confirm_Sell","No_Action")</f>
        <v/>
      </c>
      <c r="Z92" s="15">
        <f>IF(H92&gt;I92,1,0)</f>
        <v/>
      </c>
      <c r="AA92" s="15">
        <f>IF(K92&lt;M92,1,0)</f>
        <v/>
      </c>
      <c r="AB92" s="15" t="n"/>
      <c r="AC92" s="15">
        <f>LEFT(AG92,2)&amp;LEFT(AI92,2)</f>
        <v/>
      </c>
      <c r="AD92" s="15" t="n"/>
      <c r="AE92" s="15">
        <f>IF(K92&gt;L92,1,0)</f>
        <v/>
      </c>
      <c r="AF92" s="16">
        <f>IF(H92&gt;I92,1,0)</f>
        <v/>
      </c>
      <c r="AG92" s="16">
        <f>IF(SUM(AE92:AF92)=2,"Anticipatory_Buy","No_Action")</f>
        <v/>
      </c>
      <c r="AH92" s="15" t="n"/>
      <c r="AI92" s="15">
        <f>IF(SUM(AJ92:AK92)=2,"Confirm_Buy","No_Action")</f>
        <v/>
      </c>
      <c r="AJ92" s="15">
        <f>IF(H92&gt;I92,1,0)</f>
        <v/>
      </c>
      <c r="AK92" s="15">
        <f>IF(K92&gt;M92,1,0)</f>
        <v/>
      </c>
    </row>
    <row r="93" ht="14.5" customHeight="1">
      <c r="A93" s="12" t="inlineStr">
        <is>
          <t>DRREDDY</t>
        </is>
      </c>
      <c r="B93" s="13">
        <f>IFERROR(__xludf.DUMMYFUNCTION("GOOGLEFINANCE(""NSE:""&amp;A93,""PRICE"")"),1255.5)</f>
        <v/>
      </c>
      <c r="C93" s="13">
        <f>IFERROR(__xludf.DUMMYFUNCTION("GOOGLEFINANCE(""NSE:""&amp;A93,""PRICEOPEN"")"),1254.65)</f>
        <v/>
      </c>
      <c r="D93" s="13">
        <f>IFERROR(__xludf.DUMMYFUNCTION("GOOGLEFINANCE(""NSE:""&amp;A93,""HIGH"")"),1261.8)</f>
        <v/>
      </c>
      <c r="E93" s="13">
        <f>IFERROR(__xludf.DUMMYFUNCTION("GOOGLEFINANCE(""NSE:""&amp;A93,""LOW"")"),1243.25)</f>
        <v/>
      </c>
      <c r="F93" s="13">
        <f>IFERROR(__xludf.DUMMYFUNCTION("GOOGLEFINANCE(""NSE:""&amp;A93,""closeyest"")"),1253.7)</f>
        <v/>
      </c>
      <c r="G93" s="14">
        <f>(B93-C93)/B93</f>
        <v/>
      </c>
      <c r="H93" s="13">
        <f>IFERROR(__xludf.DUMMYFUNCTION("GOOGLEFINANCE(""NSE:""&amp;A93,""VOLUME"")"),1269332)</f>
        <v/>
      </c>
      <c r="I93" s="13">
        <f>IFERROR(__xludf.DUMMYFUNCTION("AVERAGE(index(GOOGLEFINANCE(""NSE:""&amp;$A93, ""volume"", today()-21, today()-1), , 2))"),"#N/A")</f>
        <v/>
      </c>
      <c r="J93" s="14">
        <f>(H93-I93)/I93</f>
        <v/>
      </c>
      <c r="K93" s="13">
        <f>IFERROR(__xludf.DUMMYFUNCTION("AVERAGE(index(GOOGLEFINANCE(""NSE:""&amp;$A93, ""close"", today()-6, today()-1), , 2))"),"#N/A")</f>
        <v/>
      </c>
      <c r="L93" s="13">
        <f>IFERROR(__xludf.DUMMYFUNCTION("AVERAGE(index(GOOGLEFINANCE(""NSE:""&amp;$A93, ""close"", today()-14, today()-1), , 2))"),"#N/A")</f>
        <v/>
      </c>
      <c r="M93" s="13">
        <f>IFERROR(__xludf.DUMMYFUNCTION("AVERAGE(index(GOOGLEFINANCE(""NSE:""&amp;$A93, ""close"", today()-22, today()-1), , 2))"),"#N/A")</f>
        <v/>
      </c>
      <c r="N93" s="13">
        <f>AG93</f>
        <v/>
      </c>
      <c r="O93" s="13">
        <f>AI93</f>
        <v/>
      </c>
      <c r="P93" s="13">
        <f>W93</f>
        <v/>
      </c>
      <c r="Q93" s="13">
        <f>Y93</f>
        <v/>
      </c>
      <c r="R93" s="15" t="n"/>
      <c r="S93" s="15">
        <f>LEFT(W93,2)&amp;LEFT(Y93,2)</f>
        <v/>
      </c>
      <c r="T93" s="15" t="n"/>
      <c r="U93" s="15">
        <f>IF(K93&lt;L93,1,0)</f>
        <v/>
      </c>
      <c r="V93" s="15">
        <f>IF(H93&gt;I93,1,0)</f>
        <v/>
      </c>
      <c r="W93" s="15">
        <f>IF(SUM(U93:V93)=2,"Anticipatory_Sell","No_Action")</f>
        <v/>
      </c>
      <c r="X93" s="15" t="n"/>
      <c r="Y93" s="15">
        <f>IF(SUM(Z93:AA93)=2,"Confirm_Sell","No_Action")</f>
        <v/>
      </c>
      <c r="Z93" s="15">
        <f>IF(H93&gt;I93,1,0)</f>
        <v/>
      </c>
      <c r="AA93" s="15">
        <f>IF(K93&lt;M93,1,0)</f>
        <v/>
      </c>
      <c r="AB93" s="15" t="n"/>
      <c r="AC93" s="15">
        <f>LEFT(AG93,2)&amp;LEFT(AI93,2)</f>
        <v/>
      </c>
      <c r="AD93" s="15" t="n"/>
      <c r="AE93" s="15">
        <f>IF(K93&gt;L93,1,0)</f>
        <v/>
      </c>
      <c r="AF93" s="16">
        <f>IF(H93&gt;I93,1,0)</f>
        <v/>
      </c>
      <c r="AG93" s="16">
        <f>IF(SUM(AE93:AF93)=2,"Anticipatory_Buy","No_Action")</f>
        <v/>
      </c>
      <c r="AH93" s="15" t="n"/>
      <c r="AI93" s="15">
        <f>IF(SUM(AJ93:AK93)=2,"Confirm_Buy","No_Action")</f>
        <v/>
      </c>
      <c r="AJ93" s="15">
        <f>IF(H93&gt;I93,1,0)</f>
        <v/>
      </c>
      <c r="AK93" s="15">
        <f>IF(K93&gt;M93,1,0)</f>
        <v/>
      </c>
    </row>
    <row r="94" ht="14.5" customHeight="1">
      <c r="A94" s="12" t="inlineStr">
        <is>
          <t>DREAMFOLKS</t>
        </is>
      </c>
      <c r="B94" s="13">
        <f>IFERROR(__xludf.DUMMYFUNCTION("GOOGLEFINANCE(""NSE:""&amp;A94,""PRICE"")"),426.3)</f>
        <v/>
      </c>
      <c r="C94" s="13">
        <f>IFERROR(__xludf.DUMMYFUNCTION("GOOGLEFINANCE(""NSE:""&amp;A94,""PRICEOPEN"")"),426.95)</f>
        <v/>
      </c>
      <c r="D94" s="13">
        <f>IFERROR(__xludf.DUMMYFUNCTION("GOOGLEFINANCE(""NSE:""&amp;A94,""HIGH"")"),431.9)</f>
        <v/>
      </c>
      <c r="E94" s="13">
        <f>IFERROR(__xludf.DUMMYFUNCTION("GOOGLEFINANCE(""NSE:""&amp;A94,""LOW"")"),422.4)</f>
        <v/>
      </c>
      <c r="F94" s="13">
        <f>IFERROR(__xludf.DUMMYFUNCTION("GOOGLEFINANCE(""NSE:""&amp;A94,""closeyest"")"),425.6)</f>
        <v/>
      </c>
      <c r="G94" s="14">
        <f>(B94-C94)/B94</f>
        <v/>
      </c>
      <c r="H94" s="13">
        <f>IFERROR(__xludf.DUMMYFUNCTION("GOOGLEFINANCE(""NSE:""&amp;A94,""VOLUME"")"),84447)</f>
        <v/>
      </c>
      <c r="I94" s="13">
        <f>IFERROR(__xludf.DUMMYFUNCTION("AVERAGE(index(GOOGLEFINANCE(""NSE:""&amp;$A94, ""volume"", today()-21, today()-1), , 2))"),"#N/A")</f>
        <v/>
      </c>
      <c r="J94" s="14">
        <f>(H94-I94)/I94</f>
        <v/>
      </c>
      <c r="K94" s="13">
        <f>IFERROR(__xludf.DUMMYFUNCTION("AVERAGE(index(GOOGLEFINANCE(""NSE:""&amp;$A94, ""close"", today()-6, today()-1), , 2))"),"#N/A")</f>
        <v/>
      </c>
      <c r="L94" s="13">
        <f>IFERROR(__xludf.DUMMYFUNCTION("AVERAGE(index(GOOGLEFINANCE(""NSE:""&amp;$A94, ""close"", today()-14, today()-1), , 2))"),"#N/A")</f>
        <v/>
      </c>
      <c r="M94" s="13">
        <f>IFERROR(__xludf.DUMMYFUNCTION("AVERAGE(index(GOOGLEFINANCE(""NSE:""&amp;$A94, ""close"", today()-22, today()-1), , 2))"),"#N/A")</f>
        <v/>
      </c>
      <c r="N94" s="13">
        <f>AG94</f>
        <v/>
      </c>
      <c r="O94" s="13">
        <f>AI94</f>
        <v/>
      </c>
      <c r="P94" s="13">
        <f>W94</f>
        <v/>
      </c>
      <c r="Q94" s="13">
        <f>Y94</f>
        <v/>
      </c>
      <c r="R94" s="15" t="n"/>
      <c r="S94" s="15">
        <f>LEFT(W94,2)&amp;LEFT(Y94,2)</f>
        <v/>
      </c>
      <c r="T94" s="15" t="n"/>
      <c r="U94" s="15">
        <f>IF(K94&lt;L94,1,0)</f>
        <v/>
      </c>
      <c r="V94" s="15">
        <f>IF(H94&gt;I94,1,0)</f>
        <v/>
      </c>
      <c r="W94" s="15">
        <f>IF(SUM(U94:V94)=2,"Anticipatory_Sell","No_Action")</f>
        <v/>
      </c>
      <c r="X94" s="15" t="n"/>
      <c r="Y94" s="15">
        <f>IF(SUM(Z94:AA94)=2,"Confirm_Sell","No_Action")</f>
        <v/>
      </c>
      <c r="Z94" s="15">
        <f>IF(H94&gt;I94,1,0)</f>
        <v/>
      </c>
      <c r="AA94" s="15">
        <f>IF(K94&lt;M94,1,0)</f>
        <v/>
      </c>
      <c r="AB94" s="15" t="n"/>
      <c r="AC94" s="15">
        <f>LEFT(AG94,2)&amp;LEFT(AI94,2)</f>
        <v/>
      </c>
      <c r="AD94" s="15" t="n"/>
      <c r="AE94" s="15">
        <f>IF(K94&gt;L94,1,0)</f>
        <v/>
      </c>
      <c r="AF94" s="16">
        <f>IF(H94&gt;I94,1,0)</f>
        <v/>
      </c>
      <c r="AG94" s="16">
        <f>IF(SUM(AE94:AF94)=2,"Anticipatory_Buy","No_Action")</f>
        <v/>
      </c>
      <c r="AH94" s="15" t="n"/>
      <c r="AI94" s="15">
        <f>IF(SUM(AJ94:AK94)=2,"Confirm_Buy","No_Action")</f>
        <v/>
      </c>
      <c r="AJ94" s="15">
        <f>IF(H94&gt;I94,1,0)</f>
        <v/>
      </c>
      <c r="AK94" s="15">
        <f>IF(K94&gt;M94,1,0)</f>
        <v/>
      </c>
    </row>
    <row r="95" ht="14.5" customHeight="1">
      <c r="A95" s="12" t="inlineStr">
        <is>
          <t>ECLERX</t>
        </is>
      </c>
      <c r="B95" s="13">
        <f>IFERROR(__xludf.DUMMYFUNCTION("GOOGLEFINANCE(""NSE:""&amp;A95,""PRICE"")"),3665.05)</f>
        <v/>
      </c>
      <c r="C95" s="13">
        <f>IFERROR(__xludf.DUMMYFUNCTION("GOOGLEFINANCE(""NSE:""&amp;A95,""PRICEOPEN"")"),3634.95)</f>
        <v/>
      </c>
      <c r="D95" s="13">
        <f>IFERROR(__xludf.DUMMYFUNCTION("GOOGLEFINANCE(""NSE:""&amp;A95,""HIGH"")"),3700)</f>
        <v/>
      </c>
      <c r="E95" s="13">
        <f>IFERROR(__xludf.DUMMYFUNCTION("GOOGLEFINANCE(""NSE:""&amp;A95,""LOW"")"),3615.85)</f>
        <v/>
      </c>
      <c r="F95" s="13">
        <f>IFERROR(__xludf.DUMMYFUNCTION("GOOGLEFINANCE(""NSE:""&amp;A95,""closeyest"")"),3615.85)</f>
        <v/>
      </c>
      <c r="G95" s="14">
        <f>(B95-C95)/B95</f>
        <v/>
      </c>
      <c r="H95" s="13">
        <f>IFERROR(__xludf.DUMMYFUNCTION("GOOGLEFINANCE(""NSE:""&amp;A95,""VOLUME"")"),62319)</f>
        <v/>
      </c>
      <c r="I95" s="13">
        <f>IFERROR(__xludf.DUMMYFUNCTION("AVERAGE(index(GOOGLEFINANCE(""NSE:""&amp;$A95, ""volume"", today()-21, today()-1), , 2))"),"#N/A")</f>
        <v/>
      </c>
      <c r="J95" s="14">
        <f>(H95-I95)/I95</f>
        <v/>
      </c>
      <c r="K95" s="13">
        <f>IFERROR(__xludf.DUMMYFUNCTION("AVERAGE(index(GOOGLEFINANCE(""NSE:""&amp;$A95, ""close"", today()-6, today()-1), , 2))"),"#N/A")</f>
        <v/>
      </c>
      <c r="L95" s="13">
        <f>IFERROR(__xludf.DUMMYFUNCTION("AVERAGE(index(GOOGLEFINANCE(""NSE:""&amp;$A95, ""close"", today()-14, today()-1), , 2))"),"#N/A")</f>
        <v/>
      </c>
      <c r="M95" s="13">
        <f>IFERROR(__xludf.DUMMYFUNCTION("AVERAGE(index(GOOGLEFINANCE(""NSE:""&amp;$A95, ""close"", today()-22, today()-1), , 2))"),"#N/A")</f>
        <v/>
      </c>
      <c r="N95" s="13">
        <f>AG95</f>
        <v/>
      </c>
      <c r="O95" s="13">
        <f>AI95</f>
        <v/>
      </c>
      <c r="P95" s="13">
        <f>W95</f>
        <v/>
      </c>
      <c r="Q95" s="13">
        <f>Y95</f>
        <v/>
      </c>
      <c r="R95" s="15" t="n"/>
      <c r="S95" s="15">
        <f>LEFT(W95,2)&amp;LEFT(Y95,2)</f>
        <v/>
      </c>
      <c r="T95" s="15" t="n"/>
      <c r="U95" s="15">
        <f>IF(K95&lt;L95,1,0)</f>
        <v/>
      </c>
      <c r="V95" s="15">
        <f>IF(H95&gt;I95,1,0)</f>
        <v/>
      </c>
      <c r="W95" s="15">
        <f>IF(SUM(U95:V95)=2,"Anticipatory_Sell","No_Action")</f>
        <v/>
      </c>
      <c r="X95" s="15" t="n"/>
      <c r="Y95" s="15">
        <f>IF(SUM(Z95:AA95)=2,"Confirm_Sell","No_Action")</f>
        <v/>
      </c>
      <c r="Z95" s="15">
        <f>IF(H95&gt;I95,1,0)</f>
        <v/>
      </c>
      <c r="AA95" s="15">
        <f>IF(K95&lt;M95,1,0)</f>
        <v/>
      </c>
      <c r="AB95" s="15" t="n"/>
      <c r="AC95" s="15">
        <f>LEFT(AG95,2)&amp;LEFT(AI95,2)</f>
        <v/>
      </c>
      <c r="AD95" s="15" t="n"/>
      <c r="AE95" s="15">
        <f>IF(K95&gt;L95,1,0)</f>
        <v/>
      </c>
      <c r="AF95" s="16">
        <f>IF(H95&gt;I95,1,0)</f>
        <v/>
      </c>
      <c r="AG95" s="16">
        <f>IF(SUM(AE95:AF95)=2,"Anticipatory_Buy","No_Action")</f>
        <v/>
      </c>
      <c r="AH95" s="15" t="n"/>
      <c r="AI95" s="15">
        <f>IF(SUM(AJ95:AK95)=2,"Confirm_Buy","No_Action")</f>
        <v/>
      </c>
      <c r="AJ95" s="15">
        <f>IF(H95&gt;I95,1,0)</f>
        <v/>
      </c>
      <c r="AK95" s="15">
        <f>IF(K95&gt;M95,1,0)</f>
        <v/>
      </c>
    </row>
    <row r="96" ht="14.5" customHeight="1">
      <c r="A96" s="12" t="inlineStr">
        <is>
          <t>EICHERMOT</t>
        </is>
      </c>
      <c r="B96" s="13">
        <f>IFERROR(__xludf.DUMMYFUNCTION("GOOGLEFINANCE(""NSE:""&amp;A96,""PRICE"")"),4857.4)</f>
        <v/>
      </c>
      <c r="C96" s="13">
        <f>IFERROR(__xludf.DUMMYFUNCTION("GOOGLEFINANCE(""NSE:""&amp;A96,""PRICEOPEN"")"),4886.6)</f>
        <v/>
      </c>
      <c r="D96" s="13">
        <f>IFERROR(__xludf.DUMMYFUNCTION("GOOGLEFINANCE(""NSE:""&amp;A96,""HIGH"")"),4888)</f>
        <v/>
      </c>
      <c r="E96" s="13">
        <f>IFERROR(__xludf.DUMMYFUNCTION("GOOGLEFINANCE(""NSE:""&amp;A96,""LOW"")"),4815)</f>
        <v/>
      </c>
      <c r="F96" s="13">
        <f>IFERROR(__xludf.DUMMYFUNCTION("GOOGLEFINANCE(""NSE:""&amp;A96,""closeyest"")"),4877.05)</f>
        <v/>
      </c>
      <c r="G96" s="14">
        <f>(B96-C96)/B96</f>
        <v/>
      </c>
      <c r="H96" s="13">
        <f>IFERROR(__xludf.DUMMYFUNCTION("GOOGLEFINANCE(""NSE:""&amp;A96,""VOLUME"")"),377043)</f>
        <v/>
      </c>
      <c r="I96" s="13">
        <f>IFERROR(__xludf.DUMMYFUNCTION("AVERAGE(index(GOOGLEFINANCE(""NSE:""&amp;$A96, ""volume"", today()-21, today()-1), , 2))"),"#N/A")</f>
        <v/>
      </c>
      <c r="J96" s="14">
        <f>(H96-I96)/I96</f>
        <v/>
      </c>
      <c r="K96" s="13">
        <f>IFERROR(__xludf.DUMMYFUNCTION("AVERAGE(index(GOOGLEFINANCE(""NSE:""&amp;$A96, ""close"", today()-6, today()-1), , 2))"),"#N/A")</f>
        <v/>
      </c>
      <c r="L96" s="13">
        <f>IFERROR(__xludf.DUMMYFUNCTION("AVERAGE(index(GOOGLEFINANCE(""NSE:""&amp;$A96, ""close"", today()-14, today()-1), , 2))"),"#N/A")</f>
        <v/>
      </c>
      <c r="M96" s="13">
        <f>IFERROR(__xludf.DUMMYFUNCTION("AVERAGE(index(GOOGLEFINANCE(""NSE:""&amp;$A96, ""close"", today()-22, today()-1), , 2))"),"#N/A")</f>
        <v/>
      </c>
      <c r="N96" s="13">
        <f>AG96</f>
        <v/>
      </c>
      <c r="O96" s="13">
        <f>AI96</f>
        <v/>
      </c>
      <c r="P96" s="13">
        <f>W96</f>
        <v/>
      </c>
      <c r="Q96" s="13">
        <f>Y96</f>
        <v/>
      </c>
      <c r="R96" s="15" t="n"/>
      <c r="S96" s="15">
        <f>LEFT(W96,2)&amp;LEFT(Y96,2)</f>
        <v/>
      </c>
      <c r="T96" s="15" t="n"/>
      <c r="U96" s="15">
        <f>IF(K96&lt;L96,1,0)</f>
        <v/>
      </c>
      <c r="V96" s="15">
        <f>IF(H96&gt;I96,1,0)</f>
        <v/>
      </c>
      <c r="W96" s="15">
        <f>IF(SUM(U96:V96)=2,"Anticipatory_Sell","No_Action")</f>
        <v/>
      </c>
      <c r="X96" s="15" t="n"/>
      <c r="Y96" s="15">
        <f>IF(SUM(Z96:AA96)=2,"Confirm_Sell","No_Action")</f>
        <v/>
      </c>
      <c r="Z96" s="15">
        <f>IF(H96&gt;I96,1,0)</f>
        <v/>
      </c>
      <c r="AA96" s="15">
        <f>IF(K96&lt;M96,1,0)</f>
        <v/>
      </c>
      <c r="AB96" s="15" t="n"/>
      <c r="AC96" s="15">
        <f>LEFT(AG96,2)&amp;LEFT(AI96,2)</f>
        <v/>
      </c>
      <c r="AD96" s="15" t="n"/>
      <c r="AE96" s="15">
        <f>IF(K96&gt;L96,1,0)</f>
        <v/>
      </c>
      <c r="AF96" s="16">
        <f>IF(H96&gt;I96,1,0)</f>
        <v/>
      </c>
      <c r="AG96" s="16">
        <f>IF(SUM(AE96:AF96)=2,"Anticipatory_Buy","No_Action")</f>
        <v/>
      </c>
      <c r="AH96" s="15" t="n"/>
      <c r="AI96" s="15">
        <f>IF(SUM(AJ96:AK96)=2,"Confirm_Buy","No_Action")</f>
        <v/>
      </c>
      <c r="AJ96" s="15">
        <f>IF(H96&gt;I96,1,0)</f>
        <v/>
      </c>
      <c r="AK96" s="15">
        <f>IF(K96&gt;M96,1,0)</f>
        <v/>
      </c>
    </row>
    <row r="97" ht="14.5" customHeight="1">
      <c r="A97" s="12" t="inlineStr">
        <is>
          <t>EIDPARRY</t>
        </is>
      </c>
      <c r="B97" s="13">
        <f>IFERROR(__xludf.DUMMYFUNCTION("GOOGLEFINANCE(""NSE:""&amp;A97,""PRICE"")"),895)</f>
        <v/>
      </c>
      <c r="C97" s="13">
        <f>IFERROR(__xludf.DUMMYFUNCTION("GOOGLEFINANCE(""NSE:""&amp;A97,""PRICEOPEN"")"),925.1)</f>
        <v/>
      </c>
      <c r="D97" s="13">
        <f>IFERROR(__xludf.DUMMYFUNCTION("GOOGLEFINANCE(""NSE:""&amp;A97,""HIGH"")"),925.1)</f>
        <v/>
      </c>
      <c r="E97" s="13">
        <f>IFERROR(__xludf.DUMMYFUNCTION("GOOGLEFINANCE(""NSE:""&amp;A97,""LOW"")"),891.55)</f>
        <v/>
      </c>
      <c r="F97" s="13">
        <f>IFERROR(__xludf.DUMMYFUNCTION("GOOGLEFINANCE(""NSE:""&amp;A97,""closeyest"")"),907.7)</f>
        <v/>
      </c>
      <c r="G97" s="14">
        <f>(B97-C97)/B97</f>
        <v/>
      </c>
      <c r="H97" s="13">
        <f>IFERROR(__xludf.DUMMYFUNCTION("GOOGLEFINANCE(""NSE:""&amp;A97,""VOLUME"")"),237332)</f>
        <v/>
      </c>
      <c r="I97" s="13">
        <f>IFERROR(__xludf.DUMMYFUNCTION("AVERAGE(index(GOOGLEFINANCE(""NSE:""&amp;$A97, ""volume"", today()-21, today()-1), , 2))"),"#N/A")</f>
        <v/>
      </c>
      <c r="J97" s="14">
        <f>(H97-I97)/I97</f>
        <v/>
      </c>
      <c r="K97" s="13">
        <f>IFERROR(__xludf.DUMMYFUNCTION("AVERAGE(index(GOOGLEFINANCE(""NSE:""&amp;$A97, ""close"", today()-6, today()-1), , 2))"),"#N/A")</f>
        <v/>
      </c>
      <c r="L97" s="13">
        <f>IFERROR(__xludf.DUMMYFUNCTION("AVERAGE(index(GOOGLEFINANCE(""NSE:""&amp;$A97, ""close"", today()-14, today()-1), , 2))"),"#N/A")</f>
        <v/>
      </c>
      <c r="M97" s="13">
        <f>IFERROR(__xludf.DUMMYFUNCTION("AVERAGE(index(GOOGLEFINANCE(""NSE:""&amp;$A97, ""close"", today()-22, today()-1), , 2))"),"#N/A")</f>
        <v/>
      </c>
      <c r="N97" s="13">
        <f>AG97</f>
        <v/>
      </c>
      <c r="O97" s="13">
        <f>AI97</f>
        <v/>
      </c>
      <c r="P97" s="13">
        <f>W97</f>
        <v/>
      </c>
      <c r="Q97" s="13">
        <f>Y97</f>
        <v/>
      </c>
      <c r="R97" s="15" t="n"/>
      <c r="S97" s="15">
        <f>LEFT(W97,2)&amp;LEFT(Y97,2)</f>
        <v/>
      </c>
      <c r="T97" s="15" t="n"/>
      <c r="U97" s="15">
        <f>IF(K97&lt;L97,1,0)</f>
        <v/>
      </c>
      <c r="V97" s="15">
        <f>IF(H97&gt;I97,1,0)</f>
        <v/>
      </c>
      <c r="W97" s="15">
        <f>IF(SUM(U97:V97)=2,"Anticipatory_Sell","No_Action")</f>
        <v/>
      </c>
      <c r="X97" s="15" t="n"/>
      <c r="Y97" s="15">
        <f>IF(SUM(Z97:AA97)=2,"Confirm_Sell","No_Action")</f>
        <v/>
      </c>
      <c r="Z97" s="15">
        <f>IF(H97&gt;I97,1,0)</f>
        <v/>
      </c>
      <c r="AA97" s="15">
        <f>IF(K97&lt;M97,1,0)</f>
        <v/>
      </c>
      <c r="AB97" s="15" t="n"/>
      <c r="AC97" s="15">
        <f>LEFT(AG97,2)&amp;LEFT(AI97,2)</f>
        <v/>
      </c>
      <c r="AD97" s="15" t="n"/>
      <c r="AE97" s="15">
        <f>IF(K97&gt;L97,1,0)</f>
        <v/>
      </c>
      <c r="AF97" s="16">
        <f>IF(H97&gt;I97,1,0)</f>
        <v/>
      </c>
      <c r="AG97" s="16">
        <f>IF(SUM(AE97:AF97)=2,"Anticipatory_Buy","No_Action")</f>
        <v/>
      </c>
      <c r="AH97" s="15" t="n"/>
      <c r="AI97" s="15">
        <f>IF(SUM(AJ97:AK97)=2,"Confirm_Buy","No_Action")</f>
        <v/>
      </c>
      <c r="AJ97" s="15">
        <f>IF(H97&gt;I97,1,0)</f>
        <v/>
      </c>
      <c r="AK97" s="15">
        <f>IF(K97&gt;M97,1,0)</f>
        <v/>
      </c>
    </row>
    <row r="98" ht="14.5" customHeight="1">
      <c r="A98" s="12" t="inlineStr">
        <is>
          <t>EIHOTEL</t>
        </is>
      </c>
      <c r="B98" s="13">
        <f>IFERROR(__xludf.DUMMYFUNCTION("GOOGLEFINANCE(""NSE:""&amp;A98,""PRICE"")"),409.1)</f>
        <v/>
      </c>
      <c r="C98" s="13">
        <f>IFERROR(__xludf.DUMMYFUNCTION("GOOGLEFINANCE(""NSE:""&amp;A98,""PRICEOPEN"")"),413.85)</f>
        <v/>
      </c>
      <c r="D98" s="13">
        <f>IFERROR(__xludf.DUMMYFUNCTION("GOOGLEFINANCE(""NSE:""&amp;A98,""HIGH"")"),422)</f>
        <v/>
      </c>
      <c r="E98" s="13">
        <f>IFERROR(__xludf.DUMMYFUNCTION("GOOGLEFINANCE(""NSE:""&amp;A98,""LOW"")"),406.1)</f>
        <v/>
      </c>
      <c r="F98" s="13">
        <f>IFERROR(__xludf.DUMMYFUNCTION("GOOGLEFINANCE(""NSE:""&amp;A98,""closeyest"")"),411.45)</f>
        <v/>
      </c>
      <c r="G98" s="14">
        <f>(B98-C98)/B98</f>
        <v/>
      </c>
      <c r="H98" s="13">
        <f>IFERROR(__xludf.DUMMYFUNCTION("GOOGLEFINANCE(""NSE:""&amp;A98,""VOLUME"")"),954567)</f>
        <v/>
      </c>
      <c r="I98" s="13">
        <f>IFERROR(__xludf.DUMMYFUNCTION("AVERAGE(index(GOOGLEFINANCE(""NSE:""&amp;$A98, ""volume"", today()-21, today()-1), , 2))"),"#N/A")</f>
        <v/>
      </c>
      <c r="J98" s="14">
        <f>(H98-I98)/I98</f>
        <v/>
      </c>
      <c r="K98" s="13">
        <f>IFERROR(__xludf.DUMMYFUNCTION("AVERAGE(index(GOOGLEFINANCE(""NSE:""&amp;$A98, ""close"", today()-6, today()-1), , 2))"),"#N/A")</f>
        <v/>
      </c>
      <c r="L98" s="13">
        <f>IFERROR(__xludf.DUMMYFUNCTION("AVERAGE(index(GOOGLEFINANCE(""NSE:""&amp;$A98, ""close"", today()-14, today()-1), , 2))"),"#N/A")</f>
        <v/>
      </c>
      <c r="M98" s="13">
        <f>IFERROR(__xludf.DUMMYFUNCTION("AVERAGE(index(GOOGLEFINANCE(""NSE:""&amp;$A98, ""close"", today()-22, today()-1), , 2))"),"#N/A")</f>
        <v/>
      </c>
      <c r="N98" s="13">
        <f>AG98</f>
        <v/>
      </c>
      <c r="O98" s="13">
        <f>AI98</f>
        <v/>
      </c>
      <c r="P98" s="13">
        <f>W98</f>
        <v/>
      </c>
      <c r="Q98" s="13">
        <f>Y98</f>
        <v/>
      </c>
      <c r="R98" s="15" t="n"/>
      <c r="S98" s="15">
        <f>LEFT(W98,2)&amp;LEFT(Y98,2)</f>
        <v/>
      </c>
      <c r="T98" s="15" t="n"/>
      <c r="U98" s="15">
        <f>IF(K98&lt;L98,1,0)</f>
        <v/>
      </c>
      <c r="V98" s="15">
        <f>IF(H98&gt;I98,1,0)</f>
        <v/>
      </c>
      <c r="W98" s="15">
        <f>IF(SUM(U98:V98)=2,"Anticipatory_Sell","No_Action")</f>
        <v/>
      </c>
      <c r="X98" s="15" t="n"/>
      <c r="Y98" s="15">
        <f>IF(SUM(Z98:AA98)=2,"Confirm_Sell","No_Action")</f>
        <v/>
      </c>
      <c r="Z98" s="15">
        <f>IF(H98&gt;I98,1,0)</f>
        <v/>
      </c>
      <c r="AA98" s="15">
        <f>IF(K98&lt;M98,1,0)</f>
        <v/>
      </c>
      <c r="AB98" s="15" t="n"/>
      <c r="AC98" s="15">
        <f>LEFT(AG98,2)&amp;LEFT(AI98,2)</f>
        <v/>
      </c>
      <c r="AD98" s="15" t="n"/>
      <c r="AE98" s="15">
        <f>IF(K98&gt;L98,1,0)</f>
        <v/>
      </c>
      <c r="AF98" s="16">
        <f>IF(H98&gt;I98,1,0)</f>
        <v/>
      </c>
      <c r="AG98" s="16">
        <f>IF(SUM(AE98:AF98)=2,"Anticipatory_Buy","No_Action")</f>
        <v/>
      </c>
      <c r="AH98" s="15" t="n"/>
      <c r="AI98" s="15">
        <f>IF(SUM(AJ98:AK98)=2,"Confirm_Buy","No_Action")</f>
        <v/>
      </c>
      <c r="AJ98" s="15">
        <f>IF(H98&gt;I98,1,0)</f>
        <v/>
      </c>
      <c r="AK98" s="15">
        <f>IF(K98&gt;M98,1,0)</f>
        <v/>
      </c>
    </row>
    <row r="99" ht="14.5" customHeight="1">
      <c r="A99" s="12" t="inlineStr">
        <is>
          <t>ELECON</t>
        </is>
      </c>
      <c r="B99" s="13">
        <f>IFERROR(__xludf.DUMMYFUNCTION("GOOGLEFINANCE(""NSE:""&amp;A99,""PRICE"")"),627)</f>
        <v/>
      </c>
      <c r="C99" s="13">
        <f>IFERROR(__xludf.DUMMYFUNCTION("GOOGLEFINANCE(""NSE:""&amp;A99,""PRICEOPEN"")"),630.95)</f>
        <v/>
      </c>
      <c r="D99" s="13">
        <f>IFERROR(__xludf.DUMMYFUNCTION("GOOGLEFINANCE(""NSE:""&amp;A99,""HIGH"")"),640.95)</f>
        <v/>
      </c>
      <c r="E99" s="13">
        <f>IFERROR(__xludf.DUMMYFUNCTION("GOOGLEFINANCE(""NSE:""&amp;A99,""LOW"")"),621.1)</f>
        <v/>
      </c>
      <c r="F99" s="13">
        <f>IFERROR(__xludf.DUMMYFUNCTION("GOOGLEFINANCE(""NSE:""&amp;A99,""closeyest"")"),630.95)</f>
        <v/>
      </c>
      <c r="G99" s="14">
        <f>(B99-C99)/B99</f>
        <v/>
      </c>
      <c r="H99" s="13">
        <f>IFERROR(__xludf.DUMMYFUNCTION("GOOGLEFINANCE(""NSE:""&amp;A99,""VOLUME"")"),211034)</f>
        <v/>
      </c>
      <c r="I99" s="13">
        <f>IFERROR(__xludf.DUMMYFUNCTION("AVERAGE(index(GOOGLEFINANCE(""NSE:""&amp;$A99, ""volume"", today()-21, today()-1), , 2))"),"#N/A")</f>
        <v/>
      </c>
      <c r="J99" s="14">
        <f>(H99-I99)/I99</f>
        <v/>
      </c>
      <c r="K99" s="13">
        <f>IFERROR(__xludf.DUMMYFUNCTION("AVERAGE(index(GOOGLEFINANCE(""NSE:""&amp;$A99, ""close"", today()-6, today()-1), , 2))"),"#N/A")</f>
        <v/>
      </c>
      <c r="L99" s="13">
        <f>IFERROR(__xludf.DUMMYFUNCTION("AVERAGE(index(GOOGLEFINANCE(""NSE:""&amp;$A99, ""close"", today()-14, today()-1), , 2))"),"#N/A")</f>
        <v/>
      </c>
      <c r="M99" s="13">
        <f>IFERROR(__xludf.DUMMYFUNCTION("AVERAGE(index(GOOGLEFINANCE(""NSE:""&amp;$A99, ""close"", today()-22, today()-1), , 2))"),"#N/A")</f>
        <v/>
      </c>
      <c r="N99" s="13">
        <f>AG99</f>
        <v/>
      </c>
      <c r="O99" s="13">
        <f>AI99</f>
        <v/>
      </c>
      <c r="P99" s="13">
        <f>W99</f>
        <v/>
      </c>
      <c r="Q99" s="13">
        <f>Y99</f>
        <v/>
      </c>
      <c r="R99" s="15" t="n"/>
      <c r="S99" s="15">
        <f>LEFT(W99,2)&amp;LEFT(Y99,2)</f>
        <v/>
      </c>
      <c r="T99" s="15" t="n"/>
      <c r="U99" s="15">
        <f>IF(K99&lt;L99,1,0)</f>
        <v/>
      </c>
      <c r="V99" s="15">
        <f>IF(H99&gt;I99,1,0)</f>
        <v/>
      </c>
      <c r="W99" s="15">
        <f>IF(SUM(U99:V99)=2,"Anticipatory_Sell","No_Action")</f>
        <v/>
      </c>
      <c r="X99" s="15" t="n"/>
      <c r="Y99" s="15">
        <f>IF(SUM(Z99:AA99)=2,"Confirm_Sell","No_Action")</f>
        <v/>
      </c>
      <c r="Z99" s="15">
        <f>IF(H99&gt;I99,1,0)</f>
        <v/>
      </c>
      <c r="AA99" s="15">
        <f>IF(K99&lt;M99,1,0)</f>
        <v/>
      </c>
      <c r="AB99" s="15" t="n"/>
      <c r="AC99" s="15">
        <f>LEFT(AG99,2)&amp;LEFT(AI99,2)</f>
        <v/>
      </c>
      <c r="AD99" s="15" t="n"/>
      <c r="AE99" s="15">
        <f>IF(K99&gt;L99,1,0)</f>
        <v/>
      </c>
      <c r="AF99" s="16">
        <f>IF(H99&gt;I99,1,0)</f>
        <v/>
      </c>
      <c r="AG99" s="16">
        <f>IF(SUM(AE99:AF99)=2,"Anticipatory_Buy","No_Action")</f>
        <v/>
      </c>
      <c r="AH99" s="15" t="n"/>
      <c r="AI99" s="15">
        <f>IF(SUM(AJ99:AK99)=2,"Confirm_Buy","No_Action")</f>
        <v/>
      </c>
      <c r="AJ99" s="15">
        <f>IF(H99&gt;I99,1,0)</f>
        <v/>
      </c>
      <c r="AK99" s="15">
        <f>IF(K99&gt;M99,1,0)</f>
        <v/>
      </c>
    </row>
    <row r="100" ht="14.5" customHeight="1">
      <c r="A100" s="12" t="inlineStr">
        <is>
          <t>ELECTCAST</t>
        </is>
      </c>
      <c r="B100" s="13">
        <f>IFERROR(__xludf.DUMMYFUNCTION("GOOGLEFINANCE(""NSE:""&amp;A100,""PRICE"")"),168.49)</f>
        <v/>
      </c>
      <c r="C100" s="13">
        <f>IFERROR(__xludf.DUMMYFUNCTION("GOOGLEFINANCE(""NSE:""&amp;A100,""PRICEOPEN"")"),166.95)</f>
        <v/>
      </c>
      <c r="D100" s="13">
        <f>IFERROR(__xludf.DUMMYFUNCTION("GOOGLEFINANCE(""NSE:""&amp;A100,""HIGH"")"),170.7)</f>
        <v/>
      </c>
      <c r="E100" s="13">
        <f>IFERROR(__xludf.DUMMYFUNCTION("GOOGLEFINANCE(""NSE:""&amp;A100,""LOW"")"),166.61)</f>
        <v/>
      </c>
      <c r="F100" s="13">
        <f>IFERROR(__xludf.DUMMYFUNCTION("GOOGLEFINANCE(""NSE:""&amp;A100,""closeyest"")"),166.24)</f>
        <v/>
      </c>
      <c r="G100" s="14">
        <f>(B100-C100)/B100</f>
        <v/>
      </c>
      <c r="H100" s="13">
        <f>IFERROR(__xludf.DUMMYFUNCTION("GOOGLEFINANCE(""NSE:""&amp;A100,""VOLUME"")"),1862762)</f>
        <v/>
      </c>
      <c r="I100" s="13">
        <f>IFERROR(__xludf.DUMMYFUNCTION("AVERAGE(index(GOOGLEFINANCE(""NSE:""&amp;$A100, ""volume"", today()-21, today()-1), , 2))"),"#N/A")</f>
        <v/>
      </c>
      <c r="J100" s="14">
        <f>(H100-I100)/I100</f>
        <v/>
      </c>
      <c r="K100" s="13">
        <f>IFERROR(__xludf.DUMMYFUNCTION("AVERAGE(index(GOOGLEFINANCE(""NSE:""&amp;$A100, ""close"", today()-6, today()-1), , 2))"),"#N/A")</f>
        <v/>
      </c>
      <c r="L100" s="13">
        <f>IFERROR(__xludf.DUMMYFUNCTION("AVERAGE(index(GOOGLEFINANCE(""NSE:""&amp;$A100, ""close"", today()-14, today()-1), , 2))"),"#N/A")</f>
        <v/>
      </c>
      <c r="M100" s="13">
        <f>IFERROR(__xludf.DUMMYFUNCTION("AVERAGE(index(GOOGLEFINANCE(""NSE:""&amp;$A100, ""close"", today()-22, today()-1), , 2))"),"#N/A")</f>
        <v/>
      </c>
      <c r="N100" s="13">
        <f>AG100</f>
        <v/>
      </c>
      <c r="O100" s="13">
        <f>AI100</f>
        <v/>
      </c>
      <c r="P100" s="13">
        <f>W100</f>
        <v/>
      </c>
      <c r="Q100" s="13">
        <f>Y100</f>
        <v/>
      </c>
      <c r="R100" s="15" t="n"/>
      <c r="S100" s="15">
        <f>LEFT(W100,2)&amp;LEFT(Y100,2)</f>
        <v/>
      </c>
      <c r="T100" s="15" t="n"/>
      <c r="U100" s="15">
        <f>IF(K100&lt;L100,1,0)</f>
        <v/>
      </c>
      <c r="V100" s="15">
        <f>IF(H100&gt;I100,1,0)</f>
        <v/>
      </c>
      <c r="W100" s="15">
        <f>IF(SUM(U100:V100)=2,"Anticipatory_Sell","No_Action")</f>
        <v/>
      </c>
      <c r="X100" s="15" t="n"/>
      <c r="Y100" s="15">
        <f>IF(SUM(Z100:AA100)=2,"Confirm_Sell","No_Action")</f>
        <v/>
      </c>
      <c r="Z100" s="15">
        <f>IF(H100&gt;I100,1,0)</f>
        <v/>
      </c>
      <c r="AA100" s="15">
        <f>IF(K100&lt;M100,1,0)</f>
        <v/>
      </c>
      <c r="AB100" s="15" t="n"/>
      <c r="AC100" s="15">
        <f>LEFT(AG100,2)&amp;LEFT(AI100,2)</f>
        <v/>
      </c>
      <c r="AD100" s="15" t="n"/>
      <c r="AE100" s="15">
        <f>IF(K100&gt;L100,1,0)</f>
        <v/>
      </c>
      <c r="AF100" s="16">
        <f>IF(H100&gt;I100,1,0)</f>
        <v/>
      </c>
      <c r="AG100" s="16">
        <f>IF(SUM(AE100:AF100)=2,"Anticipatory_Buy","No_Action")</f>
        <v/>
      </c>
      <c r="AH100" s="15" t="n"/>
      <c r="AI100" s="15">
        <f>IF(SUM(AJ100:AK100)=2,"Confirm_Buy","No_Action")</f>
        <v/>
      </c>
      <c r="AJ100" s="15">
        <f>IF(H100&gt;I100,1,0)</f>
        <v/>
      </c>
      <c r="AK100" s="15">
        <f>IF(K100&gt;M100,1,0)</f>
        <v/>
      </c>
    </row>
    <row r="101" ht="14.5" customHeight="1">
      <c r="A101" s="12" t="inlineStr">
        <is>
          <t>EMAMILTD</t>
        </is>
      </c>
      <c r="B101" s="13">
        <f>IFERROR(__xludf.DUMMYFUNCTION("GOOGLEFINANCE(""NSE:""&amp;A101,""PRICE"")"),623)</f>
        <v/>
      </c>
      <c r="C101" s="13">
        <f>IFERROR(__xludf.DUMMYFUNCTION("GOOGLEFINANCE(""NSE:""&amp;A101,""PRICEOPEN"")"),643.05)</f>
        <v/>
      </c>
      <c r="D101" s="13">
        <f>IFERROR(__xludf.DUMMYFUNCTION("GOOGLEFINANCE(""NSE:""&amp;A101,""HIGH"")"),645)</f>
        <v/>
      </c>
      <c r="E101" s="13">
        <f>IFERROR(__xludf.DUMMYFUNCTION("GOOGLEFINANCE(""NSE:""&amp;A101,""LOW"")"),618.4)</f>
        <v/>
      </c>
      <c r="F101" s="13">
        <f>IFERROR(__xludf.DUMMYFUNCTION("GOOGLEFINANCE(""NSE:""&amp;A101,""closeyest"")"),642.5)</f>
        <v/>
      </c>
      <c r="G101" s="14">
        <f>(B101-C101)/B101</f>
        <v/>
      </c>
      <c r="H101" s="13">
        <f>IFERROR(__xludf.DUMMYFUNCTION("GOOGLEFINANCE(""NSE:""&amp;A101,""VOLUME"")"),705249)</f>
        <v/>
      </c>
      <c r="I101" s="13">
        <f>IFERROR(__xludf.DUMMYFUNCTION("AVERAGE(index(GOOGLEFINANCE(""NSE:""&amp;$A101, ""volume"", today()-21, today()-1), , 2))"),"#N/A")</f>
        <v/>
      </c>
      <c r="J101" s="14">
        <f>(H101-I101)/I101</f>
        <v/>
      </c>
      <c r="K101" s="13">
        <f>IFERROR(__xludf.DUMMYFUNCTION("AVERAGE(index(GOOGLEFINANCE(""NSE:""&amp;$A101, ""close"", today()-6, today()-1), , 2))"),"#N/A")</f>
        <v/>
      </c>
      <c r="L101" s="13">
        <f>IFERROR(__xludf.DUMMYFUNCTION("AVERAGE(index(GOOGLEFINANCE(""NSE:""&amp;$A101, ""close"", today()-14, today()-1), , 2))"),"#N/A")</f>
        <v/>
      </c>
      <c r="M101" s="13">
        <f>IFERROR(__xludf.DUMMYFUNCTION("AVERAGE(index(GOOGLEFINANCE(""NSE:""&amp;$A101, ""close"", today()-22, today()-1), , 2))"),"#N/A")</f>
        <v/>
      </c>
      <c r="N101" s="13">
        <f>AG101</f>
        <v/>
      </c>
      <c r="O101" s="13">
        <f>AI101</f>
        <v/>
      </c>
      <c r="P101" s="13">
        <f>W101</f>
        <v/>
      </c>
      <c r="Q101" s="13">
        <f>Y101</f>
        <v/>
      </c>
      <c r="R101" s="15" t="n"/>
      <c r="S101" s="15">
        <f>LEFT(W101,2)&amp;LEFT(Y101,2)</f>
        <v/>
      </c>
      <c r="T101" s="15" t="n"/>
      <c r="U101" s="15">
        <f>IF(K101&lt;L101,1,0)</f>
        <v/>
      </c>
      <c r="V101" s="15">
        <f>IF(H101&gt;I101,1,0)</f>
        <v/>
      </c>
      <c r="W101" s="15">
        <f>IF(SUM(U101:V101)=2,"Anticipatory_Sell","No_Action")</f>
        <v/>
      </c>
      <c r="X101" s="15" t="n"/>
      <c r="Y101" s="15">
        <f>IF(SUM(Z101:AA101)=2,"Confirm_Sell","No_Action")</f>
        <v/>
      </c>
      <c r="Z101" s="15">
        <f>IF(H101&gt;I101,1,0)</f>
        <v/>
      </c>
      <c r="AA101" s="15">
        <f>IF(K101&lt;M101,1,0)</f>
        <v/>
      </c>
      <c r="AB101" s="15" t="n"/>
      <c r="AC101" s="15">
        <f>LEFT(AG101,2)&amp;LEFT(AI101,2)</f>
        <v/>
      </c>
      <c r="AD101" s="15" t="n"/>
      <c r="AE101" s="15">
        <f>IF(K101&gt;L101,1,0)</f>
        <v/>
      </c>
      <c r="AF101" s="16">
        <f>IF(H101&gt;I101,1,0)</f>
        <v/>
      </c>
      <c r="AG101" s="16">
        <f>IF(SUM(AE101:AF101)=2,"Anticipatory_Buy","No_Action")</f>
        <v/>
      </c>
      <c r="AH101" s="15" t="n"/>
      <c r="AI101" s="15">
        <f>IF(SUM(AJ101:AK101)=2,"Confirm_Buy","No_Action")</f>
        <v/>
      </c>
      <c r="AJ101" s="15">
        <f>IF(H101&gt;I101,1,0)</f>
        <v/>
      </c>
      <c r="AK101" s="15">
        <f>IF(K101&gt;M101,1,0)</f>
        <v/>
      </c>
    </row>
    <row r="102" ht="14.5" customHeight="1">
      <c r="A102" s="12" t="inlineStr">
        <is>
          <t>EPIGRAL</t>
        </is>
      </c>
      <c r="B102" s="13">
        <f>IFERROR(__xludf.DUMMYFUNCTION("GOOGLEFINANCE(""NSE:""&amp;A102,""PRICE"")"),2118)</f>
        <v/>
      </c>
      <c r="C102" s="13">
        <f>IFERROR(__xludf.DUMMYFUNCTION("GOOGLEFINANCE(""NSE:""&amp;A102,""PRICEOPEN"")"),2084)</f>
        <v/>
      </c>
      <c r="D102" s="13">
        <f>IFERROR(__xludf.DUMMYFUNCTION("GOOGLEFINANCE(""NSE:""&amp;A102,""HIGH"")"),2172.9)</f>
        <v/>
      </c>
      <c r="E102" s="13">
        <f>IFERROR(__xludf.DUMMYFUNCTION("GOOGLEFINANCE(""NSE:""&amp;A102,""LOW"")"),2084)</f>
        <v/>
      </c>
      <c r="F102" s="13">
        <f>IFERROR(__xludf.DUMMYFUNCTION("GOOGLEFINANCE(""NSE:""&amp;A102,""closeyest"")"),2084)</f>
        <v/>
      </c>
      <c r="G102" s="14">
        <f>(B102-C102)/B102</f>
        <v/>
      </c>
      <c r="H102" s="13">
        <f>IFERROR(__xludf.DUMMYFUNCTION("GOOGLEFINANCE(""NSE:""&amp;A102,""VOLUME"")"),66922)</f>
        <v/>
      </c>
      <c r="I102" s="13">
        <f>IFERROR(__xludf.DUMMYFUNCTION("AVERAGE(index(GOOGLEFINANCE(""NSE:""&amp;$A102, ""volume"", today()-21, today()-1), , 2))"),"#N/A")</f>
        <v/>
      </c>
      <c r="J102" s="14">
        <f>(H102-I102)/I102</f>
        <v/>
      </c>
      <c r="K102" s="13">
        <f>IFERROR(__xludf.DUMMYFUNCTION("AVERAGE(index(GOOGLEFINANCE(""NSE:""&amp;$A102, ""close"", today()-6, today()-1), , 2))"),"#N/A")</f>
        <v/>
      </c>
      <c r="L102" s="13">
        <f>IFERROR(__xludf.DUMMYFUNCTION("AVERAGE(index(GOOGLEFINANCE(""NSE:""&amp;$A102, ""close"", today()-14, today()-1), , 2))"),"#N/A")</f>
        <v/>
      </c>
      <c r="M102" s="13">
        <f>IFERROR(__xludf.DUMMYFUNCTION("AVERAGE(index(GOOGLEFINANCE(""NSE:""&amp;$A102, ""close"", today()-22, today()-1), , 2))"),"#N/A")</f>
        <v/>
      </c>
      <c r="N102" s="13">
        <f>AG102</f>
        <v/>
      </c>
      <c r="O102" s="13">
        <f>AI102</f>
        <v/>
      </c>
      <c r="P102" s="13">
        <f>W102</f>
        <v/>
      </c>
      <c r="Q102" s="13">
        <f>Y102</f>
        <v/>
      </c>
      <c r="R102" s="15" t="n"/>
      <c r="S102" s="15">
        <f>LEFT(W102,2)&amp;LEFT(Y102,2)</f>
        <v/>
      </c>
      <c r="T102" s="15" t="n"/>
      <c r="U102" s="15">
        <f>IF(K102&lt;L102,1,0)</f>
        <v/>
      </c>
      <c r="V102" s="15">
        <f>IF(H102&gt;I102,1,0)</f>
        <v/>
      </c>
      <c r="W102" s="15">
        <f>IF(SUM(U102:V102)=2,"Anticipatory_Sell","No_Action")</f>
        <v/>
      </c>
      <c r="X102" s="15" t="n"/>
      <c r="Y102" s="15">
        <f>IF(SUM(Z102:AA102)=2,"Confirm_Sell","No_Action")</f>
        <v/>
      </c>
      <c r="Z102" s="15">
        <f>IF(H102&gt;I102,1,0)</f>
        <v/>
      </c>
      <c r="AA102" s="15">
        <f>IF(K102&lt;M102,1,0)</f>
        <v/>
      </c>
      <c r="AB102" s="15" t="n"/>
      <c r="AC102" s="15">
        <f>LEFT(AG102,2)&amp;LEFT(AI102,2)</f>
        <v/>
      </c>
      <c r="AD102" s="15" t="n"/>
      <c r="AE102" s="15">
        <f>IF(K102&gt;L102,1,0)</f>
        <v/>
      </c>
      <c r="AF102" s="16">
        <f>IF(H102&gt;I102,1,0)</f>
        <v/>
      </c>
      <c r="AG102" s="16">
        <f>IF(SUM(AE102:AF102)=2,"Anticipatory_Buy","No_Action")</f>
        <v/>
      </c>
      <c r="AH102" s="15" t="n"/>
      <c r="AI102" s="15">
        <f>IF(SUM(AJ102:AK102)=2,"Confirm_Buy","No_Action")</f>
        <v/>
      </c>
      <c r="AJ102" s="15">
        <f>IF(H102&gt;I102,1,0)</f>
        <v/>
      </c>
      <c r="AK102" s="15">
        <f>IF(K102&gt;M102,1,0)</f>
        <v/>
      </c>
    </row>
    <row r="103" ht="14.5" customHeight="1">
      <c r="A103" s="12" t="inlineStr">
        <is>
          <t>ERIS</t>
        </is>
      </c>
      <c r="B103" s="13">
        <f>IFERROR(__xludf.DUMMYFUNCTION("GOOGLEFINANCE(""NSE:""&amp;A103,""PRICE"")"),1503.4)</f>
        <v/>
      </c>
      <c r="C103" s="13">
        <f>IFERROR(__xludf.DUMMYFUNCTION("GOOGLEFINANCE(""NSE:""&amp;A103,""PRICEOPEN"")"),1464.3)</f>
        <v/>
      </c>
      <c r="D103" s="13">
        <f>IFERROR(__xludf.DUMMYFUNCTION("GOOGLEFINANCE(""NSE:""&amp;A103,""HIGH"")"),1508.9)</f>
        <v/>
      </c>
      <c r="E103" s="13">
        <f>IFERROR(__xludf.DUMMYFUNCTION("GOOGLEFINANCE(""NSE:""&amp;A103,""LOW"")"),1459)</f>
        <v/>
      </c>
      <c r="F103" s="13">
        <f>IFERROR(__xludf.DUMMYFUNCTION("GOOGLEFINANCE(""NSE:""&amp;A103,""closeyest"")"),1458.6)</f>
        <v/>
      </c>
      <c r="G103" s="14">
        <f>(B103-C103)/B103</f>
        <v/>
      </c>
      <c r="H103" s="13">
        <f>IFERROR(__xludf.DUMMYFUNCTION("GOOGLEFINANCE(""NSE:""&amp;A103,""VOLUME"")"),123427)</f>
        <v/>
      </c>
      <c r="I103" s="13">
        <f>IFERROR(__xludf.DUMMYFUNCTION("AVERAGE(index(GOOGLEFINANCE(""NSE:""&amp;$A103, ""volume"", today()-21, today()-1), , 2))"),"#N/A")</f>
        <v/>
      </c>
      <c r="J103" s="14">
        <f>(H103-I103)/I103</f>
        <v/>
      </c>
      <c r="K103" s="13">
        <f>IFERROR(__xludf.DUMMYFUNCTION("AVERAGE(index(GOOGLEFINANCE(""NSE:""&amp;$A103, ""close"", today()-6, today()-1), , 2))"),"#N/A")</f>
        <v/>
      </c>
      <c r="L103" s="13">
        <f>IFERROR(__xludf.DUMMYFUNCTION("AVERAGE(index(GOOGLEFINANCE(""NSE:""&amp;$A103, ""close"", today()-14, today()-1), , 2))"),"#N/A")</f>
        <v/>
      </c>
      <c r="M103" s="13">
        <f>IFERROR(__xludf.DUMMYFUNCTION("AVERAGE(index(GOOGLEFINANCE(""NSE:""&amp;$A103, ""close"", today()-22, today()-1), , 2))"),"#N/A")</f>
        <v/>
      </c>
      <c r="N103" s="13">
        <f>AG103</f>
        <v/>
      </c>
      <c r="O103" s="13">
        <f>AI103</f>
        <v/>
      </c>
      <c r="P103" s="13">
        <f>W103</f>
        <v/>
      </c>
      <c r="Q103" s="13">
        <f>Y103</f>
        <v/>
      </c>
      <c r="R103" s="15" t="n"/>
      <c r="S103" s="15">
        <f>LEFT(W103,2)&amp;LEFT(Y103,2)</f>
        <v/>
      </c>
      <c r="T103" s="15" t="n"/>
      <c r="U103" s="15">
        <f>IF(K103&lt;L103,1,0)</f>
        <v/>
      </c>
      <c r="V103" s="15">
        <f>IF(H103&gt;I103,1,0)</f>
        <v/>
      </c>
      <c r="W103" s="15">
        <f>IF(SUM(U103:V103)=2,"Anticipatory_Sell","No_Action")</f>
        <v/>
      </c>
      <c r="X103" s="15" t="n"/>
      <c r="Y103" s="15">
        <f>IF(SUM(Z103:AA103)=2,"Confirm_Sell","No_Action")</f>
        <v/>
      </c>
      <c r="Z103" s="15">
        <f>IF(H103&gt;I103,1,0)</f>
        <v/>
      </c>
      <c r="AA103" s="15">
        <f>IF(K103&lt;M103,1,0)</f>
        <v/>
      </c>
      <c r="AB103" s="15" t="n"/>
      <c r="AC103" s="15">
        <f>LEFT(AG103,2)&amp;LEFT(AI103,2)</f>
        <v/>
      </c>
      <c r="AD103" s="15" t="n"/>
      <c r="AE103" s="15">
        <f>IF(K103&gt;L103,1,0)</f>
        <v/>
      </c>
      <c r="AF103" s="16">
        <f>IF(H103&gt;I103,1,0)</f>
        <v/>
      </c>
      <c r="AG103" s="16">
        <f>IF(SUM(AE103:AF103)=2,"Anticipatory_Buy","No_Action")</f>
        <v/>
      </c>
      <c r="AH103" s="15" t="n"/>
      <c r="AI103" s="15">
        <f>IF(SUM(AJ103:AK103)=2,"Confirm_Buy","No_Action")</f>
        <v/>
      </c>
      <c r="AJ103" s="15">
        <f>IF(H103&gt;I103,1,0)</f>
        <v/>
      </c>
      <c r="AK103" s="15">
        <f>IF(K103&gt;M103,1,0)</f>
        <v/>
      </c>
    </row>
    <row r="104" ht="14.5" customHeight="1">
      <c r="A104" s="12" t="inlineStr">
        <is>
          <t>ESCORTS</t>
        </is>
      </c>
      <c r="B104" s="13">
        <f>IFERROR(__xludf.DUMMYFUNCTION("GOOGLEFINANCE(""NSE:""&amp;A104,""PRICE"")"),3538)</f>
        <v/>
      </c>
      <c r="C104" s="13">
        <f>IFERROR(__xludf.DUMMYFUNCTION("GOOGLEFINANCE(""NSE:""&amp;A104,""PRICEOPEN"")"),3531)</f>
        <v/>
      </c>
      <c r="D104" s="13">
        <f>IFERROR(__xludf.DUMMYFUNCTION("GOOGLEFINANCE(""NSE:""&amp;A104,""HIGH"")"),3580)</f>
        <v/>
      </c>
      <c r="E104" s="13">
        <f>IFERROR(__xludf.DUMMYFUNCTION("GOOGLEFINANCE(""NSE:""&amp;A104,""LOW"")"),3521.55)</f>
        <v/>
      </c>
      <c r="F104" s="13">
        <f>IFERROR(__xludf.DUMMYFUNCTION("GOOGLEFINANCE(""NSE:""&amp;A104,""closeyest"")"),3524.8)</f>
        <v/>
      </c>
      <c r="G104" s="14">
        <f>(B104-C104)/B104</f>
        <v/>
      </c>
      <c r="H104" s="13">
        <f>IFERROR(__xludf.DUMMYFUNCTION("GOOGLEFINANCE(""NSE:""&amp;A104,""VOLUME"")"),133373)</f>
        <v/>
      </c>
      <c r="I104" s="13">
        <f>IFERROR(__xludf.DUMMYFUNCTION("AVERAGE(index(GOOGLEFINANCE(""NSE:""&amp;$A104, ""volume"", today()-21, today()-1), , 2))"),"#N/A")</f>
        <v/>
      </c>
      <c r="J104" s="14">
        <f>(H104-I104)/I104</f>
        <v/>
      </c>
      <c r="K104" s="13">
        <f>IFERROR(__xludf.DUMMYFUNCTION("AVERAGE(index(GOOGLEFINANCE(""NSE:""&amp;$A104, ""close"", today()-6, today()-1), , 2))"),"#N/A")</f>
        <v/>
      </c>
      <c r="L104" s="13">
        <f>IFERROR(__xludf.DUMMYFUNCTION("AVERAGE(index(GOOGLEFINANCE(""NSE:""&amp;$A104, ""close"", today()-14, today()-1), , 2))"),"#N/A")</f>
        <v/>
      </c>
      <c r="M104" s="13">
        <f>IFERROR(__xludf.DUMMYFUNCTION("AVERAGE(index(GOOGLEFINANCE(""NSE:""&amp;$A104, ""close"", today()-22, today()-1), , 2))"),"#N/A")</f>
        <v/>
      </c>
      <c r="N104" s="13">
        <f>AG104</f>
        <v/>
      </c>
      <c r="O104" s="13">
        <f>AI104</f>
        <v/>
      </c>
      <c r="P104" s="13">
        <f>W104</f>
        <v/>
      </c>
      <c r="Q104" s="13">
        <f>Y104</f>
        <v/>
      </c>
      <c r="R104" s="15" t="n"/>
      <c r="S104" s="15">
        <f>LEFT(W104,2)&amp;LEFT(Y104,2)</f>
        <v/>
      </c>
      <c r="T104" s="15" t="n"/>
      <c r="U104" s="15">
        <f>IF(K104&lt;L104,1,0)</f>
        <v/>
      </c>
      <c r="V104" s="15">
        <f>IF(H104&gt;I104,1,0)</f>
        <v/>
      </c>
      <c r="W104" s="15">
        <f>IF(SUM(U104:V104)=2,"Anticipatory_Sell","No_Action")</f>
        <v/>
      </c>
      <c r="X104" s="15" t="n"/>
      <c r="Y104" s="15">
        <f>IF(SUM(Z104:AA104)=2,"Confirm_Sell","No_Action")</f>
        <v/>
      </c>
      <c r="Z104" s="15">
        <f>IF(H104&gt;I104,1,0)</f>
        <v/>
      </c>
      <c r="AA104" s="15">
        <f>IF(K104&lt;M104,1,0)</f>
        <v/>
      </c>
      <c r="AB104" s="15" t="n"/>
      <c r="AC104" s="15">
        <f>LEFT(AG104,2)&amp;LEFT(AI104,2)</f>
        <v/>
      </c>
      <c r="AD104" s="15" t="n"/>
      <c r="AE104" s="15">
        <f>IF(K104&gt;L104,1,0)</f>
        <v/>
      </c>
      <c r="AF104" s="16">
        <f>IF(H104&gt;I104,1,0)</f>
        <v/>
      </c>
      <c r="AG104" s="16">
        <f>IF(SUM(AE104:AF104)=2,"Anticipatory_Buy","No_Action")</f>
        <v/>
      </c>
      <c r="AH104" s="15" t="n"/>
      <c r="AI104" s="15">
        <f>IF(SUM(AJ104:AK104)=2,"Confirm_Buy","No_Action")</f>
        <v/>
      </c>
      <c r="AJ104" s="15">
        <f>IF(H104&gt;I104,1,0)</f>
        <v/>
      </c>
      <c r="AK104" s="15">
        <f>IF(K104&gt;M104,1,0)</f>
        <v/>
      </c>
    </row>
    <row r="105" ht="14.5" customHeight="1">
      <c r="A105" s="12" t="inlineStr">
        <is>
          <t>EKC</t>
        </is>
      </c>
      <c r="B105" s="13">
        <f>IFERROR(__xludf.DUMMYFUNCTION("GOOGLEFINANCE(""NSE:""&amp;A105,""PRICE"")"),225.84)</f>
        <v/>
      </c>
      <c r="C105" s="13">
        <f>IFERROR(__xludf.DUMMYFUNCTION("GOOGLEFINANCE(""NSE:""&amp;A105,""PRICEOPEN"")"),225.85)</f>
        <v/>
      </c>
      <c r="D105" s="13">
        <f>IFERROR(__xludf.DUMMYFUNCTION("GOOGLEFINANCE(""NSE:""&amp;A105,""HIGH"")"),231.57)</f>
        <v/>
      </c>
      <c r="E105" s="13">
        <f>IFERROR(__xludf.DUMMYFUNCTION("GOOGLEFINANCE(""NSE:""&amp;A105,""LOW"")"),223.9)</f>
        <v/>
      </c>
      <c r="F105" s="13">
        <f>IFERROR(__xludf.DUMMYFUNCTION("GOOGLEFINANCE(""NSE:""&amp;A105,""closeyest"")"),225.57)</f>
        <v/>
      </c>
      <c r="G105" s="14">
        <f>(B105-C105)/B105</f>
        <v/>
      </c>
      <c r="H105" s="13">
        <f>IFERROR(__xludf.DUMMYFUNCTION("GOOGLEFINANCE(""NSE:""&amp;A105,""VOLUME"")"),2182376)</f>
        <v/>
      </c>
      <c r="I105" s="13">
        <f>IFERROR(__xludf.DUMMYFUNCTION("AVERAGE(index(GOOGLEFINANCE(""NSE:""&amp;$A105, ""volume"", today()-21, today()-1), , 2))"),"#N/A")</f>
        <v/>
      </c>
      <c r="J105" s="14">
        <f>(H105-I105)/I105</f>
        <v/>
      </c>
      <c r="K105" s="13">
        <f>IFERROR(__xludf.DUMMYFUNCTION("AVERAGE(index(GOOGLEFINANCE(""NSE:""&amp;$A105, ""close"", today()-6, today()-1), , 2))"),"#N/A")</f>
        <v/>
      </c>
      <c r="L105" s="13">
        <f>IFERROR(__xludf.DUMMYFUNCTION("AVERAGE(index(GOOGLEFINANCE(""NSE:""&amp;$A105, ""close"", today()-14, today()-1), , 2))"),"#N/A")</f>
        <v/>
      </c>
      <c r="M105" s="13">
        <f>IFERROR(__xludf.DUMMYFUNCTION("AVERAGE(index(GOOGLEFINANCE(""NSE:""&amp;$A105, ""close"", today()-22, today()-1), , 2))"),"#N/A")</f>
        <v/>
      </c>
      <c r="N105" s="13">
        <f>AG105</f>
        <v/>
      </c>
      <c r="O105" s="13">
        <f>AI105</f>
        <v/>
      </c>
      <c r="P105" s="13">
        <f>W105</f>
        <v/>
      </c>
      <c r="Q105" s="13">
        <f>Y105</f>
        <v/>
      </c>
      <c r="R105" s="15" t="n"/>
      <c r="S105" s="15">
        <f>LEFT(W105,2)&amp;LEFT(Y105,2)</f>
        <v/>
      </c>
      <c r="T105" s="15" t="n"/>
      <c r="U105" s="15">
        <f>IF(K105&lt;L105,1,0)</f>
        <v/>
      </c>
      <c r="V105" s="15">
        <f>IF(H105&gt;I105,1,0)</f>
        <v/>
      </c>
      <c r="W105" s="15">
        <f>IF(SUM(U105:V105)=2,"Anticipatory_Sell","No_Action")</f>
        <v/>
      </c>
      <c r="X105" s="15" t="n"/>
      <c r="Y105" s="15">
        <f>IF(SUM(Z105:AA105)=2,"Confirm_Sell","No_Action")</f>
        <v/>
      </c>
      <c r="Z105" s="15">
        <f>IF(H105&gt;I105,1,0)</f>
        <v/>
      </c>
      <c r="AA105" s="15">
        <f>IF(K105&lt;M105,1,0)</f>
        <v/>
      </c>
      <c r="AB105" s="15" t="n"/>
      <c r="AC105" s="15">
        <f>LEFT(AG105,2)&amp;LEFT(AI105,2)</f>
        <v/>
      </c>
      <c r="AD105" s="15" t="n"/>
      <c r="AE105" s="15">
        <f>IF(K105&gt;L105,1,0)</f>
        <v/>
      </c>
      <c r="AF105" s="16">
        <f>IF(H105&gt;I105,1,0)</f>
        <v/>
      </c>
      <c r="AG105" s="16">
        <f>IF(SUM(AE105:AF105)=2,"Anticipatory_Buy","No_Action")</f>
        <v/>
      </c>
      <c r="AH105" s="15" t="n"/>
      <c r="AI105" s="15">
        <f>IF(SUM(AJ105:AK105)=2,"Confirm_Buy","No_Action")</f>
        <v/>
      </c>
      <c r="AJ105" s="15">
        <f>IF(H105&gt;I105,1,0)</f>
        <v/>
      </c>
      <c r="AK105" s="15">
        <f>IF(K105&gt;M105,1,0)</f>
        <v/>
      </c>
    </row>
    <row r="106" ht="14.5" customHeight="1">
      <c r="A106" s="12" t="inlineStr">
        <is>
          <t>FAZE3Q</t>
        </is>
      </c>
      <c r="B106" s="13">
        <f>IFERROR(__xludf.DUMMYFUNCTION("GOOGLEFINANCE(""NSE:""&amp;A106,""PRICE"")"),448)</f>
        <v/>
      </c>
      <c r="C106" s="13">
        <f>IFERROR(__xludf.DUMMYFUNCTION("GOOGLEFINANCE(""NSE:""&amp;A106,""PRICEOPEN"")"),443.85)</f>
        <v/>
      </c>
      <c r="D106" s="13">
        <f>IFERROR(__xludf.DUMMYFUNCTION("GOOGLEFINANCE(""NSE:""&amp;A106,""HIGH"")"),454.5)</f>
        <v/>
      </c>
      <c r="E106" s="13">
        <f>IFERROR(__xludf.DUMMYFUNCTION("GOOGLEFINANCE(""NSE:""&amp;A106,""LOW"")"),435.6)</f>
        <v/>
      </c>
      <c r="F106" s="13">
        <f>IFERROR(__xludf.DUMMYFUNCTION("GOOGLEFINANCE(""NSE:""&amp;A106,""closeyest"")"),437.7)</f>
        <v/>
      </c>
      <c r="G106" s="14">
        <f>(B106-C106)/B106</f>
        <v/>
      </c>
      <c r="H106" s="13">
        <f>IFERROR(__xludf.DUMMYFUNCTION("GOOGLEFINANCE(""NSE:""&amp;A106,""VOLUME"")"),21224)</f>
        <v/>
      </c>
      <c r="I106" s="13">
        <f>IFERROR(__xludf.DUMMYFUNCTION("AVERAGE(index(GOOGLEFINANCE(""NSE:""&amp;$A106, ""volume"", today()-21, today()-1), , 2))"),"#N/A")</f>
        <v/>
      </c>
      <c r="J106" s="14">
        <f>(H106-I106)/I106</f>
        <v/>
      </c>
      <c r="K106" s="13">
        <f>IFERROR(__xludf.DUMMYFUNCTION("AVERAGE(index(GOOGLEFINANCE(""NSE:""&amp;$A106, ""close"", today()-6, today()-1), , 2))"),"#N/A")</f>
        <v/>
      </c>
      <c r="L106" s="13">
        <f>IFERROR(__xludf.DUMMYFUNCTION("AVERAGE(index(GOOGLEFINANCE(""NSE:""&amp;$A106, ""close"", today()-14, today()-1), , 2))"),"#N/A")</f>
        <v/>
      </c>
      <c r="M106" s="13">
        <f>IFERROR(__xludf.DUMMYFUNCTION("AVERAGE(index(GOOGLEFINANCE(""NSE:""&amp;$A106, ""close"", today()-22, today()-1), , 2))"),"#N/A")</f>
        <v/>
      </c>
      <c r="N106" s="13">
        <f>AG106</f>
        <v/>
      </c>
      <c r="O106" s="13">
        <f>AI106</f>
        <v/>
      </c>
      <c r="P106" s="13">
        <f>W106</f>
        <v/>
      </c>
      <c r="Q106" s="13">
        <f>Y106</f>
        <v/>
      </c>
      <c r="R106" s="15" t="n"/>
      <c r="S106" s="15">
        <f>LEFT(W106,2)&amp;LEFT(Y106,2)</f>
        <v/>
      </c>
      <c r="T106" s="15" t="n"/>
      <c r="U106" s="15">
        <f>IF(K106&lt;L106,1,0)</f>
        <v/>
      </c>
      <c r="V106" s="15">
        <f>IF(H106&gt;I106,1,0)</f>
        <v/>
      </c>
      <c r="W106" s="15">
        <f>IF(SUM(U106:V106)=2,"Anticipatory_Sell","No_Action")</f>
        <v/>
      </c>
      <c r="X106" s="15" t="n"/>
      <c r="Y106" s="15">
        <f>IF(SUM(Z106:AA106)=2,"Confirm_Sell","No_Action")</f>
        <v/>
      </c>
      <c r="Z106" s="15">
        <f>IF(H106&gt;I106,1,0)</f>
        <v/>
      </c>
      <c r="AA106" s="15">
        <f>IF(K106&lt;M106,1,0)</f>
        <v/>
      </c>
      <c r="AB106" s="15" t="n"/>
      <c r="AC106" s="15">
        <f>LEFT(AG106,2)&amp;LEFT(AI106,2)</f>
        <v/>
      </c>
      <c r="AD106" s="15" t="n"/>
      <c r="AE106" s="15">
        <f>IF(K106&gt;L106,1,0)</f>
        <v/>
      </c>
      <c r="AF106" s="16">
        <f>IF(H106&gt;I106,1,0)</f>
        <v/>
      </c>
      <c r="AG106" s="16">
        <f>IF(SUM(AE106:AF106)=2,"Anticipatory_Buy","No_Action")</f>
        <v/>
      </c>
      <c r="AH106" s="15" t="n"/>
      <c r="AI106" s="15">
        <f>IF(SUM(AJ106:AK106)=2,"Confirm_Buy","No_Action")</f>
        <v/>
      </c>
      <c r="AJ106" s="15">
        <f>IF(H106&gt;I106,1,0)</f>
        <v/>
      </c>
      <c r="AK106" s="15">
        <f>IF(K106&gt;M106,1,0)</f>
        <v/>
      </c>
    </row>
    <row r="107" ht="14.5" customHeight="1">
      <c r="A107" s="12" t="inlineStr">
        <is>
          <t>FDC</t>
        </is>
      </c>
      <c r="B107" s="13">
        <f>IFERROR(__xludf.DUMMYFUNCTION("GOOGLEFINANCE(""NSE:""&amp;A107,""PRICE"")"),512.5)</f>
        <v/>
      </c>
      <c r="C107" s="13">
        <f>IFERROR(__xludf.DUMMYFUNCTION("GOOGLEFINANCE(""NSE:""&amp;A107,""PRICEOPEN"")"),514)</f>
        <v/>
      </c>
      <c r="D107" s="13">
        <f>IFERROR(__xludf.DUMMYFUNCTION("GOOGLEFINANCE(""NSE:""&amp;A107,""HIGH"")"),519)</f>
        <v/>
      </c>
      <c r="E107" s="13">
        <f>IFERROR(__xludf.DUMMYFUNCTION("GOOGLEFINANCE(""NSE:""&amp;A107,""LOW"")"),508.8)</f>
        <v/>
      </c>
      <c r="F107" s="13">
        <f>IFERROR(__xludf.DUMMYFUNCTION("GOOGLEFINANCE(""NSE:""&amp;A107,""closeyest"")"),514.65)</f>
        <v/>
      </c>
      <c r="G107" s="14">
        <f>(B107-C107)/B107</f>
        <v/>
      </c>
      <c r="H107" s="13">
        <f>IFERROR(__xludf.DUMMYFUNCTION("GOOGLEFINANCE(""NSE:""&amp;A107,""VOLUME"")"),56880)</f>
        <v/>
      </c>
      <c r="I107" s="13">
        <f>IFERROR(__xludf.DUMMYFUNCTION("AVERAGE(index(GOOGLEFINANCE(""NSE:""&amp;$A107, ""volume"", today()-21, today()-1), , 2))"),"#N/A")</f>
        <v/>
      </c>
      <c r="J107" s="14">
        <f>(H107-I107)/I107</f>
        <v/>
      </c>
      <c r="K107" s="13">
        <f>IFERROR(__xludf.DUMMYFUNCTION("AVERAGE(index(GOOGLEFINANCE(""NSE:""&amp;$A107, ""close"", today()-6, today()-1), , 2))"),"#N/A")</f>
        <v/>
      </c>
      <c r="L107" s="13">
        <f>IFERROR(__xludf.DUMMYFUNCTION("AVERAGE(index(GOOGLEFINANCE(""NSE:""&amp;$A107, ""close"", today()-14, today()-1), , 2))"),"#N/A")</f>
        <v/>
      </c>
      <c r="M107" s="13">
        <f>IFERROR(__xludf.DUMMYFUNCTION("AVERAGE(index(GOOGLEFINANCE(""NSE:""&amp;$A107, ""close"", today()-22, today()-1), , 2))"),"#N/A")</f>
        <v/>
      </c>
      <c r="N107" s="13">
        <f>AG107</f>
        <v/>
      </c>
      <c r="O107" s="13">
        <f>AI107</f>
        <v/>
      </c>
      <c r="P107" s="13">
        <f>W107</f>
        <v/>
      </c>
      <c r="Q107" s="13">
        <f>Y107</f>
        <v/>
      </c>
      <c r="R107" s="15" t="n"/>
      <c r="S107" s="15">
        <f>LEFT(W107,2)&amp;LEFT(Y107,2)</f>
        <v/>
      </c>
      <c r="T107" s="15" t="n"/>
      <c r="U107" s="15">
        <f>IF(K107&lt;L107,1,0)</f>
        <v/>
      </c>
      <c r="V107" s="15">
        <f>IF(H107&gt;I107,1,0)</f>
        <v/>
      </c>
      <c r="W107" s="15">
        <f>IF(SUM(U107:V107)=2,"Anticipatory_Sell","No_Action")</f>
        <v/>
      </c>
      <c r="X107" s="15" t="n"/>
      <c r="Y107" s="15">
        <f>IF(SUM(Z107:AA107)=2,"Confirm_Sell","No_Action")</f>
        <v/>
      </c>
      <c r="Z107" s="15">
        <f>IF(H107&gt;I107,1,0)</f>
        <v/>
      </c>
      <c r="AA107" s="15">
        <f>IF(K107&lt;M107,1,0)</f>
        <v/>
      </c>
      <c r="AB107" s="15" t="n"/>
      <c r="AC107" s="15">
        <f>LEFT(AG107,2)&amp;LEFT(AI107,2)</f>
        <v/>
      </c>
      <c r="AD107" s="15" t="n"/>
      <c r="AE107" s="15">
        <f>IF(K107&gt;L107,1,0)</f>
        <v/>
      </c>
      <c r="AF107" s="16">
        <f>IF(H107&gt;I107,1,0)</f>
        <v/>
      </c>
      <c r="AG107" s="16">
        <f>IF(SUM(AE107:AF107)=2,"Anticipatory_Buy","No_Action")</f>
        <v/>
      </c>
      <c r="AH107" s="15" t="n"/>
      <c r="AI107" s="15">
        <f>IF(SUM(AJ107:AK107)=2,"Confirm_Buy","No_Action")</f>
        <v/>
      </c>
      <c r="AJ107" s="15">
        <f>IF(H107&gt;I107,1,0)</f>
        <v/>
      </c>
      <c r="AK107" s="15">
        <f>IF(K107&gt;M107,1,0)</f>
        <v/>
      </c>
    </row>
    <row r="108" ht="14.5" customHeight="1">
      <c r="A108" s="12" t="inlineStr">
        <is>
          <t>FEDERALBNK</t>
        </is>
      </c>
      <c r="B108" s="13">
        <f>IFERROR(__xludf.DUMMYFUNCTION("GOOGLEFINANCE(""NSE:""&amp;A108,""PRICE"")"),213.89)</f>
        <v/>
      </c>
      <c r="C108" s="13">
        <f>IFERROR(__xludf.DUMMYFUNCTION("GOOGLEFINANCE(""NSE:""&amp;A108,""PRICEOPEN"")"),214.05)</f>
        <v/>
      </c>
      <c r="D108" s="13">
        <f>IFERROR(__xludf.DUMMYFUNCTION("GOOGLEFINANCE(""NSE:""&amp;A108,""HIGH"")"),215.17)</f>
        <v/>
      </c>
      <c r="E108" s="13">
        <f>IFERROR(__xludf.DUMMYFUNCTION("GOOGLEFINANCE(""NSE:""&amp;A108,""LOW"")"),212.31)</f>
        <v/>
      </c>
      <c r="F108" s="13">
        <f>IFERROR(__xludf.DUMMYFUNCTION("GOOGLEFINANCE(""NSE:""&amp;A108,""closeyest"")"),213.4)</f>
        <v/>
      </c>
      <c r="G108" s="14">
        <f>(B108-C108)/B108</f>
        <v/>
      </c>
      <c r="H108" s="13">
        <f>IFERROR(__xludf.DUMMYFUNCTION("GOOGLEFINANCE(""NSE:""&amp;A108,""VOLUME"")"),4922985)</f>
        <v/>
      </c>
      <c r="I108" s="13">
        <f>IFERROR(__xludf.DUMMYFUNCTION("AVERAGE(index(GOOGLEFINANCE(""NSE:""&amp;$A108, ""volume"", today()-21, today()-1), , 2))"),"#N/A")</f>
        <v/>
      </c>
      <c r="J108" s="14">
        <f>(H108-I108)/I108</f>
        <v/>
      </c>
      <c r="K108" s="13">
        <f>IFERROR(__xludf.DUMMYFUNCTION("AVERAGE(index(GOOGLEFINANCE(""NSE:""&amp;$A108, ""close"", today()-6, today()-1), , 2))"),"#N/A")</f>
        <v/>
      </c>
      <c r="L108" s="13">
        <f>IFERROR(__xludf.DUMMYFUNCTION("AVERAGE(index(GOOGLEFINANCE(""NSE:""&amp;$A108, ""close"", today()-14, today()-1), , 2))"),"#N/A")</f>
        <v/>
      </c>
      <c r="M108" s="13">
        <f>IFERROR(__xludf.DUMMYFUNCTION("AVERAGE(index(GOOGLEFINANCE(""NSE:""&amp;$A108, ""close"", today()-22, today()-1), , 2))"),"#N/A")</f>
        <v/>
      </c>
      <c r="N108" s="13">
        <f>AG108</f>
        <v/>
      </c>
      <c r="O108" s="13">
        <f>AI108</f>
        <v/>
      </c>
      <c r="P108" s="13">
        <f>W108</f>
        <v/>
      </c>
      <c r="Q108" s="13">
        <f>Y108</f>
        <v/>
      </c>
      <c r="R108" s="15" t="n"/>
      <c r="S108" s="15">
        <f>LEFT(W108,2)&amp;LEFT(Y108,2)</f>
        <v/>
      </c>
      <c r="T108" s="15" t="n"/>
      <c r="U108" s="15">
        <f>IF(K108&lt;L108,1,0)</f>
        <v/>
      </c>
      <c r="V108" s="15">
        <f>IF(H108&gt;I108,1,0)</f>
        <v/>
      </c>
      <c r="W108" s="15">
        <f>IF(SUM(U108:V108)=2,"Anticipatory_Sell","No_Action")</f>
        <v/>
      </c>
      <c r="X108" s="15" t="n"/>
      <c r="Y108" s="15">
        <f>IF(SUM(Z108:AA108)=2,"Confirm_Sell","No_Action")</f>
        <v/>
      </c>
      <c r="Z108" s="15">
        <f>IF(H108&gt;I108,1,0)</f>
        <v/>
      </c>
      <c r="AA108" s="15">
        <f>IF(K108&lt;M108,1,0)</f>
        <v/>
      </c>
      <c r="AB108" s="15" t="n"/>
      <c r="AC108" s="15">
        <f>LEFT(AG108,2)&amp;LEFT(AI108,2)</f>
        <v/>
      </c>
      <c r="AD108" s="15" t="n"/>
      <c r="AE108" s="15">
        <f>IF(K108&gt;L108,1,0)</f>
        <v/>
      </c>
      <c r="AF108" s="16">
        <f>IF(H108&gt;I108,1,0)</f>
        <v/>
      </c>
      <c r="AG108" s="16">
        <f>IF(SUM(AE108:AF108)=2,"Anticipatory_Buy","No_Action")</f>
        <v/>
      </c>
      <c r="AH108" s="15" t="n"/>
      <c r="AI108" s="15">
        <f>IF(SUM(AJ108:AK108)=2,"Confirm_Buy","No_Action")</f>
        <v/>
      </c>
      <c r="AJ108" s="15">
        <f>IF(H108&gt;I108,1,0)</f>
        <v/>
      </c>
      <c r="AK108" s="15">
        <f>IF(K108&gt;M108,1,0)</f>
        <v/>
      </c>
    </row>
    <row r="109" ht="14.5" customHeight="1">
      <c r="A109" s="12" t="inlineStr">
        <is>
          <t>FINEORG</t>
        </is>
      </c>
      <c r="B109" s="13">
        <f>IFERROR(__xludf.DUMMYFUNCTION("GOOGLEFINANCE(""NSE:""&amp;A109,""PRICE"")"),5098.05)</f>
        <v/>
      </c>
      <c r="C109" s="13">
        <f>IFERROR(__xludf.DUMMYFUNCTION("GOOGLEFINANCE(""NSE:""&amp;A109,""PRICEOPEN"")"),5105.8)</f>
        <v/>
      </c>
      <c r="D109" s="13">
        <f>IFERROR(__xludf.DUMMYFUNCTION("GOOGLEFINANCE(""NSE:""&amp;A109,""HIGH"")"),5150)</f>
        <v/>
      </c>
      <c r="E109" s="13">
        <f>IFERROR(__xludf.DUMMYFUNCTION("GOOGLEFINANCE(""NSE:""&amp;A109,""LOW"")"),5060.75)</f>
        <v/>
      </c>
      <c r="F109" s="13">
        <f>IFERROR(__xludf.DUMMYFUNCTION("GOOGLEFINANCE(""NSE:""&amp;A109,""closeyest"")"),5115.8)</f>
        <v/>
      </c>
      <c r="G109" s="14">
        <f>(B109-C109)/B109</f>
        <v/>
      </c>
      <c r="H109" s="13">
        <f>IFERROR(__xludf.DUMMYFUNCTION("GOOGLEFINANCE(""NSE:""&amp;A109,""VOLUME"")"),9280)</f>
        <v/>
      </c>
      <c r="I109" s="13">
        <f>IFERROR(__xludf.DUMMYFUNCTION("AVERAGE(index(GOOGLEFINANCE(""NSE:""&amp;$A109, ""volume"", today()-21, today()-1), , 2))"),"#N/A")</f>
        <v/>
      </c>
      <c r="J109" s="14">
        <f>(H109-I109)/I109</f>
        <v/>
      </c>
      <c r="K109" s="13">
        <f>IFERROR(__xludf.DUMMYFUNCTION("AVERAGE(index(GOOGLEFINANCE(""NSE:""&amp;$A109, ""close"", today()-6, today()-1), , 2))"),"#N/A")</f>
        <v/>
      </c>
      <c r="L109" s="13">
        <f>IFERROR(__xludf.DUMMYFUNCTION("AVERAGE(index(GOOGLEFINANCE(""NSE:""&amp;$A109, ""close"", today()-14, today()-1), , 2))"),"#N/A")</f>
        <v/>
      </c>
      <c r="M109" s="13">
        <f>IFERROR(__xludf.DUMMYFUNCTION("AVERAGE(index(GOOGLEFINANCE(""NSE:""&amp;$A109, ""close"", today()-22, today()-1), , 2))"),"#N/A")</f>
        <v/>
      </c>
      <c r="N109" s="13">
        <f>AG109</f>
        <v/>
      </c>
      <c r="O109" s="13">
        <f>AI109</f>
        <v/>
      </c>
      <c r="P109" s="13">
        <f>W109</f>
        <v/>
      </c>
      <c r="Q109" s="13">
        <f>Y109</f>
        <v/>
      </c>
      <c r="R109" s="15" t="n"/>
      <c r="S109" s="15">
        <f>LEFT(W109,2)&amp;LEFT(Y109,2)</f>
        <v/>
      </c>
      <c r="T109" s="15" t="n"/>
      <c r="U109" s="15">
        <f>IF(K109&lt;L109,1,0)</f>
        <v/>
      </c>
      <c r="V109" s="15">
        <f>IF(H109&gt;I109,1,0)</f>
        <v/>
      </c>
      <c r="W109" s="15">
        <f>IF(SUM(U109:V109)=2,"Anticipatory_Sell","No_Action")</f>
        <v/>
      </c>
      <c r="X109" s="15" t="n"/>
      <c r="Y109" s="15">
        <f>IF(SUM(Z109:AA109)=2,"Confirm_Sell","No_Action")</f>
        <v/>
      </c>
      <c r="Z109" s="15">
        <f>IF(H109&gt;I109,1,0)</f>
        <v/>
      </c>
      <c r="AA109" s="15">
        <f>IF(K109&lt;M109,1,0)</f>
        <v/>
      </c>
      <c r="AB109" s="15" t="n"/>
      <c r="AC109" s="15">
        <f>LEFT(AG109,2)&amp;LEFT(AI109,2)</f>
        <v/>
      </c>
      <c r="AD109" s="15" t="n"/>
      <c r="AE109" s="15">
        <f>IF(K109&gt;L109,1,0)</f>
        <v/>
      </c>
      <c r="AF109" s="16">
        <f>IF(H109&gt;I109,1,0)</f>
        <v/>
      </c>
      <c r="AG109" s="16">
        <f>IF(SUM(AE109:AF109)=2,"Anticipatory_Buy","No_Action")</f>
        <v/>
      </c>
      <c r="AH109" s="15" t="n"/>
      <c r="AI109" s="15">
        <f>IF(SUM(AJ109:AK109)=2,"Confirm_Buy","No_Action")</f>
        <v/>
      </c>
      <c r="AJ109" s="15">
        <f>IF(H109&gt;I109,1,0)</f>
        <v/>
      </c>
      <c r="AK109" s="15">
        <f>IF(K109&gt;M109,1,0)</f>
        <v/>
      </c>
    </row>
    <row r="110" ht="14.5" customHeight="1">
      <c r="A110" s="12" t="inlineStr">
        <is>
          <t>FCL</t>
        </is>
      </c>
      <c r="B110" s="13">
        <f>IFERROR(__xludf.DUMMYFUNCTION("GOOGLEFINANCE(""NSE:""&amp;A110,""PRICE"")"),351.6)</f>
        <v/>
      </c>
      <c r="C110" s="13">
        <f>IFERROR(__xludf.DUMMYFUNCTION("GOOGLEFINANCE(""NSE:""&amp;A110,""PRICEOPEN"")"),360)</f>
        <v/>
      </c>
      <c r="D110" s="13">
        <f>IFERROR(__xludf.DUMMYFUNCTION("GOOGLEFINANCE(""NSE:""&amp;A110,""HIGH"")"),361.9)</f>
        <v/>
      </c>
      <c r="E110" s="13">
        <f>IFERROR(__xludf.DUMMYFUNCTION("GOOGLEFINANCE(""NSE:""&amp;A110,""LOW"")"),343.95)</f>
        <v/>
      </c>
      <c r="F110" s="13">
        <f>IFERROR(__xludf.DUMMYFUNCTION("GOOGLEFINANCE(""NSE:""&amp;A110,""closeyest"")"),356.35)</f>
        <v/>
      </c>
      <c r="G110" s="14">
        <f>(B110-C110)/B110</f>
        <v/>
      </c>
      <c r="H110" s="13">
        <f>IFERROR(__xludf.DUMMYFUNCTION("GOOGLEFINANCE(""NSE:""&amp;A110,""VOLUME"")"),191658)</f>
        <v/>
      </c>
      <c r="I110" s="13">
        <f>IFERROR(__xludf.DUMMYFUNCTION("AVERAGE(index(GOOGLEFINANCE(""NSE:""&amp;$A110, ""volume"", today()-21, today()-1), , 2))"),"#N/A")</f>
        <v/>
      </c>
      <c r="J110" s="14">
        <f>(H110-I110)/I110</f>
        <v/>
      </c>
      <c r="K110" s="13">
        <f>IFERROR(__xludf.DUMMYFUNCTION("AVERAGE(index(GOOGLEFINANCE(""NSE:""&amp;$A110, ""close"", today()-6, today()-1), , 2))"),"#N/A")</f>
        <v/>
      </c>
      <c r="L110" s="13">
        <f>IFERROR(__xludf.DUMMYFUNCTION("AVERAGE(index(GOOGLEFINANCE(""NSE:""&amp;$A110, ""close"", today()-14, today()-1), , 2))"),"#N/A")</f>
        <v/>
      </c>
      <c r="M110" s="13">
        <f>IFERROR(__xludf.DUMMYFUNCTION("AVERAGE(index(GOOGLEFINANCE(""NSE:""&amp;$A110, ""close"", today()-22, today()-1), , 2))"),"#N/A")</f>
        <v/>
      </c>
      <c r="N110" s="13">
        <f>AG110</f>
        <v/>
      </c>
      <c r="O110" s="13">
        <f>AI110</f>
        <v/>
      </c>
      <c r="P110" s="13">
        <f>W110</f>
        <v/>
      </c>
      <c r="Q110" s="13">
        <f>Y110</f>
        <v/>
      </c>
      <c r="R110" s="15" t="n"/>
      <c r="S110" s="15">
        <f>LEFT(W110,2)&amp;LEFT(Y110,2)</f>
        <v/>
      </c>
      <c r="T110" s="15" t="n"/>
      <c r="U110" s="15">
        <f>IF(K110&lt;L110,1,0)</f>
        <v/>
      </c>
      <c r="V110" s="15">
        <f>IF(H110&gt;I110,1,0)</f>
        <v/>
      </c>
      <c r="W110" s="15">
        <f>IF(SUM(U110:V110)=2,"Anticipatory_Sell","No_Action")</f>
        <v/>
      </c>
      <c r="X110" s="15" t="n"/>
      <c r="Y110" s="15">
        <f>IF(SUM(Z110:AA110)=2,"Confirm_Sell","No_Action")</f>
        <v/>
      </c>
      <c r="Z110" s="15">
        <f>IF(H110&gt;I110,1,0)</f>
        <v/>
      </c>
      <c r="AA110" s="15">
        <f>IF(K110&lt;M110,1,0)</f>
        <v/>
      </c>
      <c r="AB110" s="15" t="n"/>
      <c r="AC110" s="15">
        <f>LEFT(AG110,2)&amp;LEFT(AI110,2)</f>
        <v/>
      </c>
      <c r="AD110" s="15" t="n"/>
      <c r="AE110" s="15">
        <f>IF(K110&gt;L110,1,0)</f>
        <v/>
      </c>
      <c r="AF110" s="16">
        <f>IF(H110&gt;I110,1,0)</f>
        <v/>
      </c>
      <c r="AG110" s="16">
        <f>IF(SUM(AE110:AF110)=2,"Anticipatory_Buy","No_Action")</f>
        <v/>
      </c>
      <c r="AH110" s="15" t="n"/>
      <c r="AI110" s="15">
        <f>IF(SUM(AJ110:AK110)=2,"Confirm_Buy","No_Action")</f>
        <v/>
      </c>
      <c r="AJ110" s="15">
        <f>IF(H110&gt;I110,1,0)</f>
        <v/>
      </c>
      <c r="AK110" s="15">
        <f>IF(K110&gt;M110,1,0)</f>
        <v/>
      </c>
    </row>
    <row r="111" ht="14.5" customHeight="1">
      <c r="A111" s="12" t="inlineStr">
        <is>
          <t>FINCABLES</t>
        </is>
      </c>
      <c r="B111" s="13">
        <f>IFERROR(__xludf.DUMMYFUNCTION("GOOGLEFINANCE(""NSE:""&amp;A111,""PRICE"")"),1321.9)</f>
        <v/>
      </c>
      <c r="C111" s="13">
        <f>IFERROR(__xludf.DUMMYFUNCTION("GOOGLEFINANCE(""NSE:""&amp;A111,""PRICEOPEN"")"),1330)</f>
        <v/>
      </c>
      <c r="D111" s="13">
        <f>IFERROR(__xludf.DUMMYFUNCTION("GOOGLEFINANCE(""NSE:""&amp;A111,""HIGH"")"),1330.75)</f>
        <v/>
      </c>
      <c r="E111" s="13">
        <f>IFERROR(__xludf.DUMMYFUNCTION("GOOGLEFINANCE(""NSE:""&amp;A111,""LOW"")"),1308.2)</f>
        <v/>
      </c>
      <c r="F111" s="13">
        <f>IFERROR(__xludf.DUMMYFUNCTION("GOOGLEFINANCE(""NSE:""&amp;A111,""closeyest"")"),1330.95)</f>
        <v/>
      </c>
      <c r="G111" s="14">
        <f>(B111-C111)/B111</f>
        <v/>
      </c>
      <c r="H111" s="13">
        <f>IFERROR(__xludf.DUMMYFUNCTION("GOOGLEFINANCE(""NSE:""&amp;A111,""VOLUME"")"),212996)</f>
        <v/>
      </c>
      <c r="I111" s="13">
        <f>IFERROR(__xludf.DUMMYFUNCTION("AVERAGE(index(GOOGLEFINANCE(""NSE:""&amp;$A111, ""volume"", today()-21, today()-1), , 2))"),"#N/A")</f>
        <v/>
      </c>
      <c r="J111" s="14">
        <f>(H111-I111)/I111</f>
        <v/>
      </c>
      <c r="K111" s="13">
        <f>IFERROR(__xludf.DUMMYFUNCTION("AVERAGE(index(GOOGLEFINANCE(""NSE:""&amp;$A111, ""close"", today()-6, today()-1), , 2))"),"#N/A")</f>
        <v/>
      </c>
      <c r="L111" s="13">
        <f>IFERROR(__xludf.DUMMYFUNCTION("AVERAGE(index(GOOGLEFINANCE(""NSE:""&amp;$A111, ""close"", today()-14, today()-1), , 2))"),"#N/A")</f>
        <v/>
      </c>
      <c r="M111" s="13">
        <f>IFERROR(__xludf.DUMMYFUNCTION("AVERAGE(index(GOOGLEFINANCE(""NSE:""&amp;$A111, ""close"", today()-22, today()-1), , 2))"),"#N/A")</f>
        <v/>
      </c>
      <c r="N111" s="13">
        <f>AG111</f>
        <v/>
      </c>
      <c r="O111" s="13">
        <f>AI111</f>
        <v/>
      </c>
      <c r="P111" s="13">
        <f>W111</f>
        <v/>
      </c>
      <c r="Q111" s="13">
        <f>Y111</f>
        <v/>
      </c>
      <c r="R111" s="15" t="n"/>
      <c r="S111" s="15">
        <f>LEFT(W111,2)&amp;LEFT(Y111,2)</f>
        <v/>
      </c>
      <c r="T111" s="15" t="n"/>
      <c r="U111" s="15">
        <f>IF(K111&lt;L111,1,0)</f>
        <v/>
      </c>
      <c r="V111" s="15">
        <f>IF(H111&gt;I111,1,0)</f>
        <v/>
      </c>
      <c r="W111" s="15">
        <f>IF(SUM(U111:V111)=2,"Anticipatory_Sell","No_Action")</f>
        <v/>
      </c>
      <c r="X111" s="15" t="n"/>
      <c r="Y111" s="15">
        <f>IF(SUM(Z111:AA111)=2,"Confirm_Sell","No_Action")</f>
        <v/>
      </c>
      <c r="Z111" s="15">
        <f>IF(H111&gt;I111,1,0)</f>
        <v/>
      </c>
      <c r="AA111" s="15">
        <f>IF(K111&lt;M111,1,0)</f>
        <v/>
      </c>
      <c r="AB111" s="15" t="n"/>
      <c r="AC111" s="15">
        <f>LEFT(AG111,2)&amp;LEFT(AI111,2)</f>
        <v/>
      </c>
      <c r="AD111" s="15" t="n"/>
      <c r="AE111" s="15">
        <f>IF(K111&gt;L111,1,0)</f>
        <v/>
      </c>
      <c r="AF111" s="16">
        <f>IF(H111&gt;I111,1,0)</f>
        <v/>
      </c>
      <c r="AG111" s="16">
        <f>IF(SUM(AE111:AF111)=2,"Anticipatory_Buy","No_Action")</f>
        <v/>
      </c>
      <c r="AH111" s="15" t="n"/>
      <c r="AI111" s="15">
        <f>IF(SUM(AJ111:AK111)=2,"Confirm_Buy","No_Action")</f>
        <v/>
      </c>
      <c r="AJ111" s="15">
        <f>IF(H111&gt;I111,1,0)</f>
        <v/>
      </c>
      <c r="AK111" s="15">
        <f>IF(K111&gt;M111,1,0)</f>
        <v/>
      </c>
    </row>
    <row r="112" ht="14.5" customHeight="1">
      <c r="A112" s="12" t="inlineStr">
        <is>
          <t>FSL</t>
        </is>
      </c>
      <c r="B112" s="13">
        <f>IFERROR(__xludf.DUMMYFUNCTION("GOOGLEFINANCE(""NSE:""&amp;A112,""PRICE"")"),375.9)</f>
        <v/>
      </c>
      <c r="C112" s="13">
        <f>IFERROR(__xludf.DUMMYFUNCTION("GOOGLEFINANCE(""NSE:""&amp;A112,""PRICEOPEN"")"),376)</f>
        <v/>
      </c>
      <c r="D112" s="13">
        <f>IFERROR(__xludf.DUMMYFUNCTION("GOOGLEFINANCE(""NSE:""&amp;A112,""HIGH"")"),377.45)</f>
        <v/>
      </c>
      <c r="E112" s="13">
        <f>IFERROR(__xludf.DUMMYFUNCTION("GOOGLEFINANCE(""NSE:""&amp;A112,""LOW"")"),370.1)</f>
        <v/>
      </c>
      <c r="F112" s="13">
        <f>IFERROR(__xludf.DUMMYFUNCTION("GOOGLEFINANCE(""NSE:""&amp;A112,""closeyest"")"),375.8)</f>
        <v/>
      </c>
      <c r="G112" s="14">
        <f>(B112-C112)/B112</f>
        <v/>
      </c>
      <c r="H112" s="13">
        <f>IFERROR(__xludf.DUMMYFUNCTION("GOOGLEFINANCE(""NSE:""&amp;A112,""VOLUME"")"),1732286)</f>
        <v/>
      </c>
      <c r="I112" s="13">
        <f>IFERROR(__xludf.DUMMYFUNCTION("AVERAGE(index(GOOGLEFINANCE(""NSE:""&amp;$A112, ""volume"", today()-21, today()-1), , 2))"),"#N/A")</f>
        <v/>
      </c>
      <c r="J112" s="14">
        <f>(H112-I112)/I112</f>
        <v/>
      </c>
      <c r="K112" s="13">
        <f>IFERROR(__xludf.DUMMYFUNCTION("AVERAGE(index(GOOGLEFINANCE(""NSE:""&amp;$A112, ""close"", today()-6, today()-1), , 2))"),"#N/A")</f>
        <v/>
      </c>
      <c r="L112" s="13">
        <f>IFERROR(__xludf.DUMMYFUNCTION("AVERAGE(index(GOOGLEFINANCE(""NSE:""&amp;$A112, ""close"", today()-14, today()-1), , 2))"),"#N/A")</f>
        <v/>
      </c>
      <c r="M112" s="13">
        <f>IFERROR(__xludf.DUMMYFUNCTION("AVERAGE(index(GOOGLEFINANCE(""NSE:""&amp;$A112, ""close"", today()-22, today()-1), , 2))"),"#N/A")</f>
        <v/>
      </c>
      <c r="N112" s="13">
        <f>AG112</f>
        <v/>
      </c>
      <c r="O112" s="13">
        <f>AI112</f>
        <v/>
      </c>
      <c r="P112" s="13">
        <f>W112</f>
        <v/>
      </c>
      <c r="Q112" s="13">
        <f>Y112</f>
        <v/>
      </c>
      <c r="R112" s="15" t="n"/>
      <c r="S112" s="15">
        <f>LEFT(W112,2)&amp;LEFT(Y112,2)</f>
        <v/>
      </c>
      <c r="T112" s="15" t="n"/>
      <c r="U112" s="15">
        <f>IF(K112&lt;L112,1,0)</f>
        <v/>
      </c>
      <c r="V112" s="15">
        <f>IF(H112&gt;I112,1,0)</f>
        <v/>
      </c>
      <c r="W112" s="15">
        <f>IF(SUM(U112:V112)=2,"Anticipatory_Sell","No_Action")</f>
        <v/>
      </c>
      <c r="X112" s="15" t="n"/>
      <c r="Y112" s="15">
        <f>IF(SUM(Z112:AA112)=2,"Confirm_Sell","No_Action")</f>
        <v/>
      </c>
      <c r="Z112" s="15">
        <f>IF(H112&gt;I112,1,0)</f>
        <v/>
      </c>
      <c r="AA112" s="15">
        <f>IF(K112&lt;M112,1,0)</f>
        <v/>
      </c>
      <c r="AB112" s="15" t="n"/>
      <c r="AC112" s="15">
        <f>LEFT(AG112,2)&amp;LEFT(AI112,2)</f>
        <v/>
      </c>
      <c r="AD112" s="15" t="n"/>
      <c r="AE112" s="15">
        <f>IF(K112&gt;L112,1,0)</f>
        <v/>
      </c>
      <c r="AF112" s="16">
        <f>IF(H112&gt;I112,1,0)</f>
        <v/>
      </c>
      <c r="AG112" s="16">
        <f>IF(SUM(AE112:AF112)=2,"Anticipatory_Buy","No_Action")</f>
        <v/>
      </c>
      <c r="AH112" s="15" t="n"/>
      <c r="AI112" s="15">
        <f>IF(SUM(AJ112:AK112)=2,"Confirm_Buy","No_Action")</f>
        <v/>
      </c>
      <c r="AJ112" s="15">
        <f>IF(H112&gt;I112,1,0)</f>
        <v/>
      </c>
      <c r="AK112" s="15">
        <f>IF(K112&gt;M112,1,0)</f>
        <v/>
      </c>
    </row>
    <row r="113" ht="14.5" customHeight="1">
      <c r="A113" s="12" t="inlineStr">
        <is>
          <t>GNFC</t>
        </is>
      </c>
      <c r="B113" s="13">
        <f>IFERROR(__xludf.DUMMYFUNCTION("GOOGLEFINANCE(""NSE:""&amp;A113,""PRICE"")"),623.45)</f>
        <v/>
      </c>
      <c r="C113" s="13">
        <f>IFERROR(__xludf.DUMMYFUNCTION("GOOGLEFINANCE(""NSE:""&amp;A113,""PRICEOPEN"")"),634)</f>
        <v/>
      </c>
      <c r="D113" s="13">
        <f>IFERROR(__xludf.DUMMYFUNCTION("GOOGLEFINANCE(""NSE:""&amp;A113,""HIGH"")"),639)</f>
        <v/>
      </c>
      <c r="E113" s="13">
        <f>IFERROR(__xludf.DUMMYFUNCTION("GOOGLEFINANCE(""NSE:""&amp;A113,""LOW"")"),620.5)</f>
        <v/>
      </c>
      <c r="F113" s="13">
        <f>IFERROR(__xludf.DUMMYFUNCTION("GOOGLEFINANCE(""NSE:""&amp;A113,""closeyest"")"),636.7)</f>
        <v/>
      </c>
      <c r="G113" s="14">
        <f>(B113-C113)/B113</f>
        <v/>
      </c>
      <c r="H113" s="13">
        <f>IFERROR(__xludf.DUMMYFUNCTION("GOOGLEFINANCE(""NSE:""&amp;A113,""VOLUME"")"),442006)</f>
        <v/>
      </c>
      <c r="I113" s="13">
        <f>IFERROR(__xludf.DUMMYFUNCTION("AVERAGE(index(GOOGLEFINANCE(""NSE:""&amp;$A113, ""volume"", today()-21, today()-1), , 2))"),"#N/A")</f>
        <v/>
      </c>
      <c r="J113" s="14">
        <f>(H113-I113)/I113</f>
        <v/>
      </c>
      <c r="K113" s="13">
        <f>IFERROR(__xludf.DUMMYFUNCTION("AVERAGE(index(GOOGLEFINANCE(""NSE:""&amp;$A113, ""close"", today()-6, today()-1), , 2))"),"#N/A")</f>
        <v/>
      </c>
      <c r="L113" s="13">
        <f>IFERROR(__xludf.DUMMYFUNCTION("AVERAGE(index(GOOGLEFINANCE(""NSE:""&amp;$A113, ""close"", today()-14, today()-1), , 2))"),"#N/A")</f>
        <v/>
      </c>
      <c r="M113" s="13">
        <f>IFERROR(__xludf.DUMMYFUNCTION("AVERAGE(index(GOOGLEFINANCE(""NSE:""&amp;$A113, ""close"", today()-22, today()-1), , 2))"),"#N/A")</f>
        <v/>
      </c>
      <c r="N113" s="13">
        <f>AG113</f>
        <v/>
      </c>
      <c r="O113" s="13">
        <f>AI113</f>
        <v/>
      </c>
      <c r="P113" s="13">
        <f>W113</f>
        <v/>
      </c>
      <c r="Q113" s="13">
        <f>Y113</f>
        <v/>
      </c>
      <c r="R113" s="15" t="n"/>
      <c r="S113" s="15">
        <f>LEFT(W113,2)&amp;LEFT(Y113,2)</f>
        <v/>
      </c>
      <c r="T113" s="15" t="n"/>
      <c r="U113" s="15">
        <f>IF(K113&lt;L113,1,0)</f>
        <v/>
      </c>
      <c r="V113" s="15">
        <f>IF(H113&gt;I113,1,0)</f>
        <v/>
      </c>
      <c r="W113" s="15">
        <f>IF(SUM(U113:V113)=2,"Anticipatory_Sell","No_Action")</f>
        <v/>
      </c>
      <c r="X113" s="15" t="n"/>
      <c r="Y113" s="15">
        <f>IF(SUM(Z113:AA113)=2,"Confirm_Sell","No_Action")</f>
        <v/>
      </c>
      <c r="Z113" s="15">
        <f>IF(H113&gt;I113,1,0)</f>
        <v/>
      </c>
      <c r="AA113" s="15">
        <f>IF(K113&lt;M113,1,0)</f>
        <v/>
      </c>
      <c r="AB113" s="15" t="n"/>
      <c r="AC113" s="15">
        <f>LEFT(AG113,2)&amp;LEFT(AI113,2)</f>
        <v/>
      </c>
      <c r="AD113" s="15" t="n"/>
      <c r="AE113" s="15">
        <f>IF(K113&gt;L113,1,0)</f>
        <v/>
      </c>
      <c r="AF113" s="16">
        <f>IF(H113&gt;I113,1,0)</f>
        <v/>
      </c>
      <c r="AG113" s="16">
        <f>IF(SUM(AE113:AF113)=2,"Anticipatory_Buy","No_Action")</f>
        <v/>
      </c>
      <c r="AH113" s="15" t="n"/>
      <c r="AI113" s="15">
        <f>IF(SUM(AJ113:AK113)=2,"Confirm_Buy","No_Action")</f>
        <v/>
      </c>
      <c r="AJ113" s="15">
        <f>IF(H113&gt;I113,1,0)</f>
        <v/>
      </c>
      <c r="AK113" s="15">
        <f>IF(K113&gt;M113,1,0)</f>
        <v/>
      </c>
    </row>
    <row r="114" ht="14.5" customHeight="1">
      <c r="A114" s="12" t="inlineStr">
        <is>
          <t>GRINFRA</t>
        </is>
      </c>
      <c r="B114" s="13">
        <f>IFERROR(__xludf.DUMMYFUNCTION("GOOGLEFINANCE(""NSE:""&amp;A114,""PRICE"")"),1630.55)</f>
        <v/>
      </c>
      <c r="C114" s="13">
        <f>IFERROR(__xludf.DUMMYFUNCTION("GOOGLEFINANCE(""NSE:""&amp;A114,""PRICEOPEN"")"),1660)</f>
        <v/>
      </c>
      <c r="D114" s="13">
        <f>IFERROR(__xludf.DUMMYFUNCTION("GOOGLEFINANCE(""NSE:""&amp;A114,""HIGH"")"),1682)</f>
        <v/>
      </c>
      <c r="E114" s="13">
        <f>IFERROR(__xludf.DUMMYFUNCTION("GOOGLEFINANCE(""NSE:""&amp;A114,""LOW"")"),1630.55)</f>
        <v/>
      </c>
      <c r="F114" s="13">
        <f>IFERROR(__xludf.DUMMYFUNCTION("GOOGLEFINANCE(""NSE:""&amp;A114,""closeyest"")"),1648.1)</f>
        <v/>
      </c>
      <c r="G114" s="14">
        <f>(B114-C114)/B114</f>
        <v/>
      </c>
      <c r="H114" s="13">
        <f>IFERROR(__xludf.DUMMYFUNCTION("GOOGLEFINANCE(""NSE:""&amp;A114,""VOLUME"")"),23257)</f>
        <v/>
      </c>
      <c r="I114" s="13">
        <f>IFERROR(__xludf.DUMMYFUNCTION("AVERAGE(index(GOOGLEFINANCE(""NSE:""&amp;$A114, ""volume"", today()-21, today()-1), , 2))"),"#N/A")</f>
        <v/>
      </c>
      <c r="J114" s="14">
        <f>(H114-I114)/I114</f>
        <v/>
      </c>
      <c r="K114" s="13">
        <f>IFERROR(__xludf.DUMMYFUNCTION("AVERAGE(index(GOOGLEFINANCE(""NSE:""&amp;$A114, ""close"", today()-6, today()-1), , 2))"),"#N/A")</f>
        <v/>
      </c>
      <c r="L114" s="13">
        <f>IFERROR(__xludf.DUMMYFUNCTION("AVERAGE(index(GOOGLEFINANCE(""NSE:""&amp;$A114, ""close"", today()-14, today()-1), , 2))"),"#N/A")</f>
        <v/>
      </c>
      <c r="M114" s="13">
        <f>IFERROR(__xludf.DUMMYFUNCTION("AVERAGE(index(GOOGLEFINANCE(""NSE:""&amp;$A114, ""close"", today()-22, today()-1), , 2))"),"#N/A")</f>
        <v/>
      </c>
      <c r="N114" s="13">
        <f>AG114</f>
        <v/>
      </c>
      <c r="O114" s="13">
        <f>AI114</f>
        <v/>
      </c>
      <c r="P114" s="13">
        <f>W114</f>
        <v/>
      </c>
      <c r="Q114" s="13">
        <f>Y114</f>
        <v/>
      </c>
      <c r="R114" s="15" t="n"/>
      <c r="S114" s="15">
        <f>LEFT(W114,2)&amp;LEFT(Y114,2)</f>
        <v/>
      </c>
      <c r="T114" s="15" t="n"/>
      <c r="U114" s="15">
        <f>IF(K114&lt;L114,1,0)</f>
        <v/>
      </c>
      <c r="V114" s="15">
        <f>IF(H114&gt;I114,1,0)</f>
        <v/>
      </c>
      <c r="W114" s="15">
        <f>IF(SUM(U114:V114)=2,"Anticipatory_Sell","No_Action")</f>
        <v/>
      </c>
      <c r="X114" s="15" t="n"/>
      <c r="Y114" s="15">
        <f>IF(SUM(Z114:AA114)=2,"Confirm_Sell","No_Action")</f>
        <v/>
      </c>
      <c r="Z114" s="15">
        <f>IF(H114&gt;I114,1,0)</f>
        <v/>
      </c>
      <c r="AA114" s="15">
        <f>IF(K114&lt;M114,1,0)</f>
        <v/>
      </c>
      <c r="AB114" s="15" t="n"/>
      <c r="AC114" s="15">
        <f>LEFT(AG114,2)&amp;LEFT(AI114,2)</f>
        <v/>
      </c>
      <c r="AD114" s="15" t="n"/>
      <c r="AE114" s="15">
        <f>IF(K114&gt;L114,1,0)</f>
        <v/>
      </c>
      <c r="AF114" s="16">
        <f>IF(H114&gt;I114,1,0)</f>
        <v/>
      </c>
      <c r="AG114" s="16">
        <f>IF(SUM(AE114:AF114)=2,"Anticipatory_Buy","No_Action")</f>
        <v/>
      </c>
      <c r="AH114" s="15" t="n"/>
      <c r="AI114" s="15">
        <f>IF(SUM(AJ114:AK114)=2,"Confirm_Buy","No_Action")</f>
        <v/>
      </c>
      <c r="AJ114" s="15">
        <f>IF(H114&gt;I114,1,0)</f>
        <v/>
      </c>
      <c r="AK114" s="15">
        <f>IF(K114&gt;M114,1,0)</f>
        <v/>
      </c>
    </row>
    <row r="115" ht="14.5" customHeight="1">
      <c r="A115" s="12" t="inlineStr">
        <is>
          <t>GSFC</t>
        </is>
      </c>
      <c r="B115" s="13">
        <f>IFERROR(__xludf.DUMMYFUNCTION("GOOGLEFINANCE(""NSE:""&amp;A115,""PRICE"")"),218.57)</f>
        <v/>
      </c>
      <c r="C115" s="13">
        <f>IFERROR(__xludf.DUMMYFUNCTION("GOOGLEFINANCE(""NSE:""&amp;A115,""PRICEOPEN"")"),220.51)</f>
        <v/>
      </c>
      <c r="D115" s="13">
        <f>IFERROR(__xludf.DUMMYFUNCTION("GOOGLEFINANCE(""NSE:""&amp;A115,""HIGH"")"),221.94)</f>
        <v/>
      </c>
      <c r="E115" s="13">
        <f>IFERROR(__xludf.DUMMYFUNCTION("GOOGLEFINANCE(""NSE:""&amp;A115,""LOW"")"),217.8)</f>
        <v/>
      </c>
      <c r="F115" s="13">
        <f>IFERROR(__xludf.DUMMYFUNCTION("GOOGLEFINANCE(""NSE:""&amp;A115,""closeyest"")"),220.98)</f>
        <v/>
      </c>
      <c r="G115" s="14">
        <f>(B115-C115)/B115</f>
        <v/>
      </c>
      <c r="H115" s="13">
        <f>IFERROR(__xludf.DUMMYFUNCTION("GOOGLEFINANCE(""NSE:""&amp;A115,""VOLUME"")"),1265119)</f>
        <v/>
      </c>
      <c r="I115" s="13">
        <f>IFERROR(__xludf.DUMMYFUNCTION("AVERAGE(index(GOOGLEFINANCE(""NSE:""&amp;$A115, ""volume"", today()-21, today()-1), , 2))"),"#N/A")</f>
        <v/>
      </c>
      <c r="J115" s="14">
        <f>(H115-I115)/I115</f>
        <v/>
      </c>
      <c r="K115" s="13">
        <f>IFERROR(__xludf.DUMMYFUNCTION("AVERAGE(index(GOOGLEFINANCE(""NSE:""&amp;$A115, ""close"", today()-6, today()-1), , 2))"),"#N/A")</f>
        <v/>
      </c>
      <c r="L115" s="13">
        <f>IFERROR(__xludf.DUMMYFUNCTION("AVERAGE(index(GOOGLEFINANCE(""NSE:""&amp;$A115, ""close"", today()-14, today()-1), , 2))"),"#N/A")</f>
        <v/>
      </c>
      <c r="M115" s="13">
        <f>IFERROR(__xludf.DUMMYFUNCTION("AVERAGE(index(GOOGLEFINANCE(""NSE:""&amp;$A115, ""close"", today()-22, today()-1), , 2))"),"#N/A")</f>
        <v/>
      </c>
      <c r="N115" s="13">
        <f>AG115</f>
        <v/>
      </c>
      <c r="O115" s="13">
        <f>AI115</f>
        <v/>
      </c>
      <c r="P115" s="13">
        <f>W115</f>
        <v/>
      </c>
      <c r="Q115" s="13">
        <f>Y115</f>
        <v/>
      </c>
      <c r="R115" s="15" t="n"/>
      <c r="S115" s="15">
        <f>LEFT(W115,2)&amp;LEFT(Y115,2)</f>
        <v/>
      </c>
      <c r="T115" s="15" t="n"/>
      <c r="U115" s="15">
        <f>IF(K115&lt;L115,1,0)</f>
        <v/>
      </c>
      <c r="V115" s="15">
        <f>IF(H115&gt;I115,1,0)</f>
        <v/>
      </c>
      <c r="W115" s="15">
        <f>IF(SUM(U115:V115)=2,"Anticipatory_Sell","No_Action")</f>
        <v/>
      </c>
      <c r="X115" s="15" t="n"/>
      <c r="Y115" s="15">
        <f>IF(SUM(Z115:AA115)=2,"Confirm_Sell","No_Action")</f>
        <v/>
      </c>
      <c r="Z115" s="15">
        <f>IF(H115&gt;I115,1,0)</f>
        <v/>
      </c>
      <c r="AA115" s="15">
        <f>IF(K115&lt;M115,1,0)</f>
        <v/>
      </c>
      <c r="AB115" s="15" t="n"/>
      <c r="AC115" s="15">
        <f>LEFT(AG115,2)&amp;LEFT(AI115,2)</f>
        <v/>
      </c>
      <c r="AD115" s="15" t="n"/>
      <c r="AE115" s="15">
        <f>IF(K115&gt;L115,1,0)</f>
        <v/>
      </c>
      <c r="AF115" s="16">
        <f>IF(H115&gt;I115,1,0)</f>
        <v/>
      </c>
      <c r="AG115" s="16">
        <f>IF(SUM(AE115:AF115)=2,"Anticipatory_Buy","No_Action")</f>
        <v/>
      </c>
      <c r="AH115" s="15" t="n"/>
      <c r="AI115" s="15">
        <f>IF(SUM(AJ115:AK115)=2,"Confirm_Buy","No_Action")</f>
        <v/>
      </c>
      <c r="AJ115" s="15">
        <f>IF(H115&gt;I115,1,0)</f>
        <v/>
      </c>
      <c r="AK115" s="15">
        <f>IF(K115&gt;M115,1,0)</f>
        <v/>
      </c>
    </row>
    <row r="116" ht="14.5" customHeight="1">
      <c r="A116" s="12" t="inlineStr">
        <is>
          <t>GALAXYSURF</t>
        </is>
      </c>
      <c r="B116" s="13">
        <f>IFERROR(__xludf.DUMMYFUNCTION("GOOGLEFINANCE(""NSE:""&amp;A116,""PRICE"")"),2834.45)</f>
        <v/>
      </c>
      <c r="C116" s="13">
        <f>IFERROR(__xludf.DUMMYFUNCTION("GOOGLEFINANCE(""NSE:""&amp;A116,""PRICEOPEN"")"),2859.95)</f>
        <v/>
      </c>
      <c r="D116" s="13">
        <f>IFERROR(__xludf.DUMMYFUNCTION("GOOGLEFINANCE(""NSE:""&amp;A116,""HIGH"")"),2859.95)</f>
        <v/>
      </c>
      <c r="E116" s="13">
        <f>IFERROR(__xludf.DUMMYFUNCTION("GOOGLEFINANCE(""NSE:""&amp;A116,""LOW"")"),2818.35)</f>
        <v/>
      </c>
      <c r="F116" s="13">
        <f>IFERROR(__xludf.DUMMYFUNCTION("GOOGLEFINANCE(""NSE:""&amp;A116,""closeyest"")"),2859.2)</f>
        <v/>
      </c>
      <c r="G116" s="14">
        <f>(B116-C116)/B116</f>
        <v/>
      </c>
      <c r="H116" s="13">
        <f>IFERROR(__xludf.DUMMYFUNCTION("GOOGLEFINANCE(""NSE:""&amp;A116,""VOLUME"")"),4614)</f>
        <v/>
      </c>
      <c r="I116" s="13">
        <f>IFERROR(__xludf.DUMMYFUNCTION("AVERAGE(index(GOOGLEFINANCE(""NSE:""&amp;$A116, ""volume"", today()-21, today()-1), , 2))"),"#N/A")</f>
        <v/>
      </c>
      <c r="J116" s="14">
        <f>(H116-I116)/I116</f>
        <v/>
      </c>
      <c r="K116" s="13">
        <f>IFERROR(__xludf.DUMMYFUNCTION("AVERAGE(index(GOOGLEFINANCE(""NSE:""&amp;$A116, ""close"", today()-6, today()-1), , 2))"),"#N/A")</f>
        <v/>
      </c>
      <c r="L116" s="13">
        <f>IFERROR(__xludf.DUMMYFUNCTION("AVERAGE(index(GOOGLEFINANCE(""NSE:""&amp;$A116, ""close"", today()-14, today()-1), , 2))"),"#N/A")</f>
        <v/>
      </c>
      <c r="M116" s="13">
        <f>IFERROR(__xludf.DUMMYFUNCTION("AVERAGE(index(GOOGLEFINANCE(""NSE:""&amp;$A116, ""close"", today()-22, today()-1), , 2))"),"#N/A")</f>
        <v/>
      </c>
      <c r="N116" s="13">
        <f>AG116</f>
        <v/>
      </c>
      <c r="O116" s="13">
        <f>AI116</f>
        <v/>
      </c>
      <c r="P116" s="13">
        <f>W116</f>
        <v/>
      </c>
      <c r="Q116" s="13">
        <f>Y116</f>
        <v/>
      </c>
      <c r="R116" s="15" t="n"/>
      <c r="S116" s="15">
        <f>LEFT(W116,2)&amp;LEFT(Y116,2)</f>
        <v/>
      </c>
      <c r="T116" s="15" t="n"/>
      <c r="U116" s="15">
        <f>IF(K116&lt;L116,1,0)</f>
        <v/>
      </c>
      <c r="V116" s="15">
        <f>IF(H116&gt;I116,1,0)</f>
        <v/>
      </c>
      <c r="W116" s="15">
        <f>IF(SUM(U116:V116)=2,"Anticipatory_Sell","No_Action")</f>
        <v/>
      </c>
      <c r="X116" s="15" t="n"/>
      <c r="Y116" s="15">
        <f>IF(SUM(Z116:AA116)=2,"Confirm_Sell","No_Action")</f>
        <v/>
      </c>
      <c r="Z116" s="15">
        <f>IF(H116&gt;I116,1,0)</f>
        <v/>
      </c>
      <c r="AA116" s="15">
        <f>IF(K116&lt;M116,1,0)</f>
        <v/>
      </c>
      <c r="AB116" s="15" t="n"/>
      <c r="AC116" s="15">
        <f>LEFT(AG116,2)&amp;LEFT(AI116,2)</f>
        <v/>
      </c>
      <c r="AD116" s="15" t="n"/>
      <c r="AE116" s="15">
        <f>IF(K116&gt;L116,1,0)</f>
        <v/>
      </c>
      <c r="AF116" s="16">
        <f>IF(H116&gt;I116,1,0)</f>
        <v/>
      </c>
      <c r="AG116" s="16">
        <f>IF(SUM(AE116:AF116)=2,"Anticipatory_Buy","No_Action")</f>
        <v/>
      </c>
      <c r="AH116" s="15" t="n"/>
      <c r="AI116" s="15">
        <f>IF(SUM(AJ116:AK116)=2,"Confirm_Buy","No_Action")</f>
        <v/>
      </c>
      <c r="AJ116" s="15">
        <f>IF(H116&gt;I116,1,0)</f>
        <v/>
      </c>
      <c r="AK116" s="15">
        <f>IF(K116&gt;M116,1,0)</f>
        <v/>
      </c>
    </row>
    <row r="117" ht="14.5" customHeight="1">
      <c r="A117" s="12" t="inlineStr">
        <is>
          <t>GANESHBE</t>
        </is>
      </c>
      <c r="B117" s="13">
        <f>IFERROR(__xludf.DUMMYFUNCTION("GOOGLEFINANCE(""NSE:""&amp;A117,""PRICE"")"),135.2)</f>
        <v/>
      </c>
      <c r="C117" s="13">
        <f>IFERROR(__xludf.DUMMYFUNCTION("GOOGLEFINANCE(""NSE:""&amp;A117,""PRICEOPEN"")"),136.5)</f>
        <v/>
      </c>
      <c r="D117" s="13">
        <f>IFERROR(__xludf.DUMMYFUNCTION("GOOGLEFINANCE(""NSE:""&amp;A117,""HIGH"")"),139.86)</f>
        <v/>
      </c>
      <c r="E117" s="13">
        <f>IFERROR(__xludf.DUMMYFUNCTION("GOOGLEFINANCE(""NSE:""&amp;A117,""LOW"")"),135.05)</f>
        <v/>
      </c>
      <c r="F117" s="13">
        <f>IFERROR(__xludf.DUMMYFUNCTION("GOOGLEFINANCE(""NSE:""&amp;A117,""closeyest"")"),135.82)</f>
        <v/>
      </c>
      <c r="G117" s="14">
        <f>(B117-C117)/B117</f>
        <v/>
      </c>
      <c r="H117" s="13">
        <f>IFERROR(__xludf.DUMMYFUNCTION("GOOGLEFINANCE(""NSE:""&amp;A117,""VOLUME"")"),75377)</f>
        <v/>
      </c>
      <c r="I117" s="13">
        <f>IFERROR(__xludf.DUMMYFUNCTION("AVERAGE(index(GOOGLEFINANCE(""NSE:""&amp;$A117, ""volume"", today()-21, today()-1), , 2))"),"#N/A")</f>
        <v/>
      </c>
      <c r="J117" s="14">
        <f>(H117-I117)/I117</f>
        <v/>
      </c>
      <c r="K117" s="13">
        <f>IFERROR(__xludf.DUMMYFUNCTION("AVERAGE(index(GOOGLEFINANCE(""NSE:""&amp;$A117, ""close"", today()-6, today()-1), , 2))"),"#N/A")</f>
        <v/>
      </c>
      <c r="L117" s="13">
        <f>IFERROR(__xludf.DUMMYFUNCTION("AVERAGE(index(GOOGLEFINANCE(""NSE:""&amp;$A117, ""close"", today()-14, today()-1), , 2))"),"#N/A")</f>
        <v/>
      </c>
      <c r="M117" s="13">
        <f>IFERROR(__xludf.DUMMYFUNCTION("AVERAGE(index(GOOGLEFINANCE(""NSE:""&amp;$A117, ""close"", today()-22, today()-1), , 2))"),"#N/A")</f>
        <v/>
      </c>
      <c r="N117" s="13">
        <f>AG117</f>
        <v/>
      </c>
      <c r="O117" s="13">
        <f>AI117</f>
        <v/>
      </c>
      <c r="P117" s="13">
        <f>W117</f>
        <v/>
      </c>
      <c r="Q117" s="13">
        <f>Y117</f>
        <v/>
      </c>
      <c r="R117" s="15" t="n"/>
      <c r="S117" s="15">
        <f>LEFT(W117,2)&amp;LEFT(Y117,2)</f>
        <v/>
      </c>
      <c r="T117" s="15" t="n"/>
      <c r="U117" s="15">
        <f>IF(K117&lt;L117,1,0)</f>
        <v/>
      </c>
      <c r="V117" s="15">
        <f>IF(H117&gt;I117,1,0)</f>
        <v/>
      </c>
      <c r="W117" s="15">
        <f>IF(SUM(U117:V117)=2,"Anticipatory_Sell","No_Action")</f>
        <v/>
      </c>
      <c r="X117" s="15" t="n"/>
      <c r="Y117" s="15">
        <f>IF(SUM(Z117:AA117)=2,"Confirm_Sell","No_Action")</f>
        <v/>
      </c>
      <c r="Z117" s="15">
        <f>IF(H117&gt;I117,1,0)</f>
        <v/>
      </c>
      <c r="AA117" s="15">
        <f>IF(K117&lt;M117,1,0)</f>
        <v/>
      </c>
      <c r="AB117" s="15" t="n"/>
      <c r="AC117" s="15">
        <f>LEFT(AG117,2)&amp;LEFT(AI117,2)</f>
        <v/>
      </c>
      <c r="AD117" s="15" t="n"/>
      <c r="AE117" s="15">
        <f>IF(K117&gt;L117,1,0)</f>
        <v/>
      </c>
      <c r="AF117" s="16">
        <f>IF(H117&gt;I117,1,0)</f>
        <v/>
      </c>
      <c r="AG117" s="16">
        <f>IF(SUM(AE117:AF117)=2,"Anticipatory_Buy","No_Action")</f>
        <v/>
      </c>
      <c r="AH117" s="15" t="n"/>
      <c r="AI117" s="15">
        <f>IF(SUM(AJ117:AK117)=2,"Confirm_Buy","No_Action")</f>
        <v/>
      </c>
      <c r="AJ117" s="15">
        <f>IF(H117&gt;I117,1,0)</f>
        <v/>
      </c>
      <c r="AK117" s="15">
        <f>IF(K117&gt;M117,1,0)</f>
        <v/>
      </c>
    </row>
    <row r="118" ht="14.5" customHeight="1">
      <c r="A118" s="12" t="inlineStr">
        <is>
          <t>GANESHHOUC</t>
        </is>
      </c>
      <c r="B118" s="13">
        <f>IFERROR(__xludf.DUMMYFUNCTION("GOOGLEFINANCE(""NSE:""&amp;A118,""PRICE"")"),1308.5)</f>
        <v/>
      </c>
      <c r="C118" s="13">
        <f>IFERROR(__xludf.DUMMYFUNCTION("GOOGLEFINANCE(""NSE:""&amp;A118,""PRICEOPEN"")"),1322)</f>
        <v/>
      </c>
      <c r="D118" s="13">
        <f>IFERROR(__xludf.DUMMYFUNCTION("GOOGLEFINANCE(""NSE:""&amp;A118,""HIGH"")"),1338.2)</f>
        <v/>
      </c>
      <c r="E118" s="13">
        <f>IFERROR(__xludf.DUMMYFUNCTION("GOOGLEFINANCE(""NSE:""&amp;A118,""LOW"")"),1295.75)</f>
        <v/>
      </c>
      <c r="F118" s="13">
        <f>IFERROR(__xludf.DUMMYFUNCTION("GOOGLEFINANCE(""NSE:""&amp;A118,""closeyest"")"),1318.95)</f>
        <v/>
      </c>
      <c r="G118" s="14">
        <f>(B118-C118)/B118</f>
        <v/>
      </c>
      <c r="H118" s="13">
        <f>IFERROR(__xludf.DUMMYFUNCTION("GOOGLEFINANCE(""NSE:""&amp;A118,""VOLUME"")"),71353)</f>
        <v/>
      </c>
      <c r="I118" s="13">
        <f>IFERROR(__xludf.DUMMYFUNCTION("AVERAGE(index(GOOGLEFINANCE(""NSE:""&amp;$A118, ""volume"", today()-21, today()-1), , 2))"),"#N/A")</f>
        <v/>
      </c>
      <c r="J118" s="14">
        <f>(H118-I118)/I118</f>
        <v/>
      </c>
      <c r="K118" s="13">
        <f>IFERROR(__xludf.DUMMYFUNCTION("AVERAGE(index(GOOGLEFINANCE(""NSE:""&amp;$A118, ""close"", today()-6, today()-1), , 2))"),"#N/A")</f>
        <v/>
      </c>
      <c r="L118" s="13">
        <f>IFERROR(__xludf.DUMMYFUNCTION("AVERAGE(index(GOOGLEFINANCE(""NSE:""&amp;$A118, ""close"", today()-14, today()-1), , 2))"),"#N/A")</f>
        <v/>
      </c>
      <c r="M118" s="13">
        <f>IFERROR(__xludf.DUMMYFUNCTION("AVERAGE(index(GOOGLEFINANCE(""NSE:""&amp;$A118, ""close"", today()-22, today()-1), , 2))"),"#N/A")</f>
        <v/>
      </c>
      <c r="N118" s="13">
        <f>AG118</f>
        <v/>
      </c>
      <c r="O118" s="13">
        <f>AI118</f>
        <v/>
      </c>
      <c r="P118" s="13">
        <f>W118</f>
        <v/>
      </c>
      <c r="Q118" s="13">
        <f>Y118</f>
        <v/>
      </c>
      <c r="R118" s="15" t="n"/>
      <c r="S118" s="15">
        <f>LEFT(W118,2)&amp;LEFT(Y118,2)</f>
        <v/>
      </c>
      <c r="T118" s="15" t="n"/>
      <c r="U118" s="15">
        <f>IF(K118&lt;L118,1,0)</f>
        <v/>
      </c>
      <c r="V118" s="15">
        <f>IF(H118&gt;I118,1,0)</f>
        <v/>
      </c>
      <c r="W118" s="15">
        <f>IF(SUM(U118:V118)=2,"Anticipatory_Sell","No_Action")</f>
        <v/>
      </c>
      <c r="X118" s="15" t="n"/>
      <c r="Y118" s="15">
        <f>IF(SUM(Z118:AA118)=2,"Confirm_Sell","No_Action")</f>
        <v/>
      </c>
      <c r="Z118" s="15">
        <f>IF(H118&gt;I118,1,0)</f>
        <v/>
      </c>
      <c r="AA118" s="15">
        <f>IF(K118&lt;M118,1,0)</f>
        <v/>
      </c>
      <c r="AB118" s="15" t="n"/>
      <c r="AC118" s="15">
        <f>LEFT(AG118,2)&amp;LEFT(AI118,2)</f>
        <v/>
      </c>
      <c r="AD118" s="15" t="n"/>
      <c r="AE118" s="15">
        <f>IF(K118&gt;L118,1,0)</f>
        <v/>
      </c>
      <c r="AF118" s="16">
        <f>IF(H118&gt;I118,1,0)</f>
        <v/>
      </c>
      <c r="AG118" s="16">
        <f>IF(SUM(AE118:AF118)=2,"Anticipatory_Buy","No_Action")</f>
        <v/>
      </c>
      <c r="AH118" s="15" t="n"/>
      <c r="AI118" s="15">
        <f>IF(SUM(AJ118:AK118)=2,"Confirm_Buy","No_Action")</f>
        <v/>
      </c>
      <c r="AJ118" s="15">
        <f>IF(H118&gt;I118,1,0)</f>
        <v/>
      </c>
      <c r="AK118" s="15">
        <f>IF(K118&gt;M118,1,0)</f>
        <v/>
      </c>
    </row>
    <row r="119" ht="14.5" customHeight="1">
      <c r="A119" s="12" t="inlineStr">
        <is>
          <t>GARFIBRES</t>
        </is>
      </c>
      <c r="B119" s="13">
        <f>IFERROR(__xludf.DUMMYFUNCTION("GOOGLEFINANCE(""NSE:""&amp;A119,""PRICE"")"),4839.9)</f>
        <v/>
      </c>
      <c r="C119" s="13">
        <f>IFERROR(__xludf.DUMMYFUNCTION("GOOGLEFINANCE(""NSE:""&amp;A119,""PRICEOPEN"")"),4836.1)</f>
        <v/>
      </c>
      <c r="D119" s="13">
        <f>IFERROR(__xludf.DUMMYFUNCTION("GOOGLEFINANCE(""NSE:""&amp;A119,""HIGH"")"),4931.95)</f>
        <v/>
      </c>
      <c r="E119" s="13">
        <f>IFERROR(__xludf.DUMMYFUNCTION("GOOGLEFINANCE(""NSE:""&amp;A119,""LOW"")"),4742.35)</f>
        <v/>
      </c>
      <c r="F119" s="13">
        <f>IFERROR(__xludf.DUMMYFUNCTION("GOOGLEFINANCE(""NSE:""&amp;A119,""closeyest"")"),4800.75)</f>
        <v/>
      </c>
      <c r="G119" s="14">
        <f>(B119-C119)/B119</f>
        <v/>
      </c>
      <c r="H119" s="13">
        <f>IFERROR(__xludf.DUMMYFUNCTION("GOOGLEFINANCE(""NSE:""&amp;A119,""VOLUME"")"),33200)</f>
        <v/>
      </c>
      <c r="I119" s="13">
        <f>IFERROR(__xludf.DUMMYFUNCTION("AVERAGE(index(GOOGLEFINANCE(""NSE:""&amp;$A119, ""volume"", today()-21, today()-1), , 2))"),"#N/A")</f>
        <v/>
      </c>
      <c r="J119" s="14">
        <f>(H119-I119)/I119</f>
        <v/>
      </c>
      <c r="K119" s="13">
        <f>IFERROR(__xludf.DUMMYFUNCTION("AVERAGE(index(GOOGLEFINANCE(""NSE:""&amp;$A119, ""close"", today()-6, today()-1), , 2))"),"#N/A")</f>
        <v/>
      </c>
      <c r="L119" s="13">
        <f>IFERROR(__xludf.DUMMYFUNCTION("AVERAGE(index(GOOGLEFINANCE(""NSE:""&amp;$A119, ""close"", today()-14, today()-1), , 2))"),"#N/A")</f>
        <v/>
      </c>
      <c r="M119" s="13">
        <f>IFERROR(__xludf.DUMMYFUNCTION("AVERAGE(index(GOOGLEFINANCE(""NSE:""&amp;$A119, ""close"", today()-22, today()-1), , 2))"),"#N/A")</f>
        <v/>
      </c>
      <c r="N119" s="13">
        <f>AG119</f>
        <v/>
      </c>
      <c r="O119" s="13">
        <f>AI119</f>
        <v/>
      </c>
      <c r="P119" s="13">
        <f>W119</f>
        <v/>
      </c>
      <c r="Q119" s="13">
        <f>Y119</f>
        <v/>
      </c>
      <c r="R119" s="15" t="n"/>
      <c r="S119" s="15">
        <f>LEFT(W119,2)&amp;LEFT(Y119,2)</f>
        <v/>
      </c>
      <c r="T119" s="15" t="n"/>
      <c r="U119" s="15">
        <f>IF(K119&lt;L119,1,0)</f>
        <v/>
      </c>
      <c r="V119" s="15">
        <f>IF(H119&gt;I119,1,0)</f>
        <v/>
      </c>
      <c r="W119" s="15">
        <f>IF(SUM(U119:V119)=2,"Anticipatory_Sell","No_Action")</f>
        <v/>
      </c>
      <c r="X119" s="15" t="n"/>
      <c r="Y119" s="15">
        <f>IF(SUM(Z119:AA119)=2,"Confirm_Sell","No_Action")</f>
        <v/>
      </c>
      <c r="Z119" s="15">
        <f>IF(H119&gt;I119,1,0)</f>
        <v/>
      </c>
      <c r="AA119" s="15">
        <f>IF(K119&lt;M119,1,0)</f>
        <v/>
      </c>
      <c r="AB119" s="15" t="n"/>
      <c r="AC119" s="15">
        <f>LEFT(AG119,2)&amp;LEFT(AI119,2)</f>
        <v/>
      </c>
      <c r="AD119" s="15" t="n"/>
      <c r="AE119" s="15">
        <f>IF(K119&gt;L119,1,0)</f>
        <v/>
      </c>
      <c r="AF119" s="16">
        <f>IF(H119&gt;I119,1,0)</f>
        <v/>
      </c>
      <c r="AG119" s="16">
        <f>IF(SUM(AE119:AF119)=2,"Anticipatory_Buy","No_Action")</f>
        <v/>
      </c>
      <c r="AH119" s="15" t="n"/>
      <c r="AI119" s="15">
        <f>IF(SUM(AJ119:AK119)=2,"Confirm_Buy","No_Action")</f>
        <v/>
      </c>
      <c r="AJ119" s="15">
        <f>IF(H119&gt;I119,1,0)</f>
        <v/>
      </c>
      <c r="AK119" s="15">
        <f>IF(K119&gt;M119,1,0)</f>
        <v/>
      </c>
    </row>
    <row r="120" ht="14.5" customHeight="1">
      <c r="A120" s="12" t="inlineStr">
        <is>
          <t>GATEWAY</t>
        </is>
      </c>
      <c r="B120" s="13">
        <f>IFERROR(__xludf.DUMMYFUNCTION("GOOGLEFINANCE(""NSE:""&amp;A120,""PRICE"")"),84.8)</f>
        <v/>
      </c>
      <c r="C120" s="13">
        <f>IFERROR(__xludf.DUMMYFUNCTION("GOOGLEFINANCE(""NSE:""&amp;A120,""PRICEOPEN"")"),82.5)</f>
        <v/>
      </c>
      <c r="D120" s="13">
        <f>IFERROR(__xludf.DUMMYFUNCTION("GOOGLEFINANCE(""NSE:""&amp;A120,""HIGH"")"),85.8)</f>
        <v/>
      </c>
      <c r="E120" s="13">
        <f>IFERROR(__xludf.DUMMYFUNCTION("GOOGLEFINANCE(""NSE:""&amp;A120,""LOW"")"),81.8)</f>
        <v/>
      </c>
      <c r="F120" s="13">
        <f>IFERROR(__xludf.DUMMYFUNCTION("GOOGLEFINANCE(""NSE:""&amp;A120,""closeyest"")"),81.58)</f>
        <v/>
      </c>
      <c r="G120" s="14">
        <f>(B120-C120)/B120</f>
        <v/>
      </c>
      <c r="H120" s="13">
        <f>IFERROR(__xludf.DUMMYFUNCTION("GOOGLEFINANCE(""NSE:""&amp;A120,""VOLUME"")"),3659101)</f>
        <v/>
      </c>
      <c r="I120" s="13">
        <f>IFERROR(__xludf.DUMMYFUNCTION("AVERAGE(index(GOOGLEFINANCE(""NSE:""&amp;$A120, ""volume"", today()-21, today()-1), , 2))"),"#N/A")</f>
        <v/>
      </c>
      <c r="J120" s="14">
        <f>(H120-I120)/I120</f>
        <v/>
      </c>
      <c r="K120" s="13">
        <f>IFERROR(__xludf.DUMMYFUNCTION("AVERAGE(index(GOOGLEFINANCE(""NSE:""&amp;$A120, ""close"", today()-6, today()-1), , 2))"),"#N/A")</f>
        <v/>
      </c>
      <c r="L120" s="13">
        <f>IFERROR(__xludf.DUMMYFUNCTION("AVERAGE(index(GOOGLEFINANCE(""NSE:""&amp;$A120, ""close"", today()-14, today()-1), , 2))"),"#N/A")</f>
        <v/>
      </c>
      <c r="M120" s="13">
        <f>IFERROR(__xludf.DUMMYFUNCTION("AVERAGE(index(GOOGLEFINANCE(""NSE:""&amp;$A120, ""close"", today()-22, today()-1), , 2))"),"#N/A")</f>
        <v/>
      </c>
      <c r="N120" s="13">
        <f>AG120</f>
        <v/>
      </c>
      <c r="O120" s="13">
        <f>AI120</f>
        <v/>
      </c>
      <c r="P120" s="13">
        <f>W120</f>
        <v/>
      </c>
      <c r="Q120" s="13">
        <f>Y120</f>
        <v/>
      </c>
      <c r="R120" s="15" t="n"/>
      <c r="S120" s="15">
        <f>LEFT(W120,2)&amp;LEFT(Y120,2)</f>
        <v/>
      </c>
      <c r="T120" s="15" t="n"/>
      <c r="U120" s="15">
        <f>IF(K120&lt;L120,1,0)</f>
        <v/>
      </c>
      <c r="V120" s="15">
        <f>IF(H120&gt;I120,1,0)</f>
        <v/>
      </c>
      <c r="W120" s="15">
        <f>IF(SUM(U120:V120)=2,"Anticipatory_Sell","No_Action")</f>
        <v/>
      </c>
      <c r="X120" s="15" t="n"/>
      <c r="Y120" s="15">
        <f>IF(SUM(Z120:AA120)=2,"Confirm_Sell","No_Action")</f>
        <v/>
      </c>
      <c r="Z120" s="15">
        <f>IF(H120&gt;I120,1,0)</f>
        <v/>
      </c>
      <c r="AA120" s="15">
        <f>IF(K120&lt;M120,1,0)</f>
        <v/>
      </c>
      <c r="AB120" s="15" t="n"/>
      <c r="AC120" s="15">
        <f>LEFT(AG120,2)&amp;LEFT(AI120,2)</f>
        <v/>
      </c>
      <c r="AD120" s="15" t="n"/>
      <c r="AE120" s="15">
        <f>IF(K120&gt;L120,1,0)</f>
        <v/>
      </c>
      <c r="AF120" s="16">
        <f>IF(H120&gt;I120,1,0)</f>
        <v/>
      </c>
      <c r="AG120" s="16">
        <f>IF(SUM(AE120:AF120)=2,"Anticipatory_Buy","No_Action")</f>
        <v/>
      </c>
      <c r="AH120" s="15" t="n"/>
      <c r="AI120" s="15">
        <f>IF(SUM(AJ120:AK120)=2,"Confirm_Buy","No_Action")</f>
        <v/>
      </c>
      <c r="AJ120" s="15">
        <f>IF(H120&gt;I120,1,0)</f>
        <v/>
      </c>
      <c r="AK120" s="15">
        <f>IF(K120&gt;M120,1,0)</f>
        <v/>
      </c>
    </row>
    <row r="121" ht="14.5" customHeight="1">
      <c r="A121" s="12" t="inlineStr">
        <is>
          <t>GESHIP</t>
        </is>
      </c>
      <c r="B121" s="13">
        <f>IFERROR(__xludf.DUMMYFUNCTION("GOOGLEFINANCE(""NSE:""&amp;A121,""PRICE"")"),1111)</f>
        <v/>
      </c>
      <c r="C121" s="13">
        <f>IFERROR(__xludf.DUMMYFUNCTION("GOOGLEFINANCE(""NSE:""&amp;A121,""PRICEOPEN"")"),1102.05)</f>
        <v/>
      </c>
      <c r="D121" s="13">
        <f>IFERROR(__xludf.DUMMYFUNCTION("GOOGLEFINANCE(""NSE:""&amp;A121,""HIGH"")"),1124.8)</f>
        <v/>
      </c>
      <c r="E121" s="13">
        <f>IFERROR(__xludf.DUMMYFUNCTION("GOOGLEFINANCE(""NSE:""&amp;A121,""LOW"")"),1094.6)</f>
        <v/>
      </c>
      <c r="F121" s="13">
        <f>IFERROR(__xludf.DUMMYFUNCTION("GOOGLEFINANCE(""NSE:""&amp;A121,""closeyest"")"),1101.05)</f>
        <v/>
      </c>
      <c r="G121" s="14">
        <f>(B121-C121)/B121</f>
        <v/>
      </c>
      <c r="H121" s="13">
        <f>IFERROR(__xludf.DUMMYFUNCTION("GOOGLEFINANCE(""NSE:""&amp;A121,""VOLUME"")"),483522)</f>
        <v/>
      </c>
      <c r="I121" s="13">
        <f>IFERROR(__xludf.DUMMYFUNCTION("AVERAGE(index(GOOGLEFINANCE(""NSE:""&amp;$A121, ""volume"", today()-21, today()-1), , 2))"),"#N/A")</f>
        <v/>
      </c>
      <c r="J121" s="14">
        <f>(H121-I121)/I121</f>
        <v/>
      </c>
      <c r="K121" s="13">
        <f>IFERROR(__xludf.DUMMYFUNCTION("AVERAGE(index(GOOGLEFINANCE(""NSE:""&amp;$A121, ""close"", today()-6, today()-1), , 2))"),"#N/A")</f>
        <v/>
      </c>
      <c r="L121" s="13">
        <f>IFERROR(__xludf.DUMMYFUNCTION("AVERAGE(index(GOOGLEFINANCE(""NSE:""&amp;$A121, ""close"", today()-14, today()-1), , 2))"),"#N/A")</f>
        <v/>
      </c>
      <c r="M121" s="13">
        <f>IFERROR(__xludf.DUMMYFUNCTION("AVERAGE(index(GOOGLEFINANCE(""NSE:""&amp;$A121, ""close"", today()-22, today()-1), , 2))"),"#N/A")</f>
        <v/>
      </c>
      <c r="N121" s="13">
        <f>AG121</f>
        <v/>
      </c>
      <c r="O121" s="13">
        <f>AI121</f>
        <v/>
      </c>
      <c r="P121" s="13">
        <f>W121</f>
        <v/>
      </c>
      <c r="Q121" s="13">
        <f>Y121</f>
        <v/>
      </c>
      <c r="R121" s="15" t="n"/>
      <c r="S121" s="15">
        <f>LEFT(W121,2)&amp;LEFT(Y121,2)</f>
        <v/>
      </c>
      <c r="T121" s="15" t="n"/>
      <c r="U121" s="15">
        <f>IF(K121&lt;L121,1,0)</f>
        <v/>
      </c>
      <c r="V121" s="15">
        <f>IF(H121&gt;I121,1,0)</f>
        <v/>
      </c>
      <c r="W121" s="15">
        <f>IF(SUM(U121:V121)=2,"Anticipatory_Sell","No_Action")</f>
        <v/>
      </c>
      <c r="X121" s="15" t="n"/>
      <c r="Y121" s="15">
        <f>IF(SUM(Z121:AA121)=2,"Confirm_Sell","No_Action")</f>
        <v/>
      </c>
      <c r="Z121" s="15">
        <f>IF(H121&gt;I121,1,0)</f>
        <v/>
      </c>
      <c r="AA121" s="15">
        <f>IF(K121&lt;M121,1,0)</f>
        <v/>
      </c>
      <c r="AB121" s="15" t="n"/>
      <c r="AC121" s="15">
        <f>LEFT(AG121,2)&amp;LEFT(AI121,2)</f>
        <v/>
      </c>
      <c r="AD121" s="15" t="n"/>
      <c r="AE121" s="15">
        <f>IF(K121&gt;L121,1,0)</f>
        <v/>
      </c>
      <c r="AF121" s="16">
        <f>IF(H121&gt;I121,1,0)</f>
        <v/>
      </c>
      <c r="AG121" s="16">
        <f>IF(SUM(AE121:AF121)=2,"Anticipatory_Buy","No_Action")</f>
        <v/>
      </c>
      <c r="AH121" s="15" t="n"/>
      <c r="AI121" s="15">
        <f>IF(SUM(AJ121:AK121)=2,"Confirm_Buy","No_Action")</f>
        <v/>
      </c>
      <c r="AJ121" s="15">
        <f>IF(H121&gt;I121,1,0)</f>
        <v/>
      </c>
      <c r="AK121" s="15">
        <f>IF(K121&gt;M121,1,0)</f>
        <v/>
      </c>
    </row>
    <row r="122" ht="14.5" customHeight="1">
      <c r="A122" s="12" t="inlineStr">
        <is>
          <t>GHCL</t>
        </is>
      </c>
      <c r="B122" s="13">
        <f>IFERROR(__xludf.DUMMYFUNCTION("GOOGLEFINANCE(""NSE:""&amp;A122,""PRICE"")"),674.45)</f>
        <v/>
      </c>
      <c r="C122" s="13">
        <f>IFERROR(__xludf.DUMMYFUNCTION("GOOGLEFINANCE(""NSE:""&amp;A122,""PRICEOPEN"")"),671.05)</f>
        <v/>
      </c>
      <c r="D122" s="13">
        <f>IFERROR(__xludf.DUMMYFUNCTION("GOOGLEFINANCE(""NSE:""&amp;A122,""HIGH"")"),687)</f>
        <v/>
      </c>
      <c r="E122" s="13">
        <f>IFERROR(__xludf.DUMMYFUNCTION("GOOGLEFINANCE(""NSE:""&amp;A122,""LOW"")"),670.35)</f>
        <v/>
      </c>
      <c r="F122" s="13">
        <f>IFERROR(__xludf.DUMMYFUNCTION("GOOGLEFINANCE(""NSE:""&amp;A122,""closeyest"")"),667.2)</f>
        <v/>
      </c>
      <c r="G122" s="14">
        <f>(B122-C122)/B122</f>
        <v/>
      </c>
      <c r="H122" s="13">
        <f>IFERROR(__xludf.DUMMYFUNCTION("GOOGLEFINANCE(""NSE:""&amp;A122,""VOLUME"")"),365016)</f>
        <v/>
      </c>
      <c r="I122" s="13">
        <f>IFERROR(__xludf.DUMMYFUNCTION("AVERAGE(index(GOOGLEFINANCE(""NSE:""&amp;$A122, ""volume"", today()-21, today()-1), , 2))"),"#N/A")</f>
        <v/>
      </c>
      <c r="J122" s="14">
        <f>(H122-I122)/I122</f>
        <v/>
      </c>
      <c r="K122" s="13">
        <f>IFERROR(__xludf.DUMMYFUNCTION("AVERAGE(index(GOOGLEFINANCE(""NSE:""&amp;$A122, ""close"", today()-6, today()-1), , 2))"),"#N/A")</f>
        <v/>
      </c>
      <c r="L122" s="13">
        <f>IFERROR(__xludf.DUMMYFUNCTION("AVERAGE(index(GOOGLEFINANCE(""NSE:""&amp;$A122, ""close"", today()-14, today()-1), , 2))"),"#N/A")</f>
        <v/>
      </c>
      <c r="M122" s="13">
        <f>IFERROR(__xludf.DUMMYFUNCTION("AVERAGE(index(GOOGLEFINANCE(""NSE:""&amp;$A122, ""close"", today()-22, today()-1), , 2))"),"#N/A")</f>
        <v/>
      </c>
      <c r="N122" s="13">
        <f>AG122</f>
        <v/>
      </c>
      <c r="O122" s="13">
        <f>AI122</f>
        <v/>
      </c>
      <c r="P122" s="13">
        <f>W122</f>
        <v/>
      </c>
      <c r="Q122" s="13">
        <f>Y122</f>
        <v/>
      </c>
      <c r="R122" s="15" t="n"/>
      <c r="S122" s="15">
        <f>LEFT(W122,2)&amp;LEFT(Y122,2)</f>
        <v/>
      </c>
      <c r="T122" s="15" t="n"/>
      <c r="U122" s="15">
        <f>IF(K122&lt;L122,1,0)</f>
        <v/>
      </c>
      <c r="V122" s="15">
        <f>IF(H122&gt;I122,1,0)</f>
        <v/>
      </c>
      <c r="W122" s="15">
        <f>IF(SUM(U122:V122)=2,"Anticipatory_Sell","No_Action")</f>
        <v/>
      </c>
      <c r="X122" s="15" t="n"/>
      <c r="Y122" s="15">
        <f>IF(SUM(Z122:AA122)=2,"Confirm_Sell","No_Action")</f>
        <v/>
      </c>
      <c r="Z122" s="15">
        <f>IF(H122&gt;I122,1,0)</f>
        <v/>
      </c>
      <c r="AA122" s="15">
        <f>IF(K122&lt;M122,1,0)</f>
        <v/>
      </c>
      <c r="AB122" s="15" t="n"/>
      <c r="AC122" s="15">
        <f>LEFT(AG122,2)&amp;LEFT(AI122,2)</f>
        <v/>
      </c>
      <c r="AD122" s="15" t="n"/>
      <c r="AE122" s="15">
        <f>IF(K122&gt;L122,1,0)</f>
        <v/>
      </c>
      <c r="AF122" s="16">
        <f>IF(H122&gt;I122,1,0)</f>
        <v/>
      </c>
      <c r="AG122" s="16">
        <f>IF(SUM(AE122:AF122)=2,"Anticipatory_Buy","No_Action")</f>
        <v/>
      </c>
      <c r="AH122" s="15" t="n"/>
      <c r="AI122" s="15">
        <f>IF(SUM(AJ122:AK122)=2,"Confirm_Buy","No_Action")</f>
        <v/>
      </c>
      <c r="AJ122" s="15">
        <f>IF(H122&gt;I122,1,0)</f>
        <v/>
      </c>
      <c r="AK122" s="15">
        <f>IF(K122&gt;M122,1,0)</f>
        <v/>
      </c>
    </row>
    <row r="123" ht="14.5" customHeight="1">
      <c r="A123" s="12" t="inlineStr">
        <is>
          <t>GLAND</t>
        </is>
      </c>
      <c r="B123" s="13">
        <f>IFERROR(__xludf.DUMMYFUNCTION("GOOGLEFINANCE(""NSE:""&amp;A123,""PRICE"")"),1789)</f>
        <v/>
      </c>
      <c r="C123" s="13">
        <f>IFERROR(__xludf.DUMMYFUNCTION("GOOGLEFINANCE(""NSE:""&amp;A123,""PRICEOPEN"")"),1822.25)</f>
        <v/>
      </c>
      <c r="D123" s="13">
        <f>IFERROR(__xludf.DUMMYFUNCTION("GOOGLEFINANCE(""NSE:""&amp;A123,""HIGH"")"),1838)</f>
        <v/>
      </c>
      <c r="E123" s="13">
        <f>IFERROR(__xludf.DUMMYFUNCTION("GOOGLEFINANCE(""NSE:""&amp;A123,""LOW"")"),1781.05)</f>
        <v/>
      </c>
      <c r="F123" s="13">
        <f>IFERROR(__xludf.DUMMYFUNCTION("GOOGLEFINANCE(""NSE:""&amp;A123,""closeyest"")"),1813.25)</f>
        <v/>
      </c>
      <c r="G123" s="14">
        <f>(B123-C123)/B123</f>
        <v/>
      </c>
      <c r="H123" s="13">
        <f>IFERROR(__xludf.DUMMYFUNCTION("GOOGLEFINANCE(""NSE:""&amp;A123,""VOLUME"")"),87607)</f>
        <v/>
      </c>
      <c r="I123" s="13">
        <f>IFERROR(__xludf.DUMMYFUNCTION("AVERAGE(index(GOOGLEFINANCE(""NSE:""&amp;$A123, ""volume"", today()-21, today()-1), , 2))"),"#N/A")</f>
        <v/>
      </c>
      <c r="J123" s="14">
        <f>(H123-I123)/I123</f>
        <v/>
      </c>
      <c r="K123" s="13">
        <f>IFERROR(__xludf.DUMMYFUNCTION("AVERAGE(index(GOOGLEFINANCE(""NSE:""&amp;$A123, ""close"", today()-6, today()-1), , 2))"),"#N/A")</f>
        <v/>
      </c>
      <c r="L123" s="13">
        <f>IFERROR(__xludf.DUMMYFUNCTION("AVERAGE(index(GOOGLEFINANCE(""NSE:""&amp;$A123, ""close"", today()-14, today()-1), , 2))"),"#N/A")</f>
        <v/>
      </c>
      <c r="M123" s="13">
        <f>IFERROR(__xludf.DUMMYFUNCTION("AVERAGE(index(GOOGLEFINANCE(""NSE:""&amp;$A123, ""close"", today()-22, today()-1), , 2))"),"#N/A")</f>
        <v/>
      </c>
      <c r="N123" s="13">
        <f>AG123</f>
        <v/>
      </c>
      <c r="O123" s="13">
        <f>AI123</f>
        <v/>
      </c>
      <c r="P123" s="13">
        <f>W123</f>
        <v/>
      </c>
      <c r="Q123" s="13">
        <f>Y123</f>
        <v/>
      </c>
      <c r="R123" s="15" t="n"/>
      <c r="S123" s="15">
        <f>LEFT(W123,2)&amp;LEFT(Y123,2)</f>
        <v/>
      </c>
      <c r="T123" s="15" t="n"/>
      <c r="U123" s="15">
        <f>IF(K123&lt;L123,1,0)</f>
        <v/>
      </c>
      <c r="V123" s="15">
        <f>IF(H123&gt;I123,1,0)</f>
        <v/>
      </c>
      <c r="W123" s="15">
        <f>IF(SUM(U123:V123)=2,"Anticipatory_Sell","No_Action")</f>
        <v/>
      </c>
      <c r="X123" s="15" t="n"/>
      <c r="Y123" s="15">
        <f>IF(SUM(Z123:AA123)=2,"Confirm_Sell","No_Action")</f>
        <v/>
      </c>
      <c r="Z123" s="15">
        <f>IF(H123&gt;I123,1,0)</f>
        <v/>
      </c>
      <c r="AA123" s="15">
        <f>IF(K123&lt;M123,1,0)</f>
        <v/>
      </c>
      <c r="AB123" s="15" t="n"/>
      <c r="AC123" s="15">
        <f>LEFT(AG123,2)&amp;LEFT(AI123,2)</f>
        <v/>
      </c>
      <c r="AD123" s="15" t="n"/>
      <c r="AE123" s="15">
        <f>IF(K123&gt;L123,1,0)</f>
        <v/>
      </c>
      <c r="AF123" s="16">
        <f>IF(H123&gt;I123,1,0)</f>
        <v/>
      </c>
      <c r="AG123" s="16">
        <f>IF(SUM(AE123:AF123)=2,"Anticipatory_Buy","No_Action")</f>
        <v/>
      </c>
      <c r="AH123" s="15" t="n"/>
      <c r="AI123" s="15">
        <f>IF(SUM(AJ123:AK123)=2,"Confirm_Buy","No_Action")</f>
        <v/>
      </c>
      <c r="AJ123" s="15">
        <f>IF(H123&gt;I123,1,0)</f>
        <v/>
      </c>
      <c r="AK123" s="15">
        <f>IF(K123&gt;M123,1,0)</f>
        <v/>
      </c>
    </row>
    <row r="124" ht="14.5" customHeight="1">
      <c r="A124" s="12" t="inlineStr">
        <is>
          <t>GLAXO</t>
        </is>
      </c>
      <c r="B124" s="13">
        <f>IFERROR(__xludf.DUMMYFUNCTION("GOOGLEFINANCE(""NSE:""&amp;A124,""PRICE"")"),2327.05)</f>
        <v/>
      </c>
      <c r="C124" s="13">
        <f>IFERROR(__xludf.DUMMYFUNCTION("GOOGLEFINANCE(""NSE:""&amp;A124,""PRICEOPEN"")"),2343.15)</f>
        <v/>
      </c>
      <c r="D124" s="13">
        <f>IFERROR(__xludf.DUMMYFUNCTION("GOOGLEFINANCE(""NSE:""&amp;A124,""HIGH"")"),2363.75)</f>
        <v/>
      </c>
      <c r="E124" s="13">
        <f>IFERROR(__xludf.DUMMYFUNCTION("GOOGLEFINANCE(""NSE:""&amp;A124,""LOW"")"),2322.05)</f>
        <v/>
      </c>
      <c r="F124" s="13">
        <f>IFERROR(__xludf.DUMMYFUNCTION("GOOGLEFINANCE(""NSE:""&amp;A124,""closeyest"")"),2343.15)</f>
        <v/>
      </c>
      <c r="G124" s="14">
        <f>(B124-C124)/B124</f>
        <v/>
      </c>
      <c r="H124" s="13">
        <f>IFERROR(__xludf.DUMMYFUNCTION("GOOGLEFINANCE(""NSE:""&amp;A124,""VOLUME"")"),60787)</f>
        <v/>
      </c>
      <c r="I124" s="13">
        <f>IFERROR(__xludf.DUMMYFUNCTION("AVERAGE(index(GOOGLEFINANCE(""NSE:""&amp;$A124, ""volume"", today()-21, today()-1), , 2))"),"#N/A")</f>
        <v/>
      </c>
      <c r="J124" s="14">
        <f>(H124-I124)/I124</f>
        <v/>
      </c>
      <c r="K124" s="13">
        <f>IFERROR(__xludf.DUMMYFUNCTION("AVERAGE(index(GOOGLEFINANCE(""NSE:""&amp;$A124, ""close"", today()-6, today()-1), , 2))"),"#N/A")</f>
        <v/>
      </c>
      <c r="L124" s="13">
        <f>IFERROR(__xludf.DUMMYFUNCTION("AVERAGE(index(GOOGLEFINANCE(""NSE:""&amp;$A124, ""close"", today()-14, today()-1), , 2))"),"#N/A")</f>
        <v/>
      </c>
      <c r="M124" s="13">
        <f>IFERROR(__xludf.DUMMYFUNCTION("AVERAGE(index(GOOGLEFINANCE(""NSE:""&amp;$A124, ""close"", today()-22, today()-1), , 2))"),"#N/A")</f>
        <v/>
      </c>
      <c r="N124" s="13">
        <f>AG124</f>
        <v/>
      </c>
      <c r="O124" s="13">
        <f>AI124</f>
        <v/>
      </c>
      <c r="P124" s="13">
        <f>W124</f>
        <v/>
      </c>
      <c r="Q124" s="13">
        <f>Y124</f>
        <v/>
      </c>
      <c r="R124" s="15" t="n"/>
      <c r="S124" s="15">
        <f>LEFT(W124,2)&amp;LEFT(Y124,2)</f>
        <v/>
      </c>
      <c r="T124" s="15" t="n"/>
      <c r="U124" s="15">
        <f>IF(K124&lt;L124,1,0)</f>
        <v/>
      </c>
      <c r="V124" s="15">
        <f>IF(H124&gt;I124,1,0)</f>
        <v/>
      </c>
      <c r="W124" s="15">
        <f>IF(SUM(U124:V124)=2,"Anticipatory_Sell","No_Action")</f>
        <v/>
      </c>
      <c r="X124" s="15" t="n"/>
      <c r="Y124" s="15">
        <f>IF(SUM(Z124:AA124)=2,"Confirm_Sell","No_Action")</f>
        <v/>
      </c>
      <c r="Z124" s="15">
        <f>IF(H124&gt;I124,1,0)</f>
        <v/>
      </c>
      <c r="AA124" s="15">
        <f>IF(K124&lt;M124,1,0)</f>
        <v/>
      </c>
      <c r="AB124" s="15" t="n"/>
      <c r="AC124" s="15">
        <f>LEFT(AG124,2)&amp;LEFT(AI124,2)</f>
        <v/>
      </c>
      <c r="AD124" s="15" t="n"/>
      <c r="AE124" s="15">
        <f>IF(K124&gt;L124,1,0)</f>
        <v/>
      </c>
      <c r="AF124" s="16">
        <f>IF(H124&gt;I124,1,0)</f>
        <v/>
      </c>
      <c r="AG124" s="16">
        <f>IF(SUM(AE124:AF124)=2,"Anticipatory_Buy","No_Action")</f>
        <v/>
      </c>
      <c r="AH124" s="15" t="n"/>
      <c r="AI124" s="15">
        <f>IF(SUM(AJ124:AK124)=2,"Confirm_Buy","No_Action")</f>
        <v/>
      </c>
      <c r="AJ124" s="15">
        <f>IF(H124&gt;I124,1,0)</f>
        <v/>
      </c>
      <c r="AK124" s="15">
        <f>IF(K124&gt;M124,1,0)</f>
        <v/>
      </c>
    </row>
    <row r="125" ht="14.5" customHeight="1">
      <c r="A125" s="12" t="inlineStr">
        <is>
          <t>MEDANTA</t>
        </is>
      </c>
      <c r="B125" s="13">
        <f>IFERROR(__xludf.DUMMYFUNCTION("GOOGLEFINANCE(""NSE:""&amp;A125,""PRICE"")"),1180)</f>
        <v/>
      </c>
      <c r="C125" s="13">
        <f>IFERROR(__xludf.DUMMYFUNCTION("GOOGLEFINANCE(""NSE:""&amp;A125,""PRICEOPEN"")"),1182.2)</f>
        <v/>
      </c>
      <c r="D125" s="13">
        <f>IFERROR(__xludf.DUMMYFUNCTION("GOOGLEFINANCE(""NSE:""&amp;A125,""HIGH"")"),1189.3)</f>
        <v/>
      </c>
      <c r="E125" s="13">
        <f>IFERROR(__xludf.DUMMYFUNCTION("GOOGLEFINANCE(""NSE:""&amp;A125,""LOW"")"),1169.05)</f>
        <v/>
      </c>
      <c r="F125" s="13">
        <f>IFERROR(__xludf.DUMMYFUNCTION("GOOGLEFINANCE(""NSE:""&amp;A125,""closeyest"")"),1175.3)</f>
        <v/>
      </c>
      <c r="G125" s="14">
        <f>(B125-C125)/B125</f>
        <v/>
      </c>
      <c r="H125" s="13">
        <f>IFERROR(__xludf.DUMMYFUNCTION("GOOGLEFINANCE(""NSE:""&amp;A125,""VOLUME"")"),208475)</f>
        <v/>
      </c>
      <c r="I125" s="13">
        <f>IFERROR(__xludf.DUMMYFUNCTION("AVERAGE(index(GOOGLEFINANCE(""NSE:""&amp;$A125, ""volume"", today()-21, today()-1), , 2))"),"#N/A")</f>
        <v/>
      </c>
      <c r="J125" s="14">
        <f>(H125-I125)/I125</f>
        <v/>
      </c>
      <c r="K125" s="13">
        <f>IFERROR(__xludf.DUMMYFUNCTION("AVERAGE(index(GOOGLEFINANCE(""NSE:""&amp;$A125, ""close"", today()-6, today()-1), , 2))"),"#N/A")</f>
        <v/>
      </c>
      <c r="L125" s="13">
        <f>IFERROR(__xludf.DUMMYFUNCTION("AVERAGE(index(GOOGLEFINANCE(""NSE:""&amp;$A125, ""close"", today()-14, today()-1), , 2))"),"#N/A")</f>
        <v/>
      </c>
      <c r="M125" s="13">
        <f>IFERROR(__xludf.DUMMYFUNCTION("AVERAGE(index(GOOGLEFINANCE(""NSE:""&amp;$A125, ""close"", today()-22, today()-1), , 2))"),"#N/A")</f>
        <v/>
      </c>
      <c r="N125" s="13">
        <f>AG125</f>
        <v/>
      </c>
      <c r="O125" s="13">
        <f>AI125</f>
        <v/>
      </c>
      <c r="P125" s="13">
        <f>W125</f>
        <v/>
      </c>
      <c r="Q125" s="13">
        <f>Y125</f>
        <v/>
      </c>
      <c r="R125" s="15" t="n"/>
      <c r="S125" s="15">
        <f>LEFT(W125,2)&amp;LEFT(Y125,2)</f>
        <v/>
      </c>
      <c r="T125" s="15" t="n"/>
      <c r="U125" s="15">
        <f>IF(K125&lt;L125,1,0)</f>
        <v/>
      </c>
      <c r="V125" s="15">
        <f>IF(H125&gt;I125,1,0)</f>
        <v/>
      </c>
      <c r="W125" s="15">
        <f>IF(SUM(U125:V125)=2,"Anticipatory_Sell","No_Action")</f>
        <v/>
      </c>
      <c r="X125" s="15" t="n"/>
      <c r="Y125" s="15">
        <f>IF(SUM(Z125:AA125)=2,"Confirm_Sell","No_Action")</f>
        <v/>
      </c>
      <c r="Z125" s="15">
        <f>IF(H125&gt;I125,1,0)</f>
        <v/>
      </c>
      <c r="AA125" s="15">
        <f>IF(K125&lt;M125,1,0)</f>
        <v/>
      </c>
      <c r="AB125" s="15" t="n"/>
      <c r="AC125" s="15">
        <f>LEFT(AG125,2)&amp;LEFT(AI125,2)</f>
        <v/>
      </c>
      <c r="AD125" s="15" t="n"/>
      <c r="AE125" s="15">
        <f>IF(K125&gt;L125,1,0)</f>
        <v/>
      </c>
      <c r="AF125" s="16">
        <f>IF(H125&gt;I125,1,0)</f>
        <v/>
      </c>
      <c r="AG125" s="16">
        <f>IF(SUM(AE125:AF125)=2,"Anticipatory_Buy","No_Action")</f>
        <v/>
      </c>
      <c r="AH125" s="15" t="n"/>
      <c r="AI125" s="15">
        <f>IF(SUM(AJ125:AK125)=2,"Confirm_Buy","No_Action")</f>
        <v/>
      </c>
      <c r="AJ125" s="15">
        <f>IF(H125&gt;I125,1,0)</f>
        <v/>
      </c>
      <c r="AK125" s="15">
        <f>IF(K125&gt;M125,1,0)</f>
        <v/>
      </c>
    </row>
    <row r="126" ht="14.5" customHeight="1">
      <c r="A126" s="12" t="inlineStr">
        <is>
          <t>GMMPFAUDLR</t>
        </is>
      </c>
      <c r="B126" s="13">
        <f>IFERROR(__xludf.DUMMYFUNCTION("GOOGLEFINANCE(""NSE:""&amp;A126,""PRICE"")"),1252)</f>
        <v/>
      </c>
      <c r="C126" s="13">
        <f>IFERROR(__xludf.DUMMYFUNCTION("GOOGLEFINANCE(""NSE:""&amp;A126,""PRICEOPEN"")"),1276.95)</f>
        <v/>
      </c>
      <c r="D126" s="13">
        <f>IFERROR(__xludf.DUMMYFUNCTION("GOOGLEFINANCE(""NSE:""&amp;A126,""HIGH"")"),1282.45)</f>
        <v/>
      </c>
      <c r="E126" s="13">
        <f>IFERROR(__xludf.DUMMYFUNCTION("GOOGLEFINANCE(""NSE:""&amp;A126,""LOW"")"),1246.1)</f>
        <v/>
      </c>
      <c r="F126" s="13">
        <f>IFERROR(__xludf.DUMMYFUNCTION("GOOGLEFINANCE(""NSE:""&amp;A126,""closeyest"")"),1277.45)</f>
        <v/>
      </c>
      <c r="G126" s="14">
        <f>(B126-C126)/B126</f>
        <v/>
      </c>
      <c r="H126" s="13">
        <f>IFERROR(__xludf.DUMMYFUNCTION("GOOGLEFINANCE(""NSE:""&amp;A126,""VOLUME"")"),45507)</f>
        <v/>
      </c>
      <c r="I126" s="13">
        <f>IFERROR(__xludf.DUMMYFUNCTION("AVERAGE(index(GOOGLEFINANCE(""NSE:""&amp;$A126, ""volume"", today()-21, today()-1), , 2))"),"#N/A")</f>
        <v/>
      </c>
      <c r="J126" s="14">
        <f>(H126-I126)/I126</f>
        <v/>
      </c>
      <c r="K126" s="13">
        <f>IFERROR(__xludf.DUMMYFUNCTION("AVERAGE(index(GOOGLEFINANCE(""NSE:""&amp;$A126, ""close"", today()-6, today()-1), , 2))"),"#N/A")</f>
        <v/>
      </c>
      <c r="L126" s="13">
        <f>IFERROR(__xludf.DUMMYFUNCTION("AVERAGE(index(GOOGLEFINANCE(""NSE:""&amp;$A126, ""close"", today()-14, today()-1), , 2))"),"#N/A")</f>
        <v/>
      </c>
      <c r="M126" s="13">
        <f>IFERROR(__xludf.DUMMYFUNCTION("AVERAGE(index(GOOGLEFINANCE(""NSE:""&amp;$A126, ""close"", today()-22, today()-1), , 2))"),"#N/A")</f>
        <v/>
      </c>
      <c r="N126" s="13">
        <f>AG126</f>
        <v/>
      </c>
      <c r="O126" s="13">
        <f>AI126</f>
        <v/>
      </c>
      <c r="P126" s="13">
        <f>W126</f>
        <v/>
      </c>
      <c r="Q126" s="13">
        <f>Y126</f>
        <v/>
      </c>
      <c r="R126" s="15" t="n"/>
      <c r="S126" s="15">
        <f>LEFT(W126,2)&amp;LEFT(Y126,2)</f>
        <v/>
      </c>
      <c r="T126" s="15" t="n"/>
      <c r="U126" s="15">
        <f>IF(K126&lt;L126,1,0)</f>
        <v/>
      </c>
      <c r="V126" s="15">
        <f>IF(H126&gt;I126,1,0)</f>
        <v/>
      </c>
      <c r="W126" s="15">
        <f>IF(SUM(U126:V126)=2,"Anticipatory_Sell","No_Action")</f>
        <v/>
      </c>
      <c r="X126" s="15" t="n"/>
      <c r="Y126" s="15">
        <f>IF(SUM(Z126:AA126)=2,"Confirm_Sell","No_Action")</f>
        <v/>
      </c>
      <c r="Z126" s="15">
        <f>IF(H126&gt;I126,1,0)</f>
        <v/>
      </c>
      <c r="AA126" s="15">
        <f>IF(K126&lt;M126,1,0)</f>
        <v/>
      </c>
      <c r="AB126" s="15" t="n"/>
      <c r="AC126" s="15">
        <f>LEFT(AG126,2)&amp;LEFT(AI126,2)</f>
        <v/>
      </c>
      <c r="AD126" s="15" t="n"/>
      <c r="AE126" s="15">
        <f>IF(K126&gt;L126,1,0)</f>
        <v/>
      </c>
      <c r="AF126" s="16">
        <f>IF(H126&gt;I126,1,0)</f>
        <v/>
      </c>
      <c r="AG126" s="16">
        <f>IF(SUM(AE126:AF126)=2,"Anticipatory_Buy","No_Action")</f>
        <v/>
      </c>
      <c r="AH126" s="15" t="n"/>
      <c r="AI126" s="15">
        <f>IF(SUM(AJ126:AK126)=2,"Confirm_Buy","No_Action")</f>
        <v/>
      </c>
      <c r="AJ126" s="15">
        <f>IF(H126&gt;I126,1,0)</f>
        <v/>
      </c>
      <c r="AK126" s="15">
        <f>IF(K126&gt;M126,1,0)</f>
        <v/>
      </c>
    </row>
    <row r="127" ht="14.5" customHeight="1">
      <c r="A127" s="12" t="inlineStr">
        <is>
          <t>GPIL</t>
        </is>
      </c>
      <c r="B127" s="13">
        <f>IFERROR(__xludf.DUMMYFUNCTION("GOOGLEFINANCE(""NSE:""&amp;A127,""PRICE"")"),223.1)</f>
        <v/>
      </c>
      <c r="C127" s="13">
        <f>IFERROR(__xludf.DUMMYFUNCTION("GOOGLEFINANCE(""NSE:""&amp;A127,""PRICEOPEN"")"),216.47)</f>
        <v/>
      </c>
      <c r="D127" s="13">
        <f>IFERROR(__xludf.DUMMYFUNCTION("GOOGLEFINANCE(""NSE:""&amp;A127,""HIGH"")"),224.2)</f>
        <v/>
      </c>
      <c r="E127" s="13">
        <f>IFERROR(__xludf.DUMMYFUNCTION("GOOGLEFINANCE(""NSE:""&amp;A127,""LOW"")"),214.09)</f>
        <v/>
      </c>
      <c r="F127" s="13">
        <f>IFERROR(__xludf.DUMMYFUNCTION("GOOGLEFINANCE(""NSE:""&amp;A127,""closeyest"")"),214.57)</f>
        <v/>
      </c>
      <c r="G127" s="14">
        <f>(B127-C127)/B127</f>
        <v/>
      </c>
      <c r="H127" s="13">
        <f>IFERROR(__xludf.DUMMYFUNCTION("GOOGLEFINANCE(""NSE:""&amp;A127,""VOLUME"")"),4714517)</f>
        <v/>
      </c>
      <c r="I127" s="13">
        <f>IFERROR(__xludf.DUMMYFUNCTION("AVERAGE(index(GOOGLEFINANCE(""NSE:""&amp;$A127, ""volume"", today()-21, today()-1), , 2))"),"#N/A")</f>
        <v/>
      </c>
      <c r="J127" s="14">
        <f>(H127-I127)/I127</f>
        <v/>
      </c>
      <c r="K127" s="13">
        <f>IFERROR(__xludf.DUMMYFUNCTION("AVERAGE(index(GOOGLEFINANCE(""NSE:""&amp;$A127, ""close"", today()-6, today()-1), , 2))"),"#N/A")</f>
        <v/>
      </c>
      <c r="L127" s="13">
        <f>IFERROR(__xludf.DUMMYFUNCTION("AVERAGE(index(GOOGLEFINANCE(""NSE:""&amp;$A127, ""close"", today()-14, today()-1), , 2))"),"#N/A")</f>
        <v/>
      </c>
      <c r="M127" s="13">
        <f>IFERROR(__xludf.DUMMYFUNCTION("AVERAGE(index(GOOGLEFINANCE(""NSE:""&amp;$A127, ""close"", today()-22, today()-1), , 2))"),"#N/A")</f>
        <v/>
      </c>
      <c r="N127" s="13">
        <f>AG127</f>
        <v/>
      </c>
      <c r="O127" s="13">
        <f>AI127</f>
        <v/>
      </c>
      <c r="P127" s="13">
        <f>W127</f>
        <v/>
      </c>
      <c r="Q127" s="13">
        <f>Y127</f>
        <v/>
      </c>
      <c r="R127" s="15" t="n"/>
      <c r="S127" s="15">
        <f>LEFT(W127,2)&amp;LEFT(Y127,2)</f>
        <v/>
      </c>
      <c r="T127" s="15" t="n"/>
      <c r="U127" s="15">
        <f>IF(K127&lt;L127,1,0)</f>
        <v/>
      </c>
      <c r="V127" s="15">
        <f>IF(H127&gt;I127,1,0)</f>
        <v/>
      </c>
      <c r="W127" s="15">
        <f>IF(SUM(U127:V127)=2,"Anticipatory_Sell","No_Action")</f>
        <v/>
      </c>
      <c r="X127" s="15" t="n"/>
      <c r="Y127" s="15">
        <f>IF(SUM(Z127:AA127)=2,"Confirm_Sell","No_Action")</f>
        <v/>
      </c>
      <c r="Z127" s="15">
        <f>IF(H127&gt;I127,1,0)</f>
        <v/>
      </c>
      <c r="AA127" s="15">
        <f>IF(K127&lt;M127,1,0)</f>
        <v/>
      </c>
      <c r="AB127" s="15" t="n"/>
      <c r="AC127" s="15">
        <f>LEFT(AG127,2)&amp;LEFT(AI127,2)</f>
        <v/>
      </c>
      <c r="AD127" s="15" t="n"/>
      <c r="AE127" s="15">
        <f>IF(K127&gt;L127,1,0)</f>
        <v/>
      </c>
      <c r="AF127" s="16">
        <f>IF(H127&gt;I127,1,0)</f>
        <v/>
      </c>
      <c r="AG127" s="16">
        <f>IF(SUM(AE127:AF127)=2,"Anticipatory_Buy","No_Action")</f>
        <v/>
      </c>
      <c r="AH127" s="15" t="n"/>
      <c r="AI127" s="15">
        <f>IF(SUM(AJ127:AK127)=2,"Confirm_Buy","No_Action")</f>
        <v/>
      </c>
      <c r="AJ127" s="15">
        <f>IF(H127&gt;I127,1,0)</f>
        <v/>
      </c>
      <c r="AK127" s="15">
        <f>IF(K127&gt;M127,1,0)</f>
        <v/>
      </c>
    </row>
    <row r="128" ht="14.5" customHeight="1">
      <c r="A128" s="12" t="inlineStr">
        <is>
          <t>GODFRYPHLP</t>
        </is>
      </c>
      <c r="B128" s="13">
        <f>IFERROR(__xludf.DUMMYFUNCTION("GOOGLEFINANCE(""NSE:""&amp;A128,""PRICE"")"),5689)</f>
        <v/>
      </c>
      <c r="C128" s="13">
        <f>IFERROR(__xludf.DUMMYFUNCTION("GOOGLEFINANCE(""NSE:""&amp;A128,""PRICEOPEN"")"),5595.05)</f>
        <v/>
      </c>
      <c r="D128" s="13">
        <f>IFERROR(__xludf.DUMMYFUNCTION("GOOGLEFINANCE(""NSE:""&amp;A128,""HIGH"")"),5689)</f>
        <v/>
      </c>
      <c r="E128" s="13">
        <f>IFERROR(__xludf.DUMMYFUNCTION("GOOGLEFINANCE(""NSE:""&amp;A128,""LOW"")"),5575)</f>
        <v/>
      </c>
      <c r="F128" s="13">
        <f>IFERROR(__xludf.DUMMYFUNCTION("GOOGLEFINANCE(""NSE:""&amp;A128,""closeyest"")"),5594.45)</f>
        <v/>
      </c>
      <c r="G128" s="14">
        <f>(B128-C128)/B128</f>
        <v/>
      </c>
      <c r="H128" s="13">
        <f>IFERROR(__xludf.DUMMYFUNCTION("GOOGLEFINANCE(""NSE:""&amp;A128,""VOLUME"")"),30882)</f>
        <v/>
      </c>
      <c r="I128" s="13">
        <f>IFERROR(__xludf.DUMMYFUNCTION("AVERAGE(index(GOOGLEFINANCE(""NSE:""&amp;$A128, ""volume"", today()-21, today()-1), , 2))"),"#N/A")</f>
        <v/>
      </c>
      <c r="J128" s="14">
        <f>(H128-I128)/I128</f>
        <v/>
      </c>
      <c r="K128" s="13">
        <f>IFERROR(__xludf.DUMMYFUNCTION("AVERAGE(index(GOOGLEFINANCE(""NSE:""&amp;$A128, ""close"", today()-6, today()-1), , 2))"),"#N/A")</f>
        <v/>
      </c>
      <c r="L128" s="13">
        <f>IFERROR(__xludf.DUMMYFUNCTION("AVERAGE(index(GOOGLEFINANCE(""NSE:""&amp;$A128, ""close"", today()-14, today()-1), , 2))"),"#N/A")</f>
        <v/>
      </c>
      <c r="M128" s="13">
        <f>IFERROR(__xludf.DUMMYFUNCTION("AVERAGE(index(GOOGLEFINANCE(""NSE:""&amp;$A128, ""close"", today()-22, today()-1), , 2))"),"#N/A")</f>
        <v/>
      </c>
      <c r="N128" s="13">
        <f>AG128</f>
        <v/>
      </c>
      <c r="O128" s="13">
        <f>AI128</f>
        <v/>
      </c>
      <c r="P128" s="13">
        <f>W128</f>
        <v/>
      </c>
      <c r="Q128" s="13">
        <f>Y128</f>
        <v/>
      </c>
      <c r="R128" s="15" t="n"/>
      <c r="S128" s="15">
        <f>LEFT(W128,2)&amp;LEFT(Y128,2)</f>
        <v/>
      </c>
      <c r="T128" s="15" t="n"/>
      <c r="U128" s="15">
        <f>IF(K128&lt;L128,1,0)</f>
        <v/>
      </c>
      <c r="V128" s="15">
        <f>IF(H128&gt;I128,1,0)</f>
        <v/>
      </c>
      <c r="W128" s="15">
        <f>IF(SUM(U128:V128)=2,"Anticipatory_Sell","No_Action")</f>
        <v/>
      </c>
      <c r="X128" s="15" t="n"/>
      <c r="Y128" s="15">
        <f>IF(SUM(Z128:AA128)=2,"Confirm_Sell","No_Action")</f>
        <v/>
      </c>
      <c r="Z128" s="15">
        <f>IF(H128&gt;I128,1,0)</f>
        <v/>
      </c>
      <c r="AA128" s="15">
        <f>IF(K128&lt;M128,1,0)</f>
        <v/>
      </c>
      <c r="AB128" s="15" t="n"/>
      <c r="AC128" s="15">
        <f>LEFT(AG128,2)&amp;LEFT(AI128,2)</f>
        <v/>
      </c>
      <c r="AD128" s="15" t="n"/>
      <c r="AE128" s="15">
        <f>IF(K128&gt;L128,1,0)</f>
        <v/>
      </c>
      <c r="AF128" s="16">
        <f>IF(H128&gt;I128,1,0)</f>
        <v/>
      </c>
      <c r="AG128" s="16">
        <f>IF(SUM(AE128:AF128)=2,"Anticipatory_Buy","No_Action")</f>
        <v/>
      </c>
      <c r="AH128" s="15" t="n"/>
      <c r="AI128" s="15">
        <f>IF(SUM(AJ128:AK128)=2,"Confirm_Buy","No_Action")</f>
        <v/>
      </c>
      <c r="AJ128" s="15">
        <f>IF(H128&gt;I128,1,0)</f>
        <v/>
      </c>
      <c r="AK128" s="15">
        <f>IF(K128&gt;M128,1,0)</f>
        <v/>
      </c>
    </row>
    <row r="129" ht="14.5" customHeight="1">
      <c r="A129" s="12" t="inlineStr">
        <is>
          <t>GOLDIAM</t>
        </is>
      </c>
      <c r="B129" s="13">
        <f>IFERROR(__xludf.DUMMYFUNCTION("GOOGLEFINANCE(""NSE:""&amp;A129,""PRICE"")"),424)</f>
        <v/>
      </c>
      <c r="C129" s="13">
        <f>IFERROR(__xludf.DUMMYFUNCTION("GOOGLEFINANCE(""NSE:""&amp;A129,""PRICEOPEN"")"),423.8)</f>
        <v/>
      </c>
      <c r="D129" s="13">
        <f>IFERROR(__xludf.DUMMYFUNCTION("GOOGLEFINANCE(""NSE:""&amp;A129,""HIGH"")"),445.45)</f>
        <v/>
      </c>
      <c r="E129" s="13">
        <f>IFERROR(__xludf.DUMMYFUNCTION("GOOGLEFINANCE(""NSE:""&amp;A129,""LOW"")"),418)</f>
        <v/>
      </c>
      <c r="F129" s="13">
        <f>IFERROR(__xludf.DUMMYFUNCTION("GOOGLEFINANCE(""NSE:""&amp;A129,""closeyest"")"),418.9)</f>
        <v/>
      </c>
      <c r="G129" s="14">
        <f>(B129-C129)/B129</f>
        <v/>
      </c>
      <c r="H129" s="13">
        <f>IFERROR(__xludf.DUMMYFUNCTION("GOOGLEFINANCE(""NSE:""&amp;A129,""VOLUME"")"),3032398)</f>
        <v/>
      </c>
      <c r="I129" s="13">
        <f>IFERROR(__xludf.DUMMYFUNCTION("AVERAGE(index(GOOGLEFINANCE(""NSE:""&amp;$A129, ""volume"", today()-21, today()-1), , 2))"),"#N/A")</f>
        <v/>
      </c>
      <c r="J129" s="14">
        <f>(H129-I129)/I129</f>
        <v/>
      </c>
      <c r="K129" s="13">
        <f>IFERROR(__xludf.DUMMYFUNCTION("AVERAGE(index(GOOGLEFINANCE(""NSE:""&amp;$A129, ""close"", today()-6, today()-1), , 2))"),"#N/A")</f>
        <v/>
      </c>
      <c r="L129" s="13">
        <f>IFERROR(__xludf.DUMMYFUNCTION("AVERAGE(index(GOOGLEFINANCE(""NSE:""&amp;$A129, ""close"", today()-14, today()-1), , 2))"),"#N/A")</f>
        <v/>
      </c>
      <c r="M129" s="13">
        <f>IFERROR(__xludf.DUMMYFUNCTION("AVERAGE(index(GOOGLEFINANCE(""NSE:""&amp;$A129, ""close"", today()-22, today()-1), , 2))"),"#N/A")</f>
        <v/>
      </c>
      <c r="N129" s="13">
        <f>AG129</f>
        <v/>
      </c>
      <c r="O129" s="13">
        <f>AI129</f>
        <v/>
      </c>
      <c r="P129" s="13">
        <f>W129</f>
        <v/>
      </c>
      <c r="Q129" s="13">
        <f>Y129</f>
        <v/>
      </c>
      <c r="R129" s="15" t="n"/>
      <c r="S129" s="15">
        <f>LEFT(W129,2)&amp;LEFT(Y129,2)</f>
        <v/>
      </c>
      <c r="T129" s="15" t="n"/>
      <c r="U129" s="15">
        <f>IF(K129&lt;L129,1,0)</f>
        <v/>
      </c>
      <c r="V129" s="15">
        <f>IF(H129&gt;I129,1,0)</f>
        <v/>
      </c>
      <c r="W129" s="15">
        <f>IF(SUM(U129:V129)=2,"Anticipatory_Sell","No_Action")</f>
        <v/>
      </c>
      <c r="X129" s="15" t="n"/>
      <c r="Y129" s="15">
        <f>IF(SUM(Z129:AA129)=2,"Confirm_Sell","No_Action")</f>
        <v/>
      </c>
      <c r="Z129" s="15">
        <f>IF(H129&gt;I129,1,0)</f>
        <v/>
      </c>
      <c r="AA129" s="15">
        <f>IF(K129&lt;M129,1,0)</f>
        <v/>
      </c>
      <c r="AB129" s="15" t="n"/>
      <c r="AC129" s="15">
        <f>LEFT(AG129,2)&amp;LEFT(AI129,2)</f>
        <v/>
      </c>
      <c r="AD129" s="15" t="n"/>
      <c r="AE129" s="15">
        <f>IF(K129&gt;L129,1,0)</f>
        <v/>
      </c>
      <c r="AF129" s="16">
        <f>IF(H129&gt;I129,1,0)</f>
        <v/>
      </c>
      <c r="AG129" s="16">
        <f>IF(SUM(AE129:AF129)=2,"Anticipatory_Buy","No_Action")</f>
        <v/>
      </c>
      <c r="AH129" s="15" t="n"/>
      <c r="AI129" s="15">
        <f>IF(SUM(AJ129:AK129)=2,"Confirm_Buy","No_Action")</f>
        <v/>
      </c>
      <c r="AJ129" s="15">
        <f>IF(H129&gt;I129,1,0)</f>
        <v/>
      </c>
      <c r="AK129" s="15">
        <f>IF(K129&gt;M129,1,0)</f>
        <v/>
      </c>
    </row>
    <row r="130" ht="14.5" customHeight="1">
      <c r="A130" s="12" t="inlineStr">
        <is>
          <t>GRANULES</t>
        </is>
      </c>
      <c r="B130" s="13">
        <f>IFERROR(__xludf.DUMMYFUNCTION("GOOGLEFINANCE(""NSE:""&amp;A130,""PRICE"")"),579.1)</f>
        <v/>
      </c>
      <c r="C130" s="13">
        <f>IFERROR(__xludf.DUMMYFUNCTION("GOOGLEFINANCE(""NSE:""&amp;A130,""PRICEOPEN"")"),574.05)</f>
        <v/>
      </c>
      <c r="D130" s="13">
        <f>IFERROR(__xludf.DUMMYFUNCTION("GOOGLEFINANCE(""NSE:""&amp;A130,""HIGH"")"),583)</f>
        <v/>
      </c>
      <c r="E130" s="13">
        <f>IFERROR(__xludf.DUMMYFUNCTION("GOOGLEFINANCE(""NSE:""&amp;A130,""LOW"")"),569.25)</f>
        <v/>
      </c>
      <c r="F130" s="13">
        <f>IFERROR(__xludf.DUMMYFUNCTION("GOOGLEFINANCE(""NSE:""&amp;A130,""closeyest"")"),575.65)</f>
        <v/>
      </c>
      <c r="G130" s="14">
        <f>(B130-C130)/B130</f>
        <v/>
      </c>
      <c r="H130" s="13">
        <f>IFERROR(__xludf.DUMMYFUNCTION("GOOGLEFINANCE(""NSE:""&amp;A130,""VOLUME"")"),1631498)</f>
        <v/>
      </c>
      <c r="I130" s="13">
        <f>IFERROR(__xludf.DUMMYFUNCTION("AVERAGE(index(GOOGLEFINANCE(""NSE:""&amp;$A130, ""volume"", today()-21, today()-1), , 2))"),"#N/A")</f>
        <v/>
      </c>
      <c r="J130" s="14">
        <f>(H130-I130)/I130</f>
        <v/>
      </c>
      <c r="K130" s="13">
        <f>IFERROR(__xludf.DUMMYFUNCTION("AVERAGE(index(GOOGLEFINANCE(""NSE:""&amp;$A130, ""close"", today()-6, today()-1), , 2))"),"#N/A")</f>
        <v/>
      </c>
      <c r="L130" s="13">
        <f>IFERROR(__xludf.DUMMYFUNCTION("AVERAGE(index(GOOGLEFINANCE(""NSE:""&amp;$A130, ""close"", today()-14, today()-1), , 2))"),"#N/A")</f>
        <v/>
      </c>
      <c r="M130" s="13">
        <f>IFERROR(__xludf.DUMMYFUNCTION("AVERAGE(index(GOOGLEFINANCE(""NSE:""&amp;$A130, ""close"", today()-22, today()-1), , 2))"),"#N/A")</f>
        <v/>
      </c>
      <c r="N130" s="13">
        <f>AG130</f>
        <v/>
      </c>
      <c r="O130" s="13">
        <f>AI130</f>
        <v/>
      </c>
      <c r="P130" s="13">
        <f>W130</f>
        <v/>
      </c>
      <c r="Q130" s="13">
        <f>Y130</f>
        <v/>
      </c>
      <c r="R130" s="15" t="n"/>
      <c r="S130" s="15">
        <f>LEFT(W130,2)&amp;LEFT(Y130,2)</f>
        <v/>
      </c>
      <c r="T130" s="15" t="n"/>
      <c r="U130" s="15">
        <f>IF(K130&lt;L130,1,0)</f>
        <v/>
      </c>
      <c r="V130" s="15">
        <f>IF(H130&gt;I130,1,0)</f>
        <v/>
      </c>
      <c r="W130" s="15">
        <f>IF(SUM(U130:V130)=2,"Anticipatory_Sell","No_Action")</f>
        <v/>
      </c>
      <c r="X130" s="15" t="n"/>
      <c r="Y130" s="15">
        <f>IF(SUM(Z130:AA130)=2,"Confirm_Sell","No_Action")</f>
        <v/>
      </c>
      <c r="Z130" s="15">
        <f>IF(H130&gt;I130,1,0)</f>
        <v/>
      </c>
      <c r="AA130" s="15">
        <f>IF(K130&lt;M130,1,0)</f>
        <v/>
      </c>
      <c r="AB130" s="15" t="n"/>
      <c r="AC130" s="15">
        <f>LEFT(AG130,2)&amp;LEFT(AI130,2)</f>
        <v/>
      </c>
      <c r="AD130" s="15" t="n"/>
      <c r="AE130" s="15">
        <f>IF(K130&gt;L130,1,0)</f>
        <v/>
      </c>
      <c r="AF130" s="16">
        <f>IF(H130&gt;I130,1,0)</f>
        <v/>
      </c>
      <c r="AG130" s="16">
        <f>IF(SUM(AE130:AF130)=2,"Anticipatory_Buy","No_Action")</f>
        <v/>
      </c>
      <c r="AH130" s="15" t="n"/>
      <c r="AI130" s="15">
        <f>IF(SUM(AJ130:AK130)=2,"Confirm_Buy","No_Action")</f>
        <v/>
      </c>
      <c r="AJ130" s="15">
        <f>IF(H130&gt;I130,1,0)</f>
        <v/>
      </c>
      <c r="AK130" s="15">
        <f>IF(K130&gt;M130,1,0)</f>
        <v/>
      </c>
    </row>
    <row r="131" ht="14.5" customHeight="1">
      <c r="A131" s="12" t="inlineStr">
        <is>
          <t>GRAUWEIL</t>
        </is>
      </c>
      <c r="B131" s="13">
        <f>IFERROR(__xludf.DUMMYFUNCTION("GOOGLEFINANCE(""NSE:""&amp;A131,""PRICE"")"),"#N/A")</f>
        <v/>
      </c>
      <c r="C131" s="13">
        <f>IFERROR(__xludf.DUMMYFUNCTION("GOOGLEFINANCE(""NSE:""&amp;A131,""PRICEOPEN"")"),"#N/A")</f>
        <v/>
      </c>
      <c r="D131" s="13">
        <f>IFERROR(__xludf.DUMMYFUNCTION("GOOGLEFINANCE(""NSE:""&amp;A131,""HIGH"")"),"#N/A")</f>
        <v/>
      </c>
      <c r="E131" s="13">
        <f>IFERROR(__xludf.DUMMYFUNCTION("GOOGLEFINANCE(""NSE:""&amp;A131,""LOW"")"),"#N/A")</f>
        <v/>
      </c>
      <c r="F131" s="13">
        <f>IFERROR(__xludf.DUMMYFUNCTION("GOOGLEFINANCE(""NSE:""&amp;A131,""closeyest"")"),"#N/A")</f>
        <v/>
      </c>
      <c r="G131" s="14">
        <f>(B131-C131)/B131</f>
        <v/>
      </c>
      <c r="H131" s="13">
        <f>IFERROR(__xludf.DUMMYFUNCTION("GOOGLEFINANCE(""NSE:""&amp;A131,""VOLUME"")"),"#N/A")</f>
        <v/>
      </c>
      <c r="I131" s="13">
        <f>IFERROR(__xludf.DUMMYFUNCTION("AVERAGE(index(GOOGLEFINANCE(""NSE:""&amp;$A131, ""volume"", today()-21, today()-1), , 2))"),"#N/A")</f>
        <v/>
      </c>
      <c r="J131" s="14">
        <f>(H131-I131)/I131</f>
        <v/>
      </c>
      <c r="K131" s="13">
        <f>IFERROR(__xludf.DUMMYFUNCTION("AVERAGE(index(GOOGLEFINANCE(""NSE:""&amp;$A131, ""close"", today()-6, today()-1), , 2))"),"#N/A")</f>
        <v/>
      </c>
      <c r="L131" s="13">
        <f>IFERROR(__xludf.DUMMYFUNCTION("AVERAGE(index(GOOGLEFINANCE(""NSE:""&amp;$A131, ""close"", today()-14, today()-1), , 2))"),"#N/A")</f>
        <v/>
      </c>
      <c r="M131" s="13">
        <f>IFERROR(__xludf.DUMMYFUNCTION("AVERAGE(index(GOOGLEFINANCE(""NSE:""&amp;$A131, ""close"", today()-22, today()-1), , 2))"),"#N/A")</f>
        <v/>
      </c>
      <c r="N131" s="13">
        <f>AG131</f>
        <v/>
      </c>
      <c r="O131" s="13">
        <f>AI131</f>
        <v/>
      </c>
      <c r="P131" s="13">
        <f>W131</f>
        <v/>
      </c>
      <c r="Q131" s="13">
        <f>Y131</f>
        <v/>
      </c>
      <c r="R131" s="15" t="n"/>
      <c r="S131" s="15">
        <f>LEFT(W131,2)&amp;LEFT(Y131,2)</f>
        <v/>
      </c>
      <c r="T131" s="15" t="n"/>
      <c r="U131" s="15">
        <f>IF(K131&lt;L131,1,0)</f>
        <v/>
      </c>
      <c r="V131" s="15">
        <f>IF(H131&gt;I131,1,0)</f>
        <v/>
      </c>
      <c r="W131" s="15">
        <f>IF(SUM(U131:V131)=2,"Anticipatory_Sell","No_Action")</f>
        <v/>
      </c>
      <c r="X131" s="15" t="n"/>
      <c r="Y131" s="15">
        <f>IF(SUM(Z131:AA131)=2,"Confirm_Sell","No_Action")</f>
        <v/>
      </c>
      <c r="Z131" s="15">
        <f>IF(H131&gt;I131,1,0)</f>
        <v/>
      </c>
      <c r="AA131" s="15">
        <f>IF(K131&lt;M131,1,0)</f>
        <v/>
      </c>
      <c r="AB131" s="15" t="n"/>
      <c r="AC131" s="15">
        <f>LEFT(AG131,2)&amp;LEFT(AI131,2)</f>
        <v/>
      </c>
      <c r="AD131" s="15" t="n"/>
      <c r="AE131" s="15">
        <f>IF(K131&gt;L131,1,0)</f>
        <v/>
      </c>
      <c r="AF131" s="16">
        <f>IF(H131&gt;I131,1,0)</f>
        <v/>
      </c>
      <c r="AG131" s="16">
        <f>IF(SUM(AE131:AF131)=2,"Anticipatory_Buy","No_Action")</f>
        <v/>
      </c>
      <c r="AH131" s="15" t="n"/>
      <c r="AI131" s="15">
        <f>IF(SUM(AJ131:AK131)=2,"Confirm_Buy","No_Action")</f>
        <v/>
      </c>
      <c r="AJ131" s="15">
        <f>IF(H131&gt;I131,1,0)</f>
        <v/>
      </c>
      <c r="AK131" s="15">
        <f>IF(K131&gt;M131,1,0)</f>
        <v/>
      </c>
    </row>
    <row r="132" ht="14.5" customHeight="1">
      <c r="A132" s="12" t="inlineStr">
        <is>
          <t>GREENLAM</t>
        </is>
      </c>
      <c r="B132" s="13">
        <f>IFERROR(__xludf.DUMMYFUNCTION("GOOGLEFINANCE(""NSE:""&amp;A132,""PRICE"")"),585)</f>
        <v/>
      </c>
      <c r="C132" s="13">
        <f>IFERROR(__xludf.DUMMYFUNCTION("GOOGLEFINANCE(""NSE:""&amp;A132,""PRICEOPEN"")"),586.45)</f>
        <v/>
      </c>
      <c r="D132" s="13">
        <f>IFERROR(__xludf.DUMMYFUNCTION("GOOGLEFINANCE(""NSE:""&amp;A132,""HIGH"")"),591.2)</f>
        <v/>
      </c>
      <c r="E132" s="13">
        <f>IFERROR(__xludf.DUMMYFUNCTION("GOOGLEFINANCE(""NSE:""&amp;A132,""LOW"")"),580.05)</f>
        <v/>
      </c>
      <c r="F132" s="13">
        <f>IFERROR(__xludf.DUMMYFUNCTION("GOOGLEFINANCE(""NSE:""&amp;A132,""closeyest"")"),586.45)</f>
        <v/>
      </c>
      <c r="G132" s="14">
        <f>(B132-C132)/B132</f>
        <v/>
      </c>
      <c r="H132" s="13">
        <f>IFERROR(__xludf.DUMMYFUNCTION("GOOGLEFINANCE(""NSE:""&amp;A132,""VOLUME"")"),13367)</f>
        <v/>
      </c>
      <c r="I132" s="13">
        <f>IFERROR(__xludf.DUMMYFUNCTION("AVERAGE(index(GOOGLEFINANCE(""NSE:""&amp;$A132, ""volume"", today()-21, today()-1), , 2))"),"#N/A")</f>
        <v/>
      </c>
      <c r="J132" s="14">
        <f>(H132-I132)/I132</f>
        <v/>
      </c>
      <c r="K132" s="13">
        <f>IFERROR(__xludf.DUMMYFUNCTION("AVERAGE(index(GOOGLEFINANCE(""NSE:""&amp;$A132, ""close"", today()-6, today()-1), , 2))"),"#N/A")</f>
        <v/>
      </c>
      <c r="L132" s="13">
        <f>IFERROR(__xludf.DUMMYFUNCTION("AVERAGE(index(GOOGLEFINANCE(""NSE:""&amp;$A132, ""close"", today()-14, today()-1), , 2))"),"#N/A")</f>
        <v/>
      </c>
      <c r="M132" s="13">
        <f>IFERROR(__xludf.DUMMYFUNCTION("AVERAGE(index(GOOGLEFINANCE(""NSE:""&amp;$A132, ""close"", today()-22, today()-1), , 2))"),"#N/A")</f>
        <v/>
      </c>
      <c r="N132" s="13">
        <f>AG132</f>
        <v/>
      </c>
      <c r="O132" s="13">
        <f>AI132</f>
        <v/>
      </c>
      <c r="P132" s="13">
        <f>W132</f>
        <v/>
      </c>
      <c r="Q132" s="13">
        <f>Y132</f>
        <v/>
      </c>
      <c r="R132" s="15" t="n"/>
      <c r="S132" s="15">
        <f>LEFT(W132,2)&amp;LEFT(Y132,2)</f>
        <v/>
      </c>
      <c r="T132" s="15" t="n"/>
      <c r="U132" s="15">
        <f>IF(K132&lt;L132,1,0)</f>
        <v/>
      </c>
      <c r="V132" s="15">
        <f>IF(H132&gt;I132,1,0)</f>
        <v/>
      </c>
      <c r="W132" s="15">
        <f>IF(SUM(U132:V132)=2,"Anticipatory_Sell","No_Action")</f>
        <v/>
      </c>
      <c r="X132" s="15" t="n"/>
      <c r="Y132" s="15">
        <f>IF(SUM(Z132:AA132)=2,"Confirm_Sell","No_Action")</f>
        <v/>
      </c>
      <c r="Z132" s="15">
        <f>IF(H132&gt;I132,1,0)</f>
        <v/>
      </c>
      <c r="AA132" s="15">
        <f>IF(K132&lt;M132,1,0)</f>
        <v/>
      </c>
      <c r="AB132" s="15" t="n"/>
      <c r="AC132" s="15">
        <f>LEFT(AG132,2)&amp;LEFT(AI132,2)</f>
        <v/>
      </c>
      <c r="AD132" s="15" t="n"/>
      <c r="AE132" s="15">
        <f>IF(K132&gt;L132,1,0)</f>
        <v/>
      </c>
      <c r="AF132" s="16">
        <f>IF(H132&gt;I132,1,0)</f>
        <v/>
      </c>
      <c r="AG132" s="16">
        <f>IF(SUM(AE132:AF132)=2,"Anticipatory_Buy","No_Action")</f>
        <v/>
      </c>
      <c r="AH132" s="15" t="n"/>
      <c r="AI132" s="15">
        <f>IF(SUM(AJ132:AK132)=2,"Confirm_Buy","No_Action")</f>
        <v/>
      </c>
      <c r="AJ132" s="15">
        <f>IF(H132&gt;I132,1,0)</f>
        <v/>
      </c>
      <c r="AK132" s="15">
        <f>IF(K132&gt;M132,1,0)</f>
        <v/>
      </c>
    </row>
    <row r="133" ht="14.5" customHeight="1">
      <c r="A133" s="12" t="inlineStr">
        <is>
          <t>GREENPANEL</t>
        </is>
      </c>
      <c r="B133" s="13">
        <f>IFERROR(__xludf.DUMMYFUNCTION("GOOGLEFINANCE(""NSE:""&amp;A133,""PRICE"")"),348.5)</f>
        <v/>
      </c>
      <c r="C133" s="13">
        <f>IFERROR(__xludf.DUMMYFUNCTION("GOOGLEFINANCE(""NSE:""&amp;A133,""PRICEOPEN"")"),358.25)</f>
        <v/>
      </c>
      <c r="D133" s="13">
        <f>IFERROR(__xludf.DUMMYFUNCTION("GOOGLEFINANCE(""NSE:""&amp;A133,""HIGH"")"),359.85)</f>
        <v/>
      </c>
      <c r="E133" s="13">
        <f>IFERROR(__xludf.DUMMYFUNCTION("GOOGLEFINANCE(""NSE:""&amp;A133,""LOW"")"),347.65)</f>
        <v/>
      </c>
      <c r="F133" s="13">
        <f>IFERROR(__xludf.DUMMYFUNCTION("GOOGLEFINANCE(""NSE:""&amp;A133,""closeyest"")"),353.15)</f>
        <v/>
      </c>
      <c r="G133" s="14">
        <f>(B133-C133)/B133</f>
        <v/>
      </c>
      <c r="H133" s="13">
        <f>IFERROR(__xludf.DUMMYFUNCTION("GOOGLEFINANCE(""NSE:""&amp;A133,""VOLUME"")"),69432)</f>
        <v/>
      </c>
      <c r="I133" s="13">
        <f>IFERROR(__xludf.DUMMYFUNCTION("AVERAGE(index(GOOGLEFINANCE(""NSE:""&amp;$A133, ""volume"", today()-21, today()-1), , 2))"),"#N/A")</f>
        <v/>
      </c>
      <c r="J133" s="14">
        <f>(H133-I133)/I133</f>
        <v/>
      </c>
      <c r="K133" s="13">
        <f>IFERROR(__xludf.DUMMYFUNCTION("AVERAGE(index(GOOGLEFINANCE(""NSE:""&amp;$A133, ""close"", today()-6, today()-1), , 2))"),"#N/A")</f>
        <v/>
      </c>
      <c r="L133" s="13">
        <f>IFERROR(__xludf.DUMMYFUNCTION("AVERAGE(index(GOOGLEFINANCE(""NSE:""&amp;$A133, ""close"", today()-14, today()-1), , 2))"),"#N/A")</f>
        <v/>
      </c>
      <c r="M133" s="13">
        <f>IFERROR(__xludf.DUMMYFUNCTION("AVERAGE(index(GOOGLEFINANCE(""NSE:""&amp;$A133, ""close"", today()-22, today()-1), , 2))"),"#N/A")</f>
        <v/>
      </c>
      <c r="N133" s="13">
        <f>AG133</f>
        <v/>
      </c>
      <c r="O133" s="13">
        <f>AI133</f>
        <v/>
      </c>
      <c r="P133" s="13">
        <f>W133</f>
        <v/>
      </c>
      <c r="Q133" s="13">
        <f>Y133</f>
        <v/>
      </c>
      <c r="R133" s="15" t="n"/>
      <c r="S133" s="15">
        <f>LEFT(W133,2)&amp;LEFT(Y133,2)</f>
        <v/>
      </c>
      <c r="T133" s="15" t="n"/>
      <c r="U133" s="15">
        <f>IF(K133&lt;L133,1,0)</f>
        <v/>
      </c>
      <c r="V133" s="15">
        <f>IF(H133&gt;I133,1,0)</f>
        <v/>
      </c>
      <c r="W133" s="15">
        <f>IF(SUM(U133:V133)=2,"Anticipatory_Sell","No_Action")</f>
        <v/>
      </c>
      <c r="X133" s="15" t="n"/>
      <c r="Y133" s="15">
        <f>IF(SUM(Z133:AA133)=2,"Confirm_Sell","No_Action")</f>
        <v/>
      </c>
      <c r="Z133" s="15">
        <f>IF(H133&gt;I133,1,0)</f>
        <v/>
      </c>
      <c r="AA133" s="15">
        <f>IF(K133&lt;M133,1,0)</f>
        <v/>
      </c>
      <c r="AB133" s="15" t="n"/>
      <c r="AC133" s="15">
        <f>LEFT(AG133,2)&amp;LEFT(AI133,2)</f>
        <v/>
      </c>
      <c r="AD133" s="15" t="n"/>
      <c r="AE133" s="15">
        <f>IF(K133&gt;L133,1,0)</f>
        <v/>
      </c>
      <c r="AF133" s="16">
        <f>IF(H133&gt;I133,1,0)</f>
        <v/>
      </c>
      <c r="AG133" s="16">
        <f>IF(SUM(AE133:AF133)=2,"Anticipatory_Buy","No_Action")</f>
        <v/>
      </c>
      <c r="AH133" s="15" t="n"/>
      <c r="AI133" s="15">
        <f>IF(SUM(AJ133:AK133)=2,"Confirm_Buy","No_Action")</f>
        <v/>
      </c>
      <c r="AJ133" s="15">
        <f>IF(H133&gt;I133,1,0)</f>
        <v/>
      </c>
      <c r="AK133" s="15">
        <f>IF(K133&gt;M133,1,0)</f>
        <v/>
      </c>
    </row>
    <row r="134" ht="14.5" customHeight="1">
      <c r="A134" s="12" t="inlineStr">
        <is>
          <t>GPPL</t>
        </is>
      </c>
      <c r="B134" s="13">
        <f>IFERROR(__xludf.DUMMYFUNCTION("GOOGLEFINANCE(""NSE:""&amp;A134,""PRICE"")"),193.3)</f>
        <v/>
      </c>
      <c r="C134" s="13">
        <f>IFERROR(__xludf.DUMMYFUNCTION("GOOGLEFINANCE(""NSE:""&amp;A134,""PRICEOPEN"")"),192.8)</f>
        <v/>
      </c>
      <c r="D134" s="13">
        <f>IFERROR(__xludf.DUMMYFUNCTION("GOOGLEFINANCE(""NSE:""&amp;A134,""HIGH"")"),194.8)</f>
        <v/>
      </c>
      <c r="E134" s="13">
        <f>IFERROR(__xludf.DUMMYFUNCTION("GOOGLEFINANCE(""NSE:""&amp;A134,""LOW"")"),190.86)</f>
        <v/>
      </c>
      <c r="F134" s="13">
        <f>IFERROR(__xludf.DUMMYFUNCTION("GOOGLEFINANCE(""NSE:""&amp;A134,""closeyest"")"),193.27)</f>
        <v/>
      </c>
      <c r="G134" s="14">
        <f>(B134-C134)/B134</f>
        <v/>
      </c>
      <c r="H134" s="13">
        <f>IFERROR(__xludf.DUMMYFUNCTION("GOOGLEFINANCE(""NSE:""&amp;A134,""VOLUME"")"),880063)</f>
        <v/>
      </c>
      <c r="I134" s="13">
        <f>IFERROR(__xludf.DUMMYFUNCTION("AVERAGE(index(GOOGLEFINANCE(""NSE:""&amp;$A134, ""volume"", today()-21, today()-1), , 2))"),"#N/A")</f>
        <v/>
      </c>
      <c r="J134" s="14">
        <f>(H134-I134)/I134</f>
        <v/>
      </c>
      <c r="K134" s="13">
        <f>IFERROR(__xludf.DUMMYFUNCTION("AVERAGE(index(GOOGLEFINANCE(""NSE:""&amp;$A134, ""close"", today()-6, today()-1), , 2))"),"#N/A")</f>
        <v/>
      </c>
      <c r="L134" s="13">
        <f>IFERROR(__xludf.DUMMYFUNCTION("AVERAGE(index(GOOGLEFINANCE(""NSE:""&amp;$A134, ""close"", today()-14, today()-1), , 2))"),"#N/A")</f>
        <v/>
      </c>
      <c r="M134" s="13">
        <f>IFERROR(__xludf.DUMMYFUNCTION("AVERAGE(index(GOOGLEFINANCE(""NSE:""&amp;$A134, ""close"", today()-22, today()-1), , 2))"),"#N/A")</f>
        <v/>
      </c>
      <c r="N134" s="13">
        <f>AG134</f>
        <v/>
      </c>
      <c r="O134" s="13">
        <f>AI134</f>
        <v/>
      </c>
      <c r="P134" s="13">
        <f>W134</f>
        <v/>
      </c>
      <c r="Q134" s="13">
        <f>Y134</f>
        <v/>
      </c>
      <c r="R134" s="15" t="n"/>
      <c r="S134" s="15">
        <f>LEFT(W134,2)&amp;LEFT(Y134,2)</f>
        <v/>
      </c>
      <c r="T134" s="15" t="n"/>
      <c r="U134" s="15">
        <f>IF(K134&lt;L134,1,0)</f>
        <v/>
      </c>
      <c r="V134" s="15">
        <f>IF(H134&gt;I134,1,0)</f>
        <v/>
      </c>
      <c r="W134" s="15">
        <f>IF(SUM(U134:V134)=2,"Anticipatory_Sell","No_Action")</f>
        <v/>
      </c>
      <c r="X134" s="15" t="n"/>
      <c r="Y134" s="15">
        <f>IF(SUM(Z134:AA134)=2,"Confirm_Sell","No_Action")</f>
        <v/>
      </c>
      <c r="Z134" s="15">
        <f>IF(H134&gt;I134,1,0)</f>
        <v/>
      </c>
      <c r="AA134" s="15">
        <f>IF(K134&lt;M134,1,0)</f>
        <v/>
      </c>
      <c r="AB134" s="15" t="n"/>
      <c r="AC134" s="15">
        <f>LEFT(AG134,2)&amp;LEFT(AI134,2)</f>
        <v/>
      </c>
      <c r="AD134" s="15" t="n"/>
      <c r="AE134" s="15">
        <f>IF(K134&gt;L134,1,0)</f>
        <v/>
      </c>
      <c r="AF134" s="16">
        <f>IF(H134&gt;I134,1,0)</f>
        <v/>
      </c>
      <c r="AG134" s="16">
        <f>IF(SUM(AE134:AF134)=2,"Anticipatory_Buy","No_Action")</f>
        <v/>
      </c>
      <c r="AH134" s="15" t="n"/>
      <c r="AI134" s="15">
        <f>IF(SUM(AJ134:AK134)=2,"Confirm_Buy","No_Action")</f>
        <v/>
      </c>
      <c r="AJ134" s="15">
        <f>IF(H134&gt;I134,1,0)</f>
        <v/>
      </c>
      <c r="AK134" s="15">
        <f>IF(K134&gt;M134,1,0)</f>
        <v/>
      </c>
    </row>
    <row r="135" ht="14.5" customHeight="1">
      <c r="A135" s="12" t="inlineStr">
        <is>
          <t>GSPL</t>
        </is>
      </c>
      <c r="B135" s="13">
        <f>IFERROR(__xludf.DUMMYFUNCTION("GOOGLEFINANCE(""NSE:""&amp;A135,""PRICE"")"),371.6)</f>
        <v/>
      </c>
      <c r="C135" s="13">
        <f>IFERROR(__xludf.DUMMYFUNCTION("GOOGLEFINANCE(""NSE:""&amp;A135,""PRICEOPEN"")"),383.55)</f>
        <v/>
      </c>
      <c r="D135" s="13">
        <f>IFERROR(__xludf.DUMMYFUNCTION("GOOGLEFINANCE(""NSE:""&amp;A135,""HIGH"")"),384.7)</f>
        <v/>
      </c>
      <c r="E135" s="13">
        <f>IFERROR(__xludf.DUMMYFUNCTION("GOOGLEFINANCE(""NSE:""&amp;A135,""LOW"")"),369.7)</f>
        <v/>
      </c>
      <c r="F135" s="13">
        <f>IFERROR(__xludf.DUMMYFUNCTION("GOOGLEFINANCE(""NSE:""&amp;A135,""closeyest"")"),381.6)</f>
        <v/>
      </c>
      <c r="G135" s="14">
        <f>(B135-C135)/B135</f>
        <v/>
      </c>
      <c r="H135" s="13">
        <f>IFERROR(__xludf.DUMMYFUNCTION("GOOGLEFINANCE(""NSE:""&amp;A135,""VOLUME"")"),737595)</f>
        <v/>
      </c>
      <c r="I135" s="13">
        <f>IFERROR(__xludf.DUMMYFUNCTION("AVERAGE(index(GOOGLEFINANCE(""NSE:""&amp;$A135, ""volume"", today()-21, today()-1), , 2))"),"#N/A")</f>
        <v/>
      </c>
      <c r="J135" s="14">
        <f>(H135-I135)/I135</f>
        <v/>
      </c>
      <c r="K135" s="13">
        <f>IFERROR(__xludf.DUMMYFUNCTION("AVERAGE(index(GOOGLEFINANCE(""NSE:""&amp;$A135, ""close"", today()-6, today()-1), , 2))"),"#N/A")</f>
        <v/>
      </c>
      <c r="L135" s="13">
        <f>IFERROR(__xludf.DUMMYFUNCTION("AVERAGE(index(GOOGLEFINANCE(""NSE:""&amp;$A135, ""close"", today()-14, today()-1), , 2))"),"#N/A")</f>
        <v/>
      </c>
      <c r="M135" s="13">
        <f>IFERROR(__xludf.DUMMYFUNCTION("AVERAGE(index(GOOGLEFINANCE(""NSE:""&amp;$A135, ""close"", today()-22, today()-1), , 2))"),"#N/A")</f>
        <v/>
      </c>
      <c r="N135" s="13">
        <f>AG135</f>
        <v/>
      </c>
      <c r="O135" s="13">
        <f>AI135</f>
        <v/>
      </c>
      <c r="P135" s="13">
        <f>W135</f>
        <v/>
      </c>
      <c r="Q135" s="13">
        <f>Y135</f>
        <v/>
      </c>
      <c r="R135" s="15" t="n"/>
      <c r="S135" s="15">
        <f>LEFT(W135,2)&amp;LEFT(Y135,2)</f>
        <v/>
      </c>
      <c r="T135" s="15" t="n"/>
      <c r="U135" s="15">
        <f>IF(K135&lt;L135,1,0)</f>
        <v/>
      </c>
      <c r="V135" s="15">
        <f>IF(H135&gt;I135,1,0)</f>
        <v/>
      </c>
      <c r="W135" s="15">
        <f>IF(SUM(U135:V135)=2,"Anticipatory_Sell","No_Action")</f>
        <v/>
      </c>
      <c r="X135" s="15" t="n"/>
      <c r="Y135" s="15">
        <f>IF(SUM(Z135:AA135)=2,"Confirm_Sell","No_Action")</f>
        <v/>
      </c>
      <c r="Z135" s="15">
        <f>IF(H135&gt;I135,1,0)</f>
        <v/>
      </c>
      <c r="AA135" s="15">
        <f>IF(K135&lt;M135,1,0)</f>
        <v/>
      </c>
      <c r="AB135" s="15" t="n"/>
      <c r="AC135" s="15">
        <f>LEFT(AG135,2)&amp;LEFT(AI135,2)</f>
        <v/>
      </c>
      <c r="AD135" s="15" t="n"/>
      <c r="AE135" s="15">
        <f>IF(K135&gt;L135,1,0)</f>
        <v/>
      </c>
      <c r="AF135" s="16">
        <f>IF(H135&gt;I135,1,0)</f>
        <v/>
      </c>
      <c r="AG135" s="16">
        <f>IF(SUM(AE135:AF135)=2,"Anticipatory_Buy","No_Action")</f>
        <v/>
      </c>
      <c r="AH135" s="15" t="n"/>
      <c r="AI135" s="15">
        <f>IF(SUM(AJ135:AK135)=2,"Confirm_Buy","No_Action")</f>
        <v/>
      </c>
      <c r="AJ135" s="15">
        <f>IF(H135&gt;I135,1,0)</f>
        <v/>
      </c>
      <c r="AK135" s="15">
        <f>IF(K135&gt;M135,1,0)</f>
        <v/>
      </c>
    </row>
    <row r="136" ht="14.5" customHeight="1">
      <c r="A136" s="12" t="inlineStr">
        <is>
          <t>GUJGASLTD</t>
        </is>
      </c>
      <c r="B136" s="13">
        <f>IFERROR(__xludf.DUMMYFUNCTION("GOOGLEFINANCE(""NSE:""&amp;A136,""PRICE"")"),509)</f>
        <v/>
      </c>
      <c r="C136" s="13">
        <f>IFERROR(__xludf.DUMMYFUNCTION("GOOGLEFINANCE(""NSE:""&amp;A136,""PRICEOPEN"")"),512.7)</f>
        <v/>
      </c>
      <c r="D136" s="13">
        <f>IFERROR(__xludf.DUMMYFUNCTION("GOOGLEFINANCE(""NSE:""&amp;A136,""HIGH"")"),520.3)</f>
        <v/>
      </c>
      <c r="E136" s="13">
        <f>IFERROR(__xludf.DUMMYFUNCTION("GOOGLEFINANCE(""NSE:""&amp;A136,""LOW"")"),504.1)</f>
        <v/>
      </c>
      <c r="F136" s="13">
        <f>IFERROR(__xludf.DUMMYFUNCTION("GOOGLEFINANCE(""NSE:""&amp;A136,""closeyest"")"),512.7)</f>
        <v/>
      </c>
      <c r="G136" s="14">
        <f>(B136-C136)/B136</f>
        <v/>
      </c>
      <c r="H136" s="13">
        <f>IFERROR(__xludf.DUMMYFUNCTION("GOOGLEFINANCE(""NSE:""&amp;A136,""VOLUME"")"),1094458)</f>
        <v/>
      </c>
      <c r="I136" s="13">
        <f>IFERROR(__xludf.DUMMYFUNCTION("AVERAGE(index(GOOGLEFINANCE(""NSE:""&amp;$A136, ""volume"", today()-21, today()-1), , 2))"),"#N/A")</f>
        <v/>
      </c>
      <c r="J136" s="14">
        <f>(H136-I136)/I136</f>
        <v/>
      </c>
      <c r="K136" s="13">
        <f>IFERROR(__xludf.DUMMYFUNCTION("AVERAGE(index(GOOGLEFINANCE(""NSE:""&amp;$A136, ""close"", today()-6, today()-1), , 2))"),"#N/A")</f>
        <v/>
      </c>
      <c r="L136" s="13">
        <f>IFERROR(__xludf.DUMMYFUNCTION("AVERAGE(index(GOOGLEFINANCE(""NSE:""&amp;$A136, ""close"", today()-14, today()-1), , 2))"),"#N/A")</f>
        <v/>
      </c>
      <c r="M136" s="13">
        <f>IFERROR(__xludf.DUMMYFUNCTION("AVERAGE(index(GOOGLEFINANCE(""NSE:""&amp;$A136, ""close"", today()-22, today()-1), , 2))"),"#N/A")</f>
        <v/>
      </c>
      <c r="N136" s="13">
        <f>AG136</f>
        <v/>
      </c>
      <c r="O136" s="13">
        <f>AI136</f>
        <v/>
      </c>
      <c r="P136" s="13">
        <f>W136</f>
        <v/>
      </c>
      <c r="Q136" s="13">
        <f>Y136</f>
        <v/>
      </c>
      <c r="R136" s="15" t="n"/>
      <c r="S136" s="15">
        <f>LEFT(W136,2)&amp;LEFT(Y136,2)</f>
        <v/>
      </c>
      <c r="T136" s="15" t="n"/>
      <c r="U136" s="15">
        <f>IF(K136&lt;L136,1,0)</f>
        <v/>
      </c>
      <c r="V136" s="15">
        <f>IF(H136&gt;I136,1,0)</f>
        <v/>
      </c>
      <c r="W136" s="15">
        <f>IF(SUM(U136:V136)=2,"Anticipatory_Sell","No_Action")</f>
        <v/>
      </c>
      <c r="X136" s="15" t="n"/>
      <c r="Y136" s="15">
        <f>IF(SUM(Z136:AA136)=2,"Confirm_Sell","No_Action")</f>
        <v/>
      </c>
      <c r="Z136" s="15">
        <f>IF(H136&gt;I136,1,0)</f>
        <v/>
      </c>
      <c r="AA136" s="15">
        <f>IF(K136&lt;M136,1,0)</f>
        <v/>
      </c>
      <c r="AB136" s="15" t="n"/>
      <c r="AC136" s="15">
        <f>LEFT(AG136,2)&amp;LEFT(AI136,2)</f>
        <v/>
      </c>
      <c r="AD136" s="15" t="n"/>
      <c r="AE136" s="15">
        <f>IF(K136&gt;L136,1,0)</f>
        <v/>
      </c>
      <c r="AF136" s="16">
        <f>IF(H136&gt;I136,1,0)</f>
        <v/>
      </c>
      <c r="AG136" s="16">
        <f>IF(SUM(AE136:AF136)=2,"Anticipatory_Buy","No_Action")</f>
        <v/>
      </c>
      <c r="AH136" s="15" t="n"/>
      <c r="AI136" s="15">
        <f>IF(SUM(AJ136:AK136)=2,"Confirm_Buy","No_Action")</f>
        <v/>
      </c>
      <c r="AJ136" s="15">
        <f>IF(H136&gt;I136,1,0)</f>
        <v/>
      </c>
      <c r="AK136" s="15">
        <f>IF(K136&gt;M136,1,0)</f>
        <v/>
      </c>
    </row>
    <row r="137" ht="14.5" customHeight="1">
      <c r="A137" s="12" t="inlineStr">
        <is>
          <t>GULFOILLUB</t>
        </is>
      </c>
      <c r="B137" s="13">
        <f>IFERROR(__xludf.DUMMYFUNCTION("GOOGLEFINANCE(""NSE:""&amp;A137,""PRICE"")"),1158.5)</f>
        <v/>
      </c>
      <c r="C137" s="13">
        <f>IFERROR(__xludf.DUMMYFUNCTION("GOOGLEFINANCE(""NSE:""&amp;A137,""PRICEOPEN"")"),1166)</f>
        <v/>
      </c>
      <c r="D137" s="13">
        <f>IFERROR(__xludf.DUMMYFUNCTION("GOOGLEFINANCE(""NSE:""&amp;A137,""HIGH"")"),1185)</f>
        <v/>
      </c>
      <c r="E137" s="13">
        <f>IFERROR(__xludf.DUMMYFUNCTION("GOOGLEFINANCE(""NSE:""&amp;A137,""LOW"")"),1150.15)</f>
        <v/>
      </c>
      <c r="F137" s="13">
        <f>IFERROR(__xludf.DUMMYFUNCTION("GOOGLEFINANCE(""NSE:""&amp;A137,""closeyest"")"),1157.35)</f>
        <v/>
      </c>
      <c r="G137" s="14">
        <f>(B137-C137)/B137</f>
        <v/>
      </c>
      <c r="H137" s="13">
        <f>IFERROR(__xludf.DUMMYFUNCTION("GOOGLEFINANCE(""NSE:""&amp;A137,""VOLUME"")"),107303)</f>
        <v/>
      </c>
      <c r="I137" s="13">
        <f>IFERROR(__xludf.DUMMYFUNCTION("AVERAGE(index(GOOGLEFINANCE(""NSE:""&amp;$A137, ""volume"", today()-21, today()-1), , 2))"),"#N/A")</f>
        <v/>
      </c>
      <c r="J137" s="14">
        <f>(H137-I137)/I137</f>
        <v/>
      </c>
      <c r="K137" s="13">
        <f>IFERROR(__xludf.DUMMYFUNCTION("AVERAGE(index(GOOGLEFINANCE(""NSE:""&amp;$A137, ""close"", today()-6, today()-1), , 2))"),"#N/A")</f>
        <v/>
      </c>
      <c r="L137" s="13">
        <f>IFERROR(__xludf.DUMMYFUNCTION("AVERAGE(index(GOOGLEFINANCE(""NSE:""&amp;$A137, ""close"", today()-14, today()-1), , 2))"),"#N/A")</f>
        <v/>
      </c>
      <c r="M137" s="13">
        <f>IFERROR(__xludf.DUMMYFUNCTION("AVERAGE(index(GOOGLEFINANCE(""NSE:""&amp;$A137, ""close"", today()-22, today()-1), , 2))"),"#N/A")</f>
        <v/>
      </c>
      <c r="N137" s="13">
        <f>AG137</f>
        <v/>
      </c>
      <c r="O137" s="13">
        <f>AI137</f>
        <v/>
      </c>
      <c r="P137" s="13">
        <f>W137</f>
        <v/>
      </c>
      <c r="Q137" s="13">
        <f>Y137</f>
        <v/>
      </c>
      <c r="R137" s="15" t="n"/>
      <c r="S137" s="15">
        <f>LEFT(W137,2)&amp;LEFT(Y137,2)</f>
        <v/>
      </c>
      <c r="T137" s="15" t="n"/>
      <c r="U137" s="15">
        <f>IF(K137&lt;L137,1,0)</f>
        <v/>
      </c>
      <c r="V137" s="15">
        <f>IF(H137&gt;I137,1,0)</f>
        <v/>
      </c>
      <c r="W137" s="15">
        <f>IF(SUM(U137:V137)=2,"Anticipatory_Sell","No_Action")</f>
        <v/>
      </c>
      <c r="X137" s="15" t="n"/>
      <c r="Y137" s="15">
        <f>IF(SUM(Z137:AA137)=2,"Confirm_Sell","No_Action")</f>
        <v/>
      </c>
      <c r="Z137" s="15">
        <f>IF(H137&gt;I137,1,0)</f>
        <v/>
      </c>
      <c r="AA137" s="15">
        <f>IF(K137&lt;M137,1,0)</f>
        <v/>
      </c>
      <c r="AB137" s="15" t="n"/>
      <c r="AC137" s="15">
        <f>LEFT(AG137,2)&amp;LEFT(AI137,2)</f>
        <v/>
      </c>
      <c r="AD137" s="15" t="n"/>
      <c r="AE137" s="15">
        <f>IF(K137&gt;L137,1,0)</f>
        <v/>
      </c>
      <c r="AF137" s="16">
        <f>IF(H137&gt;I137,1,0)</f>
        <v/>
      </c>
      <c r="AG137" s="16">
        <f>IF(SUM(AE137:AF137)=2,"Anticipatory_Buy","No_Action")</f>
        <v/>
      </c>
      <c r="AH137" s="15" t="n"/>
      <c r="AI137" s="15">
        <f>IF(SUM(AJ137:AK137)=2,"Confirm_Buy","No_Action")</f>
        <v/>
      </c>
      <c r="AJ137" s="15">
        <f>IF(H137&gt;I137,1,0)</f>
        <v/>
      </c>
      <c r="AK137" s="15">
        <f>IF(K137&gt;M137,1,0)</f>
        <v/>
      </c>
    </row>
    <row r="138" ht="14.5" customHeight="1">
      <c r="A138" s="12" t="inlineStr">
        <is>
          <t>HUDCO</t>
        </is>
      </c>
      <c r="B138" s="13">
        <f>IFERROR(__xludf.DUMMYFUNCTION("GOOGLEFINANCE(""NSE:""&amp;A138,""PRICE"")"),247.66)</f>
        <v/>
      </c>
      <c r="C138" s="13">
        <f>IFERROR(__xludf.DUMMYFUNCTION("GOOGLEFINANCE(""NSE:""&amp;A138,""PRICEOPEN"")"),248)</f>
        <v/>
      </c>
      <c r="D138" s="13">
        <f>IFERROR(__xludf.DUMMYFUNCTION("GOOGLEFINANCE(""NSE:""&amp;A138,""HIGH"")"),251.37)</f>
        <v/>
      </c>
      <c r="E138" s="13">
        <f>IFERROR(__xludf.DUMMYFUNCTION("GOOGLEFINANCE(""NSE:""&amp;A138,""LOW"")"),244.52)</f>
        <v/>
      </c>
      <c r="F138" s="13">
        <f>IFERROR(__xludf.DUMMYFUNCTION("GOOGLEFINANCE(""NSE:""&amp;A138,""closeyest"")"),247.77)</f>
        <v/>
      </c>
      <c r="G138" s="14">
        <f>(B138-C138)/B138</f>
        <v/>
      </c>
      <c r="H138" s="13">
        <f>IFERROR(__xludf.DUMMYFUNCTION("GOOGLEFINANCE(""NSE:""&amp;A138,""VOLUME"")"),4470542)</f>
        <v/>
      </c>
      <c r="I138" s="13">
        <f>IFERROR(__xludf.DUMMYFUNCTION("AVERAGE(index(GOOGLEFINANCE(""NSE:""&amp;$A138, ""volume"", today()-21, today()-1), , 2))"),"#N/A")</f>
        <v/>
      </c>
      <c r="J138" s="14">
        <f>(H138-I138)/I138</f>
        <v/>
      </c>
      <c r="K138" s="13">
        <f>IFERROR(__xludf.DUMMYFUNCTION("AVERAGE(index(GOOGLEFINANCE(""NSE:""&amp;$A138, ""close"", today()-6, today()-1), , 2))"),"#N/A")</f>
        <v/>
      </c>
      <c r="L138" s="13">
        <f>IFERROR(__xludf.DUMMYFUNCTION("AVERAGE(index(GOOGLEFINANCE(""NSE:""&amp;$A138, ""close"", today()-14, today()-1), , 2))"),"#N/A")</f>
        <v/>
      </c>
      <c r="M138" s="13">
        <f>IFERROR(__xludf.DUMMYFUNCTION("AVERAGE(index(GOOGLEFINANCE(""NSE:""&amp;$A138, ""close"", today()-22, today()-1), , 2))"),"#N/A")</f>
        <v/>
      </c>
      <c r="N138" s="13">
        <f>AG138</f>
        <v/>
      </c>
      <c r="O138" s="13">
        <f>AI138</f>
        <v/>
      </c>
      <c r="P138" s="13">
        <f>W138</f>
        <v/>
      </c>
      <c r="Q138" s="13">
        <f>Y138</f>
        <v/>
      </c>
      <c r="R138" s="15" t="n"/>
      <c r="S138" s="15">
        <f>LEFT(W138,2)&amp;LEFT(Y138,2)</f>
        <v/>
      </c>
      <c r="T138" s="15" t="n"/>
      <c r="U138" s="15">
        <f>IF(K138&lt;L138,1,0)</f>
        <v/>
      </c>
      <c r="V138" s="15">
        <f>IF(H138&gt;I138,1,0)</f>
        <v/>
      </c>
      <c r="W138" s="15">
        <f>IF(SUM(U138:V138)=2,"Anticipatory_Sell","No_Action")</f>
        <v/>
      </c>
      <c r="X138" s="15" t="n"/>
      <c r="Y138" s="15">
        <f>IF(SUM(Z138:AA138)=2,"Confirm_Sell","No_Action")</f>
        <v/>
      </c>
      <c r="Z138" s="15">
        <f>IF(H138&gt;I138,1,0)</f>
        <v/>
      </c>
      <c r="AA138" s="15">
        <f>IF(K138&lt;M138,1,0)</f>
        <v/>
      </c>
      <c r="AB138" s="15" t="n"/>
      <c r="AC138" s="15">
        <f>LEFT(AG138,2)&amp;LEFT(AI138,2)</f>
        <v/>
      </c>
      <c r="AD138" s="15" t="n"/>
      <c r="AE138" s="15">
        <f>IF(K138&gt;L138,1,0)</f>
        <v/>
      </c>
      <c r="AF138" s="16">
        <f>IF(H138&gt;I138,1,0)</f>
        <v/>
      </c>
      <c r="AG138" s="16">
        <f>IF(SUM(AE138:AF138)=2,"Anticipatory_Buy","No_Action")</f>
        <v/>
      </c>
      <c r="AH138" s="15" t="n"/>
      <c r="AI138" s="15">
        <f>IF(SUM(AJ138:AK138)=2,"Confirm_Buy","No_Action")</f>
        <v/>
      </c>
      <c r="AJ138" s="15">
        <f>IF(H138&gt;I138,1,0)</f>
        <v/>
      </c>
      <c r="AK138" s="15">
        <f>IF(K138&gt;M138,1,0)</f>
        <v/>
      </c>
    </row>
    <row r="139" ht="14.5" customHeight="1">
      <c r="A139" s="12" t="inlineStr">
        <is>
          <t>HGINFRA</t>
        </is>
      </c>
      <c r="B139" s="13">
        <f>IFERROR(__xludf.DUMMYFUNCTION("GOOGLEFINANCE(""NSE:""&amp;A139,""PRICE"")"),1461)</f>
        <v/>
      </c>
      <c r="C139" s="13">
        <f>IFERROR(__xludf.DUMMYFUNCTION("GOOGLEFINANCE(""NSE:""&amp;A139,""PRICEOPEN"")"),1451.75)</f>
        <v/>
      </c>
      <c r="D139" s="13">
        <f>IFERROR(__xludf.DUMMYFUNCTION("GOOGLEFINANCE(""NSE:""&amp;A139,""HIGH"")"),1493.8)</f>
        <v/>
      </c>
      <c r="E139" s="13">
        <f>IFERROR(__xludf.DUMMYFUNCTION("GOOGLEFINANCE(""NSE:""&amp;A139,""LOW"")"),1451.7)</f>
        <v/>
      </c>
      <c r="F139" s="13">
        <f>IFERROR(__xludf.DUMMYFUNCTION("GOOGLEFINANCE(""NSE:""&amp;A139,""closeyest"")"),1451.7)</f>
        <v/>
      </c>
      <c r="G139" s="14">
        <f>(B139-C139)/B139</f>
        <v/>
      </c>
      <c r="H139" s="13">
        <f>IFERROR(__xludf.DUMMYFUNCTION("GOOGLEFINANCE(""NSE:""&amp;A139,""VOLUME"")"),72519)</f>
        <v/>
      </c>
      <c r="I139" s="13">
        <f>IFERROR(__xludf.DUMMYFUNCTION("AVERAGE(index(GOOGLEFINANCE(""NSE:""&amp;$A139, ""volume"", today()-21, today()-1), , 2))"),"#N/A")</f>
        <v/>
      </c>
      <c r="J139" s="14">
        <f>(H139-I139)/I139</f>
        <v/>
      </c>
      <c r="K139" s="13">
        <f>IFERROR(__xludf.DUMMYFUNCTION("AVERAGE(index(GOOGLEFINANCE(""NSE:""&amp;$A139, ""close"", today()-6, today()-1), , 2))"),"#N/A")</f>
        <v/>
      </c>
      <c r="L139" s="13">
        <f>IFERROR(__xludf.DUMMYFUNCTION("AVERAGE(index(GOOGLEFINANCE(""NSE:""&amp;$A139, ""close"", today()-14, today()-1), , 2))"),"#N/A")</f>
        <v/>
      </c>
      <c r="M139" s="13">
        <f>IFERROR(__xludf.DUMMYFUNCTION("AVERAGE(index(GOOGLEFINANCE(""NSE:""&amp;$A139, ""close"", today()-22, today()-1), , 2))"),"#N/A")</f>
        <v/>
      </c>
      <c r="N139" s="13">
        <f>AG139</f>
        <v/>
      </c>
      <c r="O139" s="13">
        <f>AI139</f>
        <v/>
      </c>
      <c r="P139" s="13">
        <f>W139</f>
        <v/>
      </c>
      <c r="Q139" s="13">
        <f>Y139</f>
        <v/>
      </c>
      <c r="R139" s="15" t="n"/>
      <c r="S139" s="15">
        <f>LEFT(W139,2)&amp;LEFT(Y139,2)</f>
        <v/>
      </c>
      <c r="T139" s="15" t="n"/>
      <c r="U139" s="15">
        <f>IF(K139&lt;L139,1,0)</f>
        <v/>
      </c>
      <c r="V139" s="15">
        <f>IF(H139&gt;I139,1,0)</f>
        <v/>
      </c>
      <c r="W139" s="15">
        <f>IF(SUM(U139:V139)=2,"Anticipatory_Sell","No_Action")</f>
        <v/>
      </c>
      <c r="X139" s="15" t="n"/>
      <c r="Y139" s="15">
        <f>IF(SUM(Z139:AA139)=2,"Confirm_Sell","No_Action")</f>
        <v/>
      </c>
      <c r="Z139" s="15">
        <f>IF(H139&gt;I139,1,0)</f>
        <v/>
      </c>
      <c r="AA139" s="15">
        <f>IF(K139&lt;M139,1,0)</f>
        <v/>
      </c>
      <c r="AB139" s="15" t="n"/>
      <c r="AC139" s="15">
        <f>LEFT(AG139,2)&amp;LEFT(AI139,2)</f>
        <v/>
      </c>
      <c r="AD139" s="15" t="n"/>
      <c r="AE139" s="15">
        <f>IF(K139&gt;L139,1,0)</f>
        <v/>
      </c>
      <c r="AF139" s="16">
        <f>IF(H139&gt;I139,1,0)</f>
        <v/>
      </c>
      <c r="AG139" s="16">
        <f>IF(SUM(AE139:AF139)=2,"Anticipatory_Buy","No_Action")</f>
        <v/>
      </c>
      <c r="AH139" s="15" t="n"/>
      <c r="AI139" s="15">
        <f>IF(SUM(AJ139:AK139)=2,"Confirm_Buy","No_Action")</f>
        <v/>
      </c>
      <c r="AJ139" s="15">
        <f>IF(H139&gt;I139,1,0)</f>
        <v/>
      </c>
      <c r="AK139" s="15">
        <f>IF(K139&gt;M139,1,0)</f>
        <v/>
      </c>
    </row>
    <row r="140" ht="14.5" customHeight="1">
      <c r="A140" s="12" t="inlineStr">
        <is>
          <t>HDFCAMC</t>
        </is>
      </c>
      <c r="B140" s="13">
        <f>IFERROR(__xludf.DUMMYFUNCTION("GOOGLEFINANCE(""NSE:""&amp;A140,""PRICE"")"),4459.75)</f>
        <v/>
      </c>
      <c r="C140" s="13">
        <f>IFERROR(__xludf.DUMMYFUNCTION("GOOGLEFINANCE(""NSE:""&amp;A140,""PRICEOPEN"")"),4356.05)</f>
        <v/>
      </c>
      <c r="D140" s="13">
        <f>IFERROR(__xludf.DUMMYFUNCTION("GOOGLEFINANCE(""NSE:""&amp;A140,""HIGH"")"),4510.75)</f>
        <v/>
      </c>
      <c r="E140" s="13">
        <f>IFERROR(__xludf.DUMMYFUNCTION("GOOGLEFINANCE(""NSE:""&amp;A140,""LOW"")"),4332.1)</f>
        <v/>
      </c>
      <c r="F140" s="13">
        <f>IFERROR(__xludf.DUMMYFUNCTION("GOOGLEFINANCE(""NSE:""&amp;A140,""closeyest"")"),4363.9)</f>
        <v/>
      </c>
      <c r="G140" s="14">
        <f>(B140-C140)/B140</f>
        <v/>
      </c>
      <c r="H140" s="13">
        <f>IFERROR(__xludf.DUMMYFUNCTION("GOOGLEFINANCE(""NSE:""&amp;A140,""VOLUME"")"),596726)</f>
        <v/>
      </c>
      <c r="I140" s="13">
        <f>IFERROR(__xludf.DUMMYFUNCTION("AVERAGE(index(GOOGLEFINANCE(""NSE:""&amp;$A140, ""volume"", today()-21, today()-1), , 2))"),"#N/A")</f>
        <v/>
      </c>
      <c r="J140" s="14">
        <f>(H140-I140)/I140</f>
        <v/>
      </c>
      <c r="K140" s="13">
        <f>IFERROR(__xludf.DUMMYFUNCTION("AVERAGE(index(GOOGLEFINANCE(""NSE:""&amp;$A140, ""close"", today()-6, today()-1), , 2))"),"#N/A")</f>
        <v/>
      </c>
      <c r="L140" s="13">
        <f>IFERROR(__xludf.DUMMYFUNCTION("AVERAGE(index(GOOGLEFINANCE(""NSE:""&amp;$A140, ""close"", today()-14, today()-1), , 2))"),"#N/A")</f>
        <v/>
      </c>
      <c r="M140" s="13">
        <f>IFERROR(__xludf.DUMMYFUNCTION("AVERAGE(index(GOOGLEFINANCE(""NSE:""&amp;$A140, ""close"", today()-22, today()-1), , 2))"),"#N/A")</f>
        <v/>
      </c>
      <c r="N140" s="13">
        <f>AG140</f>
        <v/>
      </c>
      <c r="O140" s="13">
        <f>AI140</f>
        <v/>
      </c>
      <c r="P140" s="13">
        <f>W140</f>
        <v/>
      </c>
      <c r="Q140" s="13">
        <f>Y140</f>
        <v/>
      </c>
      <c r="R140" s="15" t="n"/>
      <c r="S140" s="15">
        <f>LEFT(W140,2)&amp;LEFT(Y140,2)</f>
        <v/>
      </c>
      <c r="T140" s="15" t="n"/>
      <c r="U140" s="15">
        <f>IF(K140&lt;L140,1,0)</f>
        <v/>
      </c>
      <c r="V140" s="15">
        <f>IF(H140&gt;I140,1,0)</f>
        <v/>
      </c>
      <c r="W140" s="15">
        <f>IF(SUM(U140:V140)=2,"Anticipatory_Sell","No_Action")</f>
        <v/>
      </c>
      <c r="X140" s="15" t="n"/>
      <c r="Y140" s="15">
        <f>IF(SUM(Z140:AA140)=2,"Confirm_Sell","No_Action")</f>
        <v/>
      </c>
      <c r="Z140" s="15">
        <f>IF(H140&gt;I140,1,0)</f>
        <v/>
      </c>
      <c r="AA140" s="15">
        <f>IF(K140&lt;M140,1,0)</f>
        <v/>
      </c>
      <c r="AB140" s="15" t="n"/>
      <c r="AC140" s="15">
        <f>LEFT(AG140,2)&amp;LEFT(AI140,2)</f>
        <v/>
      </c>
      <c r="AD140" s="15" t="n"/>
      <c r="AE140" s="15">
        <f>IF(K140&gt;L140,1,0)</f>
        <v/>
      </c>
      <c r="AF140" s="16">
        <f>IF(H140&gt;I140,1,0)</f>
        <v/>
      </c>
      <c r="AG140" s="16">
        <f>IF(SUM(AE140:AF140)=2,"Anticipatory_Buy","No_Action")</f>
        <v/>
      </c>
      <c r="AH140" s="15" t="n"/>
      <c r="AI140" s="15">
        <f>IF(SUM(AJ140:AK140)=2,"Confirm_Buy","No_Action")</f>
        <v/>
      </c>
      <c r="AJ140" s="15">
        <f>IF(H140&gt;I140,1,0)</f>
        <v/>
      </c>
      <c r="AK140" s="15">
        <f>IF(K140&gt;M140,1,0)</f>
        <v/>
      </c>
    </row>
    <row r="141" ht="14.5" customHeight="1">
      <c r="A141" s="12" t="inlineStr">
        <is>
          <t>HDFCBANK</t>
        </is>
      </c>
      <c r="B141" s="13">
        <f>IFERROR(__xludf.DUMMYFUNCTION("GOOGLEFINANCE(""NSE:""&amp;A141,""PRICE"")"),1867.55)</f>
        <v/>
      </c>
      <c r="C141" s="13">
        <f>IFERROR(__xludf.DUMMYFUNCTION("GOOGLEFINANCE(""NSE:""&amp;A141,""PRICEOPEN"")"),1853.65)</f>
        <v/>
      </c>
      <c r="D141" s="13">
        <f>IFERROR(__xludf.DUMMYFUNCTION("GOOGLEFINANCE(""NSE:""&amp;A141,""HIGH"")"),1880)</f>
        <v/>
      </c>
      <c r="E141" s="13">
        <f>IFERROR(__xludf.DUMMYFUNCTION("GOOGLEFINANCE(""NSE:""&amp;A141,""LOW"")"),1849)</f>
        <v/>
      </c>
      <c r="F141" s="13">
        <f>IFERROR(__xludf.DUMMYFUNCTION("GOOGLEFINANCE(""NSE:""&amp;A141,""closeyest"")"),1855.85)</f>
        <v/>
      </c>
      <c r="G141" s="14">
        <f>(B141-C141)/B141</f>
        <v/>
      </c>
      <c r="H141" s="13">
        <f>IFERROR(__xludf.DUMMYFUNCTION("GOOGLEFINANCE(""NSE:""&amp;A141,""VOLUME"")"),13473956)</f>
        <v/>
      </c>
      <c r="I141" s="13">
        <f>IFERROR(__xludf.DUMMYFUNCTION("AVERAGE(index(GOOGLEFINANCE(""NSE:""&amp;$A141, ""volume"", today()-21, today()-1), , 2))"),"#N/A")</f>
        <v/>
      </c>
      <c r="J141" s="14">
        <f>(H141-I141)/I141</f>
        <v/>
      </c>
      <c r="K141" s="13">
        <f>IFERROR(__xludf.DUMMYFUNCTION("AVERAGE(index(GOOGLEFINANCE(""NSE:""&amp;$A141, ""close"", today()-6, today()-1), , 2))"),"#N/A")</f>
        <v/>
      </c>
      <c r="L141" s="13">
        <f>IFERROR(__xludf.DUMMYFUNCTION("AVERAGE(index(GOOGLEFINANCE(""NSE:""&amp;$A141, ""close"", today()-14, today()-1), , 2))"),"#N/A")</f>
        <v/>
      </c>
      <c r="M141" s="13">
        <f>IFERROR(__xludf.DUMMYFUNCTION("AVERAGE(index(GOOGLEFINANCE(""NSE:""&amp;$A141, ""close"", today()-22, today()-1), , 2))"),"#N/A")</f>
        <v/>
      </c>
      <c r="N141" s="13">
        <f>AG141</f>
        <v/>
      </c>
      <c r="O141" s="13">
        <f>AI141</f>
        <v/>
      </c>
      <c r="P141" s="13">
        <f>W141</f>
        <v/>
      </c>
      <c r="Q141" s="13">
        <f>Y141</f>
        <v/>
      </c>
      <c r="R141" s="15" t="n"/>
      <c r="S141" s="15">
        <f>LEFT(W141,2)&amp;LEFT(Y141,2)</f>
        <v/>
      </c>
      <c r="T141" s="15" t="n"/>
      <c r="U141" s="15">
        <f>IF(K141&lt;L141,1,0)</f>
        <v/>
      </c>
      <c r="V141" s="15">
        <f>IF(H141&gt;I141,1,0)</f>
        <v/>
      </c>
      <c r="W141" s="15">
        <f>IF(SUM(U141:V141)=2,"Anticipatory_Sell","No_Action")</f>
        <v/>
      </c>
      <c r="X141" s="15" t="n"/>
      <c r="Y141" s="15">
        <f>IF(SUM(Z141:AA141)=2,"Confirm_Sell","No_Action")</f>
        <v/>
      </c>
      <c r="Z141" s="15">
        <f>IF(H141&gt;I141,1,0)</f>
        <v/>
      </c>
      <c r="AA141" s="15">
        <f>IF(K141&lt;M141,1,0)</f>
        <v/>
      </c>
      <c r="AB141" s="15" t="n"/>
      <c r="AC141" s="15">
        <f>LEFT(AG141,2)&amp;LEFT(AI141,2)</f>
        <v/>
      </c>
      <c r="AD141" s="15" t="n"/>
      <c r="AE141" s="15">
        <f>IF(K141&gt;L141,1,0)</f>
        <v/>
      </c>
      <c r="AF141" s="16">
        <f>IF(H141&gt;I141,1,0)</f>
        <v/>
      </c>
      <c r="AG141" s="16">
        <f>IF(SUM(AE141:AF141)=2,"Anticipatory_Buy","No_Action")</f>
        <v/>
      </c>
      <c r="AH141" s="15" t="n"/>
      <c r="AI141" s="15">
        <f>IF(SUM(AJ141:AK141)=2,"Confirm_Buy","No_Action")</f>
        <v/>
      </c>
      <c r="AJ141" s="15">
        <f>IF(H141&gt;I141,1,0)</f>
        <v/>
      </c>
      <c r="AK141" s="15">
        <f>IF(K141&gt;M141,1,0)</f>
        <v/>
      </c>
    </row>
    <row r="142" ht="14.5" customHeight="1">
      <c r="A142" s="12" t="inlineStr">
        <is>
          <t>HEROMOTOCO</t>
        </is>
      </c>
      <c r="B142" s="13">
        <f>IFERROR(__xludf.DUMMYFUNCTION("GOOGLEFINANCE(""NSE:""&amp;A142,""PRICE"")"),4598)</f>
        <v/>
      </c>
      <c r="C142" s="13">
        <f>IFERROR(__xludf.DUMMYFUNCTION("GOOGLEFINANCE(""NSE:""&amp;A142,""PRICEOPEN"")"),4638.95)</f>
        <v/>
      </c>
      <c r="D142" s="13">
        <f>IFERROR(__xludf.DUMMYFUNCTION("GOOGLEFINANCE(""NSE:""&amp;A142,""HIGH"")"),4659.6)</f>
        <v/>
      </c>
      <c r="E142" s="13">
        <f>IFERROR(__xludf.DUMMYFUNCTION("GOOGLEFINANCE(""NSE:""&amp;A142,""LOW"")"),4590)</f>
        <v/>
      </c>
      <c r="F142" s="13">
        <f>IFERROR(__xludf.DUMMYFUNCTION("GOOGLEFINANCE(""NSE:""&amp;A142,""closeyest"")"),4629.6)</f>
        <v/>
      </c>
      <c r="G142" s="14">
        <f>(B142-C142)/B142</f>
        <v/>
      </c>
      <c r="H142" s="13">
        <f>IFERROR(__xludf.DUMMYFUNCTION("GOOGLEFINANCE(""NSE:""&amp;A142,""VOLUME"")"),329145)</f>
        <v/>
      </c>
      <c r="I142" s="13">
        <f>IFERROR(__xludf.DUMMYFUNCTION("AVERAGE(index(GOOGLEFINANCE(""NSE:""&amp;$A142, ""volume"", today()-21, today()-1), , 2))"),"#N/A")</f>
        <v/>
      </c>
      <c r="J142" s="14">
        <f>(H142-I142)/I142</f>
        <v/>
      </c>
      <c r="K142" s="13">
        <f>IFERROR(__xludf.DUMMYFUNCTION("AVERAGE(index(GOOGLEFINANCE(""NSE:""&amp;$A142, ""close"", today()-6, today()-1), , 2))"),"#N/A")</f>
        <v/>
      </c>
      <c r="L142" s="13">
        <f>IFERROR(__xludf.DUMMYFUNCTION("AVERAGE(index(GOOGLEFINANCE(""NSE:""&amp;$A142, ""close"", today()-14, today()-1), , 2))"),"#N/A")</f>
        <v/>
      </c>
      <c r="M142" s="13">
        <f>IFERROR(__xludf.DUMMYFUNCTION("AVERAGE(index(GOOGLEFINANCE(""NSE:""&amp;$A142, ""close"", today()-22, today()-1), , 2))"),"#N/A")</f>
        <v/>
      </c>
      <c r="N142" s="13">
        <f>AG142</f>
        <v/>
      </c>
      <c r="O142" s="13">
        <f>AI142</f>
        <v/>
      </c>
      <c r="P142" s="13">
        <f>W142</f>
        <v/>
      </c>
      <c r="Q142" s="13">
        <f>Y142</f>
        <v/>
      </c>
      <c r="R142" s="15" t="n"/>
      <c r="S142" s="15">
        <f>LEFT(W142,2)&amp;LEFT(Y142,2)</f>
        <v/>
      </c>
      <c r="T142" s="15" t="n"/>
      <c r="U142" s="15">
        <f>IF(K142&lt;L142,1,0)</f>
        <v/>
      </c>
      <c r="V142" s="15">
        <f>IF(H142&gt;I142,1,0)</f>
        <v/>
      </c>
      <c r="W142" s="15">
        <f>IF(SUM(U142:V142)=2,"Anticipatory_Sell","No_Action")</f>
        <v/>
      </c>
      <c r="X142" s="15" t="n"/>
      <c r="Y142" s="15">
        <f>IF(SUM(Z142:AA142)=2,"Confirm_Sell","No_Action")</f>
        <v/>
      </c>
      <c r="Z142" s="15">
        <f>IF(H142&gt;I142,1,0)</f>
        <v/>
      </c>
      <c r="AA142" s="15">
        <f>IF(K142&lt;M142,1,0)</f>
        <v/>
      </c>
      <c r="AB142" s="15" t="n"/>
      <c r="AC142" s="15">
        <f>LEFT(AG142,2)&amp;LEFT(AI142,2)</f>
        <v/>
      </c>
      <c r="AD142" s="15" t="n"/>
      <c r="AE142" s="15">
        <f>IF(K142&gt;L142,1,0)</f>
        <v/>
      </c>
      <c r="AF142" s="16">
        <f>IF(H142&gt;I142,1,0)</f>
        <v/>
      </c>
      <c r="AG142" s="16">
        <f>IF(SUM(AE142:AF142)=2,"Anticipatory_Buy","No_Action")</f>
        <v/>
      </c>
      <c r="AH142" s="15" t="n"/>
      <c r="AI142" s="15">
        <f>IF(SUM(AJ142:AK142)=2,"Confirm_Buy","No_Action")</f>
        <v/>
      </c>
      <c r="AJ142" s="15">
        <f>IF(H142&gt;I142,1,0)</f>
        <v/>
      </c>
      <c r="AK142" s="15">
        <f>IF(K142&gt;M142,1,0)</f>
        <v/>
      </c>
    </row>
    <row r="143" ht="14.5" customHeight="1">
      <c r="A143" s="12" t="inlineStr">
        <is>
          <t>HINDUNILVR</t>
        </is>
      </c>
      <c r="B143" s="13">
        <f>IFERROR(__xludf.DUMMYFUNCTION("GOOGLEFINANCE(""NSE:""&amp;A143,""PRICE"")"),2402)</f>
        <v/>
      </c>
      <c r="C143" s="13">
        <f>IFERROR(__xludf.DUMMYFUNCTION("GOOGLEFINANCE(""NSE:""&amp;A143,""PRICEOPEN"")"),2465)</f>
        <v/>
      </c>
      <c r="D143" s="13">
        <f>IFERROR(__xludf.DUMMYFUNCTION("GOOGLEFINANCE(""NSE:""&amp;A143,""HIGH"")"),2476.95)</f>
        <v/>
      </c>
      <c r="E143" s="13">
        <f>IFERROR(__xludf.DUMMYFUNCTION("GOOGLEFINANCE(""NSE:""&amp;A143,""LOW"")"),2383.3)</f>
        <v/>
      </c>
      <c r="F143" s="13">
        <f>IFERROR(__xludf.DUMMYFUNCTION("GOOGLEFINANCE(""NSE:""&amp;A143,""closeyest"")"),2483.8)</f>
        <v/>
      </c>
      <c r="G143" s="14">
        <f>(B143-C143)/B143</f>
        <v/>
      </c>
      <c r="H143" s="13">
        <f>IFERROR(__xludf.DUMMYFUNCTION("GOOGLEFINANCE(""NSE:""&amp;A143,""VOLUME"")"),3385021)</f>
        <v/>
      </c>
      <c r="I143" s="13">
        <f>IFERROR(__xludf.DUMMYFUNCTION("AVERAGE(index(GOOGLEFINANCE(""NSE:""&amp;$A143, ""volume"", today()-21, today()-1), , 2))"),"#N/A")</f>
        <v/>
      </c>
      <c r="J143" s="14">
        <f>(H143-I143)/I143</f>
        <v/>
      </c>
      <c r="K143" s="13">
        <f>IFERROR(__xludf.DUMMYFUNCTION("AVERAGE(index(GOOGLEFINANCE(""NSE:""&amp;$A143, ""close"", today()-6, today()-1), , 2))"),"#N/A")</f>
        <v/>
      </c>
      <c r="L143" s="13">
        <f>IFERROR(__xludf.DUMMYFUNCTION("AVERAGE(index(GOOGLEFINANCE(""NSE:""&amp;$A143, ""close"", today()-14, today()-1), , 2))"),"#N/A")</f>
        <v/>
      </c>
      <c r="M143" s="13">
        <f>IFERROR(__xludf.DUMMYFUNCTION("AVERAGE(index(GOOGLEFINANCE(""NSE:""&amp;$A143, ""close"", today()-22, today()-1), , 2))"),"#N/A")</f>
        <v/>
      </c>
      <c r="N143" s="13">
        <f>AG143</f>
        <v/>
      </c>
      <c r="O143" s="13">
        <f>AI143</f>
        <v/>
      </c>
      <c r="P143" s="13">
        <f>W143</f>
        <v/>
      </c>
      <c r="Q143" s="13">
        <f>Y143</f>
        <v/>
      </c>
      <c r="R143" s="15" t="n"/>
      <c r="S143" s="15">
        <f>LEFT(W143,2)&amp;LEFT(Y143,2)</f>
        <v/>
      </c>
      <c r="T143" s="15" t="n"/>
      <c r="U143" s="15">
        <f>IF(K143&lt;L143,1,0)</f>
        <v/>
      </c>
      <c r="V143" s="15">
        <f>IF(H143&gt;I143,1,0)</f>
        <v/>
      </c>
      <c r="W143" s="15">
        <f>IF(SUM(U143:V143)=2,"Anticipatory_Sell","No_Action")</f>
        <v/>
      </c>
      <c r="X143" s="15" t="n"/>
      <c r="Y143" s="15">
        <f>IF(SUM(Z143:AA143)=2,"Confirm_Sell","No_Action")</f>
        <v/>
      </c>
      <c r="Z143" s="15">
        <f>IF(H143&gt;I143,1,0)</f>
        <v/>
      </c>
      <c r="AA143" s="15">
        <f>IF(K143&lt;M143,1,0)</f>
        <v/>
      </c>
      <c r="AB143" s="15" t="n"/>
      <c r="AC143" s="15">
        <f>LEFT(AG143,2)&amp;LEFT(AI143,2)</f>
        <v/>
      </c>
      <c r="AD143" s="15" t="n"/>
      <c r="AE143" s="15">
        <f>IF(K143&gt;L143,1,0)</f>
        <v/>
      </c>
      <c r="AF143" s="16">
        <f>IF(H143&gt;I143,1,0)</f>
        <v/>
      </c>
      <c r="AG143" s="16">
        <f>IF(SUM(AE143:AF143)=2,"Anticipatory_Buy","No_Action")</f>
        <v/>
      </c>
      <c r="AH143" s="15" t="n"/>
      <c r="AI143" s="15">
        <f>IF(SUM(AJ143:AK143)=2,"Confirm_Buy","No_Action")</f>
        <v/>
      </c>
      <c r="AJ143" s="15">
        <f>IF(H143&gt;I143,1,0)</f>
        <v/>
      </c>
      <c r="AK143" s="15">
        <f>IF(K143&gt;M143,1,0)</f>
        <v/>
      </c>
    </row>
    <row r="144" ht="14.5" customHeight="1">
      <c r="A144" s="12" t="inlineStr">
        <is>
          <t>HAL</t>
        </is>
      </c>
      <c r="B144" s="13">
        <f>IFERROR(__xludf.DUMMYFUNCTION("GOOGLEFINANCE(""NSE:""&amp;A144,""PRICE"")"),4620)</f>
        <v/>
      </c>
      <c r="C144" s="13">
        <f>IFERROR(__xludf.DUMMYFUNCTION("GOOGLEFINANCE(""NSE:""&amp;A144,""PRICEOPEN"")"),4561)</f>
        <v/>
      </c>
      <c r="D144" s="13">
        <f>IFERROR(__xludf.DUMMYFUNCTION("GOOGLEFINANCE(""NSE:""&amp;A144,""HIGH"")"),4646.95)</f>
        <v/>
      </c>
      <c r="E144" s="13">
        <f>IFERROR(__xludf.DUMMYFUNCTION("GOOGLEFINANCE(""NSE:""&amp;A144,""LOW"")"),4551)</f>
        <v/>
      </c>
      <c r="F144" s="13">
        <f>IFERROR(__xludf.DUMMYFUNCTION("GOOGLEFINANCE(""NSE:""&amp;A144,""closeyest"")"),4559.65)</f>
        <v/>
      </c>
      <c r="G144" s="14">
        <f>(B144-C144)/B144</f>
        <v/>
      </c>
      <c r="H144" s="13">
        <f>IFERROR(__xludf.DUMMYFUNCTION("GOOGLEFINANCE(""NSE:""&amp;A144,""VOLUME"")"),1524379)</f>
        <v/>
      </c>
      <c r="I144" s="13">
        <f>IFERROR(__xludf.DUMMYFUNCTION("AVERAGE(index(GOOGLEFINANCE(""NSE:""&amp;$A144, ""volume"", today()-21, today()-1), , 2))"),"#N/A")</f>
        <v/>
      </c>
      <c r="J144" s="14">
        <f>(H144-I144)/I144</f>
        <v/>
      </c>
      <c r="K144" s="13">
        <f>IFERROR(__xludf.DUMMYFUNCTION("AVERAGE(index(GOOGLEFINANCE(""NSE:""&amp;$A144, ""close"", today()-6, today()-1), , 2))"),"#N/A")</f>
        <v/>
      </c>
      <c r="L144" s="13">
        <f>IFERROR(__xludf.DUMMYFUNCTION("AVERAGE(index(GOOGLEFINANCE(""NSE:""&amp;$A144, ""close"", today()-14, today()-1), , 2))"),"#N/A")</f>
        <v/>
      </c>
      <c r="M144" s="13">
        <f>IFERROR(__xludf.DUMMYFUNCTION("AVERAGE(index(GOOGLEFINANCE(""NSE:""&amp;$A144, ""close"", today()-22, today()-1), , 2))"),"#N/A")</f>
        <v/>
      </c>
      <c r="N144" s="13">
        <f>AG144</f>
        <v/>
      </c>
      <c r="O144" s="13">
        <f>AI144</f>
        <v/>
      </c>
      <c r="P144" s="13">
        <f>W144</f>
        <v/>
      </c>
      <c r="Q144" s="13">
        <f>Y144</f>
        <v/>
      </c>
      <c r="R144" s="15" t="n"/>
      <c r="S144" s="15">
        <f>LEFT(W144,2)&amp;LEFT(Y144,2)</f>
        <v/>
      </c>
      <c r="T144" s="15" t="n"/>
      <c r="U144" s="15">
        <f>IF(K144&lt;L144,1,0)</f>
        <v/>
      </c>
      <c r="V144" s="15">
        <f>IF(H144&gt;I144,1,0)</f>
        <v/>
      </c>
      <c r="W144" s="15">
        <f>IF(SUM(U144:V144)=2,"Anticipatory_Sell","No_Action")</f>
        <v/>
      </c>
      <c r="X144" s="15" t="n"/>
      <c r="Y144" s="15">
        <f>IF(SUM(Z144:AA144)=2,"Confirm_Sell","No_Action")</f>
        <v/>
      </c>
      <c r="Z144" s="15">
        <f>IF(H144&gt;I144,1,0)</f>
        <v/>
      </c>
      <c r="AA144" s="15">
        <f>IF(K144&lt;M144,1,0)</f>
        <v/>
      </c>
      <c r="AB144" s="15" t="n"/>
      <c r="AC144" s="15">
        <f>LEFT(AG144,2)&amp;LEFT(AI144,2)</f>
        <v/>
      </c>
      <c r="AD144" s="15" t="n"/>
      <c r="AE144" s="15">
        <f>IF(K144&gt;L144,1,0)</f>
        <v/>
      </c>
      <c r="AF144" s="16">
        <f>IF(H144&gt;I144,1,0)</f>
        <v/>
      </c>
      <c r="AG144" s="16">
        <f>IF(SUM(AE144:AF144)=2,"Anticipatory_Buy","No_Action")</f>
        <v/>
      </c>
      <c r="AH144" s="15" t="n"/>
      <c r="AI144" s="15">
        <f>IF(SUM(AJ144:AK144)=2,"Confirm_Buy","No_Action")</f>
        <v/>
      </c>
      <c r="AJ144" s="15">
        <f>IF(H144&gt;I144,1,0)</f>
        <v/>
      </c>
      <c r="AK144" s="15">
        <f>IF(K144&gt;M144,1,0)</f>
        <v/>
      </c>
    </row>
    <row r="145" ht="14.5" customHeight="1">
      <c r="A145" s="12" t="inlineStr">
        <is>
          <t>HINDOILEXP</t>
        </is>
      </c>
      <c r="B145" s="13">
        <f>IFERROR(__xludf.DUMMYFUNCTION("GOOGLEFINANCE(""NSE:""&amp;A145,""PRICE"")"),195.98)</f>
        <v/>
      </c>
      <c r="C145" s="13">
        <f>IFERROR(__xludf.DUMMYFUNCTION("GOOGLEFINANCE(""NSE:""&amp;A145,""PRICEOPEN"")"),196.89)</f>
        <v/>
      </c>
      <c r="D145" s="13">
        <f>IFERROR(__xludf.DUMMYFUNCTION("GOOGLEFINANCE(""NSE:""&amp;A145,""HIGH"")"),198.78)</f>
        <v/>
      </c>
      <c r="E145" s="13">
        <f>IFERROR(__xludf.DUMMYFUNCTION("GOOGLEFINANCE(""NSE:""&amp;A145,""LOW"")"),195.4)</f>
        <v/>
      </c>
      <c r="F145" s="13">
        <f>IFERROR(__xludf.DUMMYFUNCTION("GOOGLEFINANCE(""NSE:""&amp;A145,""closeyest"")"),196.32)</f>
        <v/>
      </c>
      <c r="G145" s="14">
        <f>(B145-C145)/B145</f>
        <v/>
      </c>
      <c r="H145" s="13">
        <f>IFERROR(__xludf.DUMMYFUNCTION("GOOGLEFINANCE(""NSE:""&amp;A145,""VOLUME"")"),282809)</f>
        <v/>
      </c>
      <c r="I145" s="13">
        <f>IFERROR(__xludf.DUMMYFUNCTION("AVERAGE(index(GOOGLEFINANCE(""NSE:""&amp;$A145, ""volume"", today()-21, today()-1), , 2))"),"#N/A")</f>
        <v/>
      </c>
      <c r="J145" s="14">
        <f>(H145-I145)/I145</f>
        <v/>
      </c>
      <c r="K145" s="13">
        <f>IFERROR(__xludf.DUMMYFUNCTION("AVERAGE(index(GOOGLEFINANCE(""NSE:""&amp;$A145, ""close"", today()-6, today()-1), , 2))"),"#N/A")</f>
        <v/>
      </c>
      <c r="L145" s="13">
        <f>IFERROR(__xludf.DUMMYFUNCTION("AVERAGE(index(GOOGLEFINANCE(""NSE:""&amp;$A145, ""close"", today()-14, today()-1), , 2))"),"#N/A")</f>
        <v/>
      </c>
      <c r="M145" s="13">
        <f>IFERROR(__xludf.DUMMYFUNCTION("AVERAGE(index(GOOGLEFINANCE(""NSE:""&amp;$A145, ""close"", today()-22, today()-1), , 2))"),"#N/A")</f>
        <v/>
      </c>
      <c r="N145" s="13">
        <f>AG145</f>
        <v/>
      </c>
      <c r="O145" s="13">
        <f>AI145</f>
        <v/>
      </c>
      <c r="P145" s="13">
        <f>W145</f>
        <v/>
      </c>
      <c r="Q145" s="13">
        <f>Y145</f>
        <v/>
      </c>
      <c r="R145" s="15" t="n"/>
      <c r="S145" s="15">
        <f>LEFT(W145,2)&amp;LEFT(Y145,2)</f>
        <v/>
      </c>
      <c r="T145" s="15" t="n"/>
      <c r="U145" s="15">
        <f>IF(K145&lt;L145,1,0)</f>
        <v/>
      </c>
      <c r="V145" s="15">
        <f>IF(H145&gt;I145,1,0)</f>
        <v/>
      </c>
      <c r="W145" s="15">
        <f>IF(SUM(U145:V145)=2,"Anticipatory_Sell","No_Action")</f>
        <v/>
      </c>
      <c r="X145" s="15" t="n"/>
      <c r="Y145" s="15">
        <f>IF(SUM(Z145:AA145)=2,"Confirm_Sell","No_Action")</f>
        <v/>
      </c>
      <c r="Z145" s="15">
        <f>IF(H145&gt;I145,1,0)</f>
        <v/>
      </c>
      <c r="AA145" s="15">
        <f>IF(K145&lt;M145,1,0)</f>
        <v/>
      </c>
      <c r="AB145" s="15" t="n"/>
      <c r="AC145" s="15">
        <f>LEFT(AG145,2)&amp;LEFT(AI145,2)</f>
        <v/>
      </c>
      <c r="AD145" s="15" t="n"/>
      <c r="AE145" s="15">
        <f>IF(K145&gt;L145,1,0)</f>
        <v/>
      </c>
      <c r="AF145" s="16">
        <f>IF(H145&gt;I145,1,0)</f>
        <v/>
      </c>
      <c r="AG145" s="16">
        <f>IF(SUM(AE145:AF145)=2,"Anticipatory_Buy","No_Action")</f>
        <v/>
      </c>
      <c r="AH145" s="15" t="n"/>
      <c r="AI145" s="15">
        <f>IF(SUM(AJ145:AK145)=2,"Confirm_Buy","No_Action")</f>
        <v/>
      </c>
      <c r="AJ145" s="15">
        <f>IF(H145&gt;I145,1,0)</f>
        <v/>
      </c>
      <c r="AK145" s="15">
        <f>IF(K145&gt;M145,1,0)</f>
        <v/>
      </c>
    </row>
    <row r="146" ht="14.5" customHeight="1">
      <c r="A146" s="12" t="inlineStr">
        <is>
          <t>HINDALCO</t>
        </is>
      </c>
      <c r="B146" s="13">
        <f>IFERROR(__xludf.DUMMYFUNCTION("GOOGLEFINANCE(""NSE:""&amp;A146,""PRICE"")"),670.3)</f>
        <v/>
      </c>
      <c r="C146" s="13">
        <f>IFERROR(__xludf.DUMMYFUNCTION("GOOGLEFINANCE(""NSE:""&amp;A146,""PRICEOPEN"")"),666.95)</f>
        <v/>
      </c>
      <c r="D146" s="13">
        <f>IFERROR(__xludf.DUMMYFUNCTION("GOOGLEFINANCE(""NSE:""&amp;A146,""HIGH"")"),672.5)</f>
        <v/>
      </c>
      <c r="E146" s="13">
        <f>IFERROR(__xludf.DUMMYFUNCTION("GOOGLEFINANCE(""NSE:""&amp;A146,""LOW"")"),654.25)</f>
        <v/>
      </c>
      <c r="F146" s="13">
        <f>IFERROR(__xludf.DUMMYFUNCTION("GOOGLEFINANCE(""NSE:""&amp;A146,""closeyest"")"),670.15)</f>
        <v/>
      </c>
      <c r="G146" s="14">
        <f>(B146-C146)/B146</f>
        <v/>
      </c>
      <c r="H146" s="13">
        <f>IFERROR(__xludf.DUMMYFUNCTION("GOOGLEFINANCE(""NSE:""&amp;A146,""VOLUME"")"),5079369)</f>
        <v/>
      </c>
      <c r="I146" s="13">
        <f>IFERROR(__xludf.DUMMYFUNCTION("AVERAGE(index(GOOGLEFINANCE(""NSE:""&amp;$A146, ""volume"", today()-21, today()-1), , 2))"),"#N/A")</f>
        <v/>
      </c>
      <c r="J146" s="14">
        <f>(H146-I146)/I146</f>
        <v/>
      </c>
      <c r="K146" s="13">
        <f>IFERROR(__xludf.DUMMYFUNCTION("AVERAGE(index(GOOGLEFINANCE(""NSE:""&amp;$A146, ""close"", today()-6, today()-1), , 2))"),"#N/A")</f>
        <v/>
      </c>
      <c r="L146" s="13">
        <f>IFERROR(__xludf.DUMMYFUNCTION("AVERAGE(index(GOOGLEFINANCE(""NSE:""&amp;$A146, ""close"", today()-14, today()-1), , 2))"),"#N/A")</f>
        <v/>
      </c>
      <c r="M146" s="13">
        <f>IFERROR(__xludf.DUMMYFUNCTION("AVERAGE(index(GOOGLEFINANCE(""NSE:""&amp;$A146, ""close"", today()-22, today()-1), , 2))"),"#N/A")</f>
        <v/>
      </c>
      <c r="N146" s="13">
        <f>AG146</f>
        <v/>
      </c>
      <c r="O146" s="13">
        <f>AI146</f>
        <v/>
      </c>
      <c r="P146" s="13">
        <f>W146</f>
        <v/>
      </c>
      <c r="Q146" s="13">
        <f>Y146</f>
        <v/>
      </c>
      <c r="R146" s="15" t="n"/>
      <c r="S146" s="15">
        <f>LEFT(W146,2)&amp;LEFT(Y146,2)</f>
        <v/>
      </c>
      <c r="T146" s="15" t="n"/>
      <c r="U146" s="15">
        <f>IF(K146&lt;L146,1,0)</f>
        <v/>
      </c>
      <c r="V146" s="15">
        <f>IF(H146&gt;I146,1,0)</f>
        <v/>
      </c>
      <c r="W146" s="15">
        <f>IF(SUM(U146:V146)=2,"Anticipatory_Sell","No_Action")</f>
        <v/>
      </c>
      <c r="X146" s="15" t="n"/>
      <c r="Y146" s="15">
        <f>IF(SUM(Z146:AA146)=2,"Confirm_Sell","No_Action")</f>
        <v/>
      </c>
      <c r="Z146" s="15">
        <f>IF(H146&gt;I146,1,0)</f>
        <v/>
      </c>
      <c r="AA146" s="15">
        <f>IF(K146&lt;M146,1,0)</f>
        <v/>
      </c>
      <c r="AB146" s="15" t="n"/>
      <c r="AC146" s="15">
        <f>LEFT(AG146,2)&amp;LEFT(AI146,2)</f>
        <v/>
      </c>
      <c r="AD146" s="15" t="n"/>
      <c r="AE146" s="15">
        <f>IF(K146&gt;L146,1,0)</f>
        <v/>
      </c>
      <c r="AF146" s="16">
        <f>IF(H146&gt;I146,1,0)</f>
        <v/>
      </c>
      <c r="AG146" s="16">
        <f>IF(SUM(AE146:AF146)=2,"Anticipatory_Buy","No_Action")</f>
        <v/>
      </c>
      <c r="AH146" s="15" t="n"/>
      <c r="AI146" s="15">
        <f>IF(SUM(AJ146:AK146)=2,"Confirm_Buy","No_Action")</f>
        <v/>
      </c>
      <c r="AJ146" s="15">
        <f>IF(H146&gt;I146,1,0)</f>
        <v/>
      </c>
      <c r="AK146" s="15">
        <f>IF(K146&gt;M146,1,0)</f>
        <v/>
      </c>
    </row>
    <row r="147" ht="14.5" customHeight="1">
      <c r="A147" s="12" t="inlineStr">
        <is>
          <t>HLEGLAS</t>
        </is>
      </c>
      <c r="B147" s="13">
        <f>IFERROR(__xludf.DUMMYFUNCTION("GOOGLEFINANCE(""NSE:""&amp;A147,""PRICE"")"),403)</f>
        <v/>
      </c>
      <c r="C147" s="13">
        <f>IFERROR(__xludf.DUMMYFUNCTION("GOOGLEFINANCE(""NSE:""&amp;A147,""PRICEOPEN"")"),405)</f>
        <v/>
      </c>
      <c r="D147" s="13">
        <f>IFERROR(__xludf.DUMMYFUNCTION("GOOGLEFINANCE(""NSE:""&amp;A147,""HIGH"")"),417)</f>
        <v/>
      </c>
      <c r="E147" s="13">
        <f>IFERROR(__xludf.DUMMYFUNCTION("GOOGLEFINANCE(""NSE:""&amp;A147,""LOW"")"),401.15)</f>
        <v/>
      </c>
      <c r="F147" s="13">
        <f>IFERROR(__xludf.DUMMYFUNCTION("GOOGLEFINANCE(""NSE:""&amp;A147,""closeyest"")"),400.2)</f>
        <v/>
      </c>
      <c r="G147" s="14">
        <f>(B147-C147)/B147</f>
        <v/>
      </c>
      <c r="H147" s="13">
        <f>IFERROR(__xludf.DUMMYFUNCTION("GOOGLEFINANCE(""NSE:""&amp;A147,""VOLUME"")"),61729)</f>
        <v/>
      </c>
      <c r="I147" s="13">
        <f>IFERROR(__xludf.DUMMYFUNCTION("AVERAGE(index(GOOGLEFINANCE(""NSE:""&amp;$A147, ""volume"", today()-21, today()-1), , 2))"),"#N/A")</f>
        <v/>
      </c>
      <c r="J147" s="14">
        <f>(H147-I147)/I147</f>
        <v/>
      </c>
      <c r="K147" s="13">
        <f>IFERROR(__xludf.DUMMYFUNCTION("AVERAGE(index(GOOGLEFINANCE(""NSE:""&amp;$A147, ""close"", today()-6, today()-1), , 2))"),"#N/A")</f>
        <v/>
      </c>
      <c r="L147" s="13">
        <f>IFERROR(__xludf.DUMMYFUNCTION("AVERAGE(index(GOOGLEFINANCE(""NSE:""&amp;$A147, ""close"", today()-14, today()-1), , 2))"),"#N/A")</f>
        <v/>
      </c>
      <c r="M147" s="13">
        <f>IFERROR(__xludf.DUMMYFUNCTION("AVERAGE(index(GOOGLEFINANCE(""NSE:""&amp;$A147, ""close"", today()-22, today()-1), , 2))"),"#N/A")</f>
        <v/>
      </c>
      <c r="N147" s="13">
        <f>AG147</f>
        <v/>
      </c>
      <c r="O147" s="13">
        <f>AI147</f>
        <v/>
      </c>
      <c r="P147" s="13">
        <f>W147</f>
        <v/>
      </c>
      <c r="Q147" s="13">
        <f>Y147</f>
        <v/>
      </c>
      <c r="R147" s="15" t="n"/>
      <c r="S147" s="15">
        <f>LEFT(W147,2)&amp;LEFT(Y147,2)</f>
        <v/>
      </c>
      <c r="T147" s="15" t="n"/>
      <c r="U147" s="15">
        <f>IF(K147&lt;L147,1,0)</f>
        <v/>
      </c>
      <c r="V147" s="15">
        <f>IF(H147&gt;I147,1,0)</f>
        <v/>
      </c>
      <c r="W147" s="15">
        <f>IF(SUM(U147:V147)=2,"Anticipatory_Sell","No_Action")</f>
        <v/>
      </c>
      <c r="X147" s="15" t="n"/>
      <c r="Y147" s="15">
        <f>IF(SUM(Z147:AA147)=2,"Confirm_Sell","No_Action")</f>
        <v/>
      </c>
      <c r="Z147" s="15">
        <f>IF(H147&gt;I147,1,0)</f>
        <v/>
      </c>
      <c r="AA147" s="15">
        <f>IF(K147&lt;M147,1,0)</f>
        <v/>
      </c>
      <c r="AB147" s="15" t="n"/>
      <c r="AC147" s="15">
        <f>LEFT(AG147,2)&amp;LEFT(AI147,2)</f>
        <v/>
      </c>
      <c r="AD147" s="15" t="n"/>
      <c r="AE147" s="15">
        <f>IF(K147&gt;L147,1,0)</f>
        <v/>
      </c>
      <c r="AF147" s="16">
        <f>IF(H147&gt;I147,1,0)</f>
        <v/>
      </c>
      <c r="AG147" s="16">
        <f>IF(SUM(AE147:AF147)=2,"Anticipatory_Buy","No_Action")</f>
        <v/>
      </c>
      <c r="AH147" s="15" t="n"/>
      <c r="AI147" s="15">
        <f>IF(SUM(AJ147:AK147)=2,"Confirm_Buy","No_Action")</f>
        <v/>
      </c>
      <c r="AJ147" s="15">
        <f>IF(H147&gt;I147,1,0)</f>
        <v/>
      </c>
      <c r="AK147" s="15">
        <f>IF(K147&gt;M147,1,0)</f>
        <v/>
      </c>
    </row>
    <row r="148" ht="14.5" customHeight="1">
      <c r="A148" s="12" t="inlineStr">
        <is>
          <t>ICICIBANK</t>
        </is>
      </c>
      <c r="B148" s="13">
        <f>IFERROR(__xludf.DUMMYFUNCTION("GOOGLEFINANCE(""NSE:""&amp;A148,""PRICE"")"),1323.5)</f>
        <v/>
      </c>
      <c r="C148" s="13">
        <f>IFERROR(__xludf.DUMMYFUNCTION("GOOGLEFINANCE(""NSE:""&amp;A148,""PRICEOPEN"")"),1322.1)</f>
        <v/>
      </c>
      <c r="D148" s="13">
        <f>IFERROR(__xludf.DUMMYFUNCTION("GOOGLEFINANCE(""NSE:""&amp;A148,""HIGH"")"),1329.05)</f>
        <v/>
      </c>
      <c r="E148" s="13">
        <f>IFERROR(__xludf.DUMMYFUNCTION("GOOGLEFINANCE(""NSE:""&amp;A148,""LOW"")"),1320.25)</f>
        <v/>
      </c>
      <c r="F148" s="13">
        <f>IFERROR(__xludf.DUMMYFUNCTION("GOOGLEFINANCE(""NSE:""&amp;A148,""closeyest"")"),1328.75)</f>
        <v/>
      </c>
      <c r="G148" s="14">
        <f>(B148-C148)/B148</f>
        <v/>
      </c>
      <c r="H148" s="13">
        <f>IFERROR(__xludf.DUMMYFUNCTION("GOOGLEFINANCE(""NSE:""&amp;A148,""VOLUME"")"),8000764)</f>
        <v/>
      </c>
      <c r="I148" s="13">
        <f>IFERROR(__xludf.DUMMYFUNCTION("AVERAGE(index(GOOGLEFINANCE(""NSE:""&amp;$A148, ""volume"", today()-21, today()-1), , 2))"),"#N/A")</f>
        <v/>
      </c>
      <c r="J148" s="14">
        <f>(H148-I148)/I148</f>
        <v/>
      </c>
      <c r="K148" s="13">
        <f>IFERROR(__xludf.DUMMYFUNCTION("AVERAGE(index(GOOGLEFINANCE(""NSE:""&amp;$A148, ""close"", today()-6, today()-1), , 2))"),"#N/A")</f>
        <v/>
      </c>
      <c r="L148" s="13">
        <f>IFERROR(__xludf.DUMMYFUNCTION("AVERAGE(index(GOOGLEFINANCE(""NSE:""&amp;$A148, ""close"", today()-14, today()-1), , 2))"),"#N/A")</f>
        <v/>
      </c>
      <c r="M148" s="13">
        <f>IFERROR(__xludf.DUMMYFUNCTION("AVERAGE(index(GOOGLEFINANCE(""NSE:""&amp;$A148, ""close"", today()-22, today()-1), , 2))"),"#N/A")</f>
        <v/>
      </c>
      <c r="N148" s="13">
        <f>AG148</f>
        <v/>
      </c>
      <c r="O148" s="13">
        <f>AI148</f>
        <v/>
      </c>
      <c r="P148" s="13">
        <f>W148</f>
        <v/>
      </c>
      <c r="Q148" s="13">
        <f>Y148</f>
        <v/>
      </c>
      <c r="R148" s="15" t="n"/>
      <c r="S148" s="15">
        <f>LEFT(W148,2)&amp;LEFT(Y148,2)</f>
        <v/>
      </c>
      <c r="T148" s="15" t="n"/>
      <c r="U148" s="15">
        <f>IF(K148&lt;L148,1,0)</f>
        <v/>
      </c>
      <c r="V148" s="15">
        <f>IF(H148&gt;I148,1,0)</f>
        <v/>
      </c>
      <c r="W148" s="15">
        <f>IF(SUM(U148:V148)=2,"Anticipatory_Sell","No_Action")</f>
        <v/>
      </c>
      <c r="X148" s="15" t="n"/>
      <c r="Y148" s="15">
        <f>IF(SUM(Z148:AA148)=2,"Confirm_Sell","No_Action")</f>
        <v/>
      </c>
      <c r="Z148" s="15">
        <f>IF(H148&gt;I148,1,0)</f>
        <v/>
      </c>
      <c r="AA148" s="15">
        <f>IF(K148&lt;M148,1,0)</f>
        <v/>
      </c>
      <c r="AB148" s="15" t="n"/>
      <c r="AC148" s="15">
        <f>LEFT(AG148,2)&amp;LEFT(AI148,2)</f>
        <v/>
      </c>
      <c r="AD148" s="15" t="n"/>
      <c r="AE148" s="15">
        <f>IF(K148&gt;L148,1,0)</f>
        <v/>
      </c>
      <c r="AF148" s="16">
        <f>IF(H148&gt;I148,1,0)</f>
        <v/>
      </c>
      <c r="AG148" s="16">
        <f>IF(SUM(AE148:AF148)=2,"Anticipatory_Buy","No_Action")</f>
        <v/>
      </c>
      <c r="AH148" s="15" t="n"/>
      <c r="AI148" s="15">
        <f>IF(SUM(AJ148:AK148)=2,"Confirm_Buy","No_Action")</f>
        <v/>
      </c>
      <c r="AJ148" s="15">
        <f>IF(H148&gt;I148,1,0)</f>
        <v/>
      </c>
      <c r="AK148" s="15">
        <f>IF(K148&gt;M148,1,0)</f>
        <v/>
      </c>
    </row>
    <row r="149" ht="14.5" customHeight="1">
      <c r="A149" s="12" t="inlineStr">
        <is>
          <t>IIFLSEC</t>
        </is>
      </c>
      <c r="B149" s="13">
        <f>IFERROR(__xludf.DUMMYFUNCTION("GOOGLEFINANCE(""NSE:""&amp;A149,""PRICE"")"),"#N/A")</f>
        <v/>
      </c>
      <c r="C149" s="13">
        <f>IFERROR(__xludf.DUMMYFUNCTION("GOOGLEFINANCE(""NSE:""&amp;A149,""PRICEOPEN"")"),"#N/A")</f>
        <v/>
      </c>
      <c r="D149" s="13">
        <f>IFERROR(__xludf.DUMMYFUNCTION("GOOGLEFINANCE(""NSE:""&amp;A149,""HIGH"")"),"#N/A")</f>
        <v/>
      </c>
      <c r="E149" s="13">
        <f>IFERROR(__xludf.DUMMYFUNCTION("GOOGLEFINANCE(""NSE:""&amp;A149,""LOW"")"),"#N/A")</f>
        <v/>
      </c>
      <c r="F149" s="13">
        <f>IFERROR(__xludf.DUMMYFUNCTION("GOOGLEFINANCE(""NSE:""&amp;A149,""closeyest"")"),"#N/A")</f>
        <v/>
      </c>
      <c r="G149" s="14">
        <f>(B149-C149)/B149</f>
        <v/>
      </c>
      <c r="H149" s="13">
        <f>IFERROR(__xludf.DUMMYFUNCTION("GOOGLEFINANCE(""NSE:""&amp;A149,""VOLUME"")"),"#N/A")</f>
        <v/>
      </c>
      <c r="I149" s="13">
        <f>IFERROR(__xludf.DUMMYFUNCTION("AVERAGE(index(GOOGLEFINANCE(""NSE:""&amp;$A149, ""volume"", today()-21, today()-1), , 2))"),"#N/A")</f>
        <v/>
      </c>
      <c r="J149" s="14">
        <f>(H149-I149)/I149</f>
        <v/>
      </c>
      <c r="K149" s="13">
        <f>IFERROR(__xludf.DUMMYFUNCTION("AVERAGE(index(GOOGLEFINANCE(""NSE:""&amp;$A149, ""close"", today()-6, today()-1), , 2))"),"#N/A")</f>
        <v/>
      </c>
      <c r="L149" s="13">
        <f>IFERROR(__xludf.DUMMYFUNCTION("AVERAGE(index(GOOGLEFINANCE(""NSE:""&amp;$A149, ""close"", today()-14, today()-1), , 2))"),"#N/A")</f>
        <v/>
      </c>
      <c r="M149" s="13">
        <f>IFERROR(__xludf.DUMMYFUNCTION("AVERAGE(index(GOOGLEFINANCE(""NSE:""&amp;$A149, ""close"", today()-22, today()-1), , 2))"),"#N/A")</f>
        <v/>
      </c>
      <c r="N149" s="13">
        <f>AG149</f>
        <v/>
      </c>
      <c r="O149" s="13">
        <f>AI149</f>
        <v/>
      </c>
      <c r="P149" s="13">
        <f>W149</f>
        <v/>
      </c>
      <c r="Q149" s="13">
        <f>Y149</f>
        <v/>
      </c>
      <c r="R149" s="15" t="n"/>
      <c r="S149" s="15">
        <f>LEFT(W149,2)&amp;LEFT(Y149,2)</f>
        <v/>
      </c>
      <c r="T149" s="15" t="n"/>
      <c r="U149" s="15">
        <f>IF(K149&lt;L149,1,0)</f>
        <v/>
      </c>
      <c r="V149" s="15">
        <f>IF(H149&gt;I149,1,0)</f>
        <v/>
      </c>
      <c r="W149" s="15">
        <f>IF(SUM(U149:V149)=2,"Anticipatory_Sell","No_Action")</f>
        <v/>
      </c>
      <c r="X149" s="15" t="n"/>
      <c r="Y149" s="15">
        <f>IF(SUM(Z149:AA149)=2,"Confirm_Sell","No_Action")</f>
        <v/>
      </c>
      <c r="Z149" s="15">
        <f>IF(H149&gt;I149,1,0)</f>
        <v/>
      </c>
      <c r="AA149" s="15">
        <f>IF(K149&lt;M149,1,0)</f>
        <v/>
      </c>
      <c r="AB149" s="15" t="n"/>
      <c r="AC149" s="15">
        <f>LEFT(AG149,2)&amp;LEFT(AI149,2)</f>
        <v/>
      </c>
      <c r="AD149" s="15" t="n"/>
      <c r="AE149" s="15">
        <f>IF(K149&gt;L149,1,0)</f>
        <v/>
      </c>
      <c r="AF149" s="16">
        <f>IF(H149&gt;I149,1,0)</f>
        <v/>
      </c>
      <c r="AG149" s="16">
        <f>IF(SUM(AE149:AF149)=2,"Anticipatory_Buy","No_Action")</f>
        <v/>
      </c>
      <c r="AH149" s="15" t="n"/>
      <c r="AI149" s="15">
        <f>IF(SUM(AJ149:AK149)=2,"Confirm_Buy","No_Action")</f>
        <v/>
      </c>
      <c r="AJ149" s="15">
        <f>IF(H149&gt;I149,1,0)</f>
        <v/>
      </c>
      <c r="AK149" s="15">
        <f>IF(K149&gt;M149,1,0)</f>
        <v/>
      </c>
    </row>
    <row r="150" ht="14.5" customHeight="1">
      <c r="A150" s="12" t="inlineStr">
        <is>
          <t>INDIAMART</t>
        </is>
      </c>
      <c r="B150" s="13">
        <f>IFERROR(__xludf.DUMMYFUNCTION("GOOGLEFINANCE(""NSE:""&amp;A150,""PRICE"")"),2370)</f>
        <v/>
      </c>
      <c r="C150" s="13">
        <f>IFERROR(__xludf.DUMMYFUNCTION("GOOGLEFINANCE(""NSE:""&amp;A150,""PRICEOPEN"")"),2357.85)</f>
        <v/>
      </c>
      <c r="D150" s="13">
        <f>IFERROR(__xludf.DUMMYFUNCTION("GOOGLEFINANCE(""NSE:""&amp;A150,""HIGH"")"),2378)</f>
        <v/>
      </c>
      <c r="E150" s="13">
        <f>IFERROR(__xludf.DUMMYFUNCTION("GOOGLEFINANCE(""NSE:""&amp;A150,""LOW"")"),2357)</f>
        <v/>
      </c>
      <c r="F150" s="13">
        <f>IFERROR(__xludf.DUMMYFUNCTION("GOOGLEFINANCE(""NSE:""&amp;A150,""closeyest"")"),2357.85)</f>
        <v/>
      </c>
      <c r="G150" s="14">
        <f>(B150-C150)/B150</f>
        <v/>
      </c>
      <c r="H150" s="13">
        <f>IFERROR(__xludf.DUMMYFUNCTION("GOOGLEFINANCE(""NSE:""&amp;A150,""VOLUME"")"),103487)</f>
        <v/>
      </c>
      <c r="I150" s="13">
        <f>IFERROR(__xludf.DUMMYFUNCTION("AVERAGE(index(GOOGLEFINANCE(""NSE:""&amp;$A150, ""volume"", today()-21, today()-1), , 2))"),"#N/A")</f>
        <v/>
      </c>
      <c r="J150" s="14">
        <f>(H150-I150)/I150</f>
        <v/>
      </c>
      <c r="K150" s="13">
        <f>IFERROR(__xludf.DUMMYFUNCTION("AVERAGE(index(GOOGLEFINANCE(""NSE:""&amp;$A150, ""close"", today()-6, today()-1), , 2))"),"#N/A")</f>
        <v/>
      </c>
      <c r="L150" s="13">
        <f>IFERROR(__xludf.DUMMYFUNCTION("AVERAGE(index(GOOGLEFINANCE(""NSE:""&amp;$A150, ""close"", today()-14, today()-1), , 2))"),"#N/A")</f>
        <v/>
      </c>
      <c r="M150" s="13">
        <f>IFERROR(__xludf.DUMMYFUNCTION("AVERAGE(index(GOOGLEFINANCE(""NSE:""&amp;$A150, ""close"", today()-22, today()-1), , 2))"),"#N/A")</f>
        <v/>
      </c>
      <c r="N150" s="13">
        <f>AG150</f>
        <v/>
      </c>
      <c r="O150" s="13">
        <f>AI150</f>
        <v/>
      </c>
      <c r="P150" s="13">
        <f>W150</f>
        <v/>
      </c>
      <c r="Q150" s="13">
        <f>Y150</f>
        <v/>
      </c>
      <c r="R150" s="15" t="n"/>
      <c r="S150" s="15">
        <f>LEFT(W150,2)&amp;LEFT(Y150,2)</f>
        <v/>
      </c>
      <c r="T150" s="15" t="n"/>
      <c r="U150" s="15">
        <f>IF(K150&lt;L150,1,0)</f>
        <v/>
      </c>
      <c r="V150" s="15">
        <f>IF(H150&gt;I150,1,0)</f>
        <v/>
      </c>
      <c r="W150" s="15">
        <f>IF(SUM(U150:V150)=2,"Anticipatory_Sell","No_Action")</f>
        <v/>
      </c>
      <c r="X150" s="15" t="n"/>
      <c r="Y150" s="15">
        <f>IF(SUM(Z150:AA150)=2,"Confirm_Sell","No_Action")</f>
        <v/>
      </c>
      <c r="Z150" s="15">
        <f>IF(H150&gt;I150,1,0)</f>
        <v/>
      </c>
      <c r="AA150" s="15">
        <f>IF(K150&lt;M150,1,0)</f>
        <v/>
      </c>
      <c r="AB150" s="15" t="n"/>
      <c r="AC150" s="15">
        <f>LEFT(AG150,2)&amp;LEFT(AI150,2)</f>
        <v/>
      </c>
      <c r="AD150" s="15" t="n"/>
      <c r="AE150" s="15">
        <f>IF(K150&gt;L150,1,0)</f>
        <v/>
      </c>
      <c r="AF150" s="16">
        <f>IF(H150&gt;I150,1,0)</f>
        <v/>
      </c>
      <c r="AG150" s="16">
        <f>IF(SUM(AE150:AF150)=2,"Anticipatory_Buy","No_Action")</f>
        <v/>
      </c>
      <c r="AH150" s="15" t="n"/>
      <c r="AI150" s="15">
        <f>IF(SUM(AJ150:AK150)=2,"Confirm_Buy","No_Action")</f>
        <v/>
      </c>
      <c r="AJ150" s="15">
        <f>IF(H150&gt;I150,1,0)</f>
        <v/>
      </c>
      <c r="AK150" s="15">
        <f>IF(K150&gt;M150,1,0)</f>
        <v/>
      </c>
    </row>
    <row r="151" ht="14.5" customHeight="1">
      <c r="A151" s="12" t="inlineStr">
        <is>
          <t>INDIANB</t>
        </is>
      </c>
      <c r="B151" s="13">
        <f>IFERROR(__xludf.DUMMYFUNCTION("GOOGLEFINANCE(""NSE:""&amp;A151,""PRICE"")"),594)</f>
        <v/>
      </c>
      <c r="C151" s="13">
        <f>IFERROR(__xludf.DUMMYFUNCTION("GOOGLEFINANCE(""NSE:""&amp;A151,""PRICEOPEN"")"),594.4)</f>
        <v/>
      </c>
      <c r="D151" s="13">
        <f>IFERROR(__xludf.DUMMYFUNCTION("GOOGLEFINANCE(""NSE:""&amp;A151,""HIGH"")"),603.25)</f>
        <v/>
      </c>
      <c r="E151" s="13">
        <f>IFERROR(__xludf.DUMMYFUNCTION("GOOGLEFINANCE(""NSE:""&amp;A151,""LOW"")"),591.4)</f>
        <v/>
      </c>
      <c r="F151" s="13">
        <f>IFERROR(__xludf.DUMMYFUNCTION("GOOGLEFINANCE(""NSE:""&amp;A151,""closeyest"")"),594.4)</f>
        <v/>
      </c>
      <c r="G151" s="14">
        <f>(B151-C151)/B151</f>
        <v/>
      </c>
      <c r="H151" s="13">
        <f>IFERROR(__xludf.DUMMYFUNCTION("GOOGLEFINANCE(""NSE:""&amp;A151,""VOLUME"")"),2038776)</f>
        <v/>
      </c>
      <c r="I151" s="13">
        <f>IFERROR(__xludf.DUMMYFUNCTION("AVERAGE(index(GOOGLEFINANCE(""NSE:""&amp;$A151, ""volume"", today()-21, today()-1), , 2))"),"#N/A")</f>
        <v/>
      </c>
      <c r="J151" s="14">
        <f>(H151-I151)/I151</f>
        <v/>
      </c>
      <c r="K151" s="13">
        <f>IFERROR(__xludf.DUMMYFUNCTION("AVERAGE(index(GOOGLEFINANCE(""NSE:""&amp;$A151, ""close"", today()-6, today()-1), , 2))"),"#N/A")</f>
        <v/>
      </c>
      <c r="L151" s="13">
        <f>IFERROR(__xludf.DUMMYFUNCTION("AVERAGE(index(GOOGLEFINANCE(""NSE:""&amp;$A151, ""close"", today()-14, today()-1), , 2))"),"#N/A")</f>
        <v/>
      </c>
      <c r="M151" s="13">
        <f>IFERROR(__xludf.DUMMYFUNCTION("AVERAGE(index(GOOGLEFINANCE(""NSE:""&amp;$A151, ""close"", today()-22, today()-1), , 2))"),"#N/A")</f>
        <v/>
      </c>
      <c r="N151" s="13">
        <f>AG151</f>
        <v/>
      </c>
      <c r="O151" s="13">
        <f>AI151</f>
        <v/>
      </c>
      <c r="P151" s="13">
        <f>W151</f>
        <v/>
      </c>
      <c r="Q151" s="13">
        <f>Y151</f>
        <v/>
      </c>
      <c r="R151" s="15" t="n"/>
      <c r="S151" s="15">
        <f>LEFT(W151,2)&amp;LEFT(Y151,2)</f>
        <v/>
      </c>
      <c r="T151" s="15" t="n"/>
      <c r="U151" s="15">
        <f>IF(K151&lt;L151,1,0)</f>
        <v/>
      </c>
      <c r="V151" s="15">
        <f>IF(H151&gt;I151,1,0)</f>
        <v/>
      </c>
      <c r="W151" s="15">
        <f>IF(SUM(U151:V151)=2,"Anticipatory_Sell","No_Action")</f>
        <v/>
      </c>
      <c r="X151" s="15" t="n"/>
      <c r="Y151" s="15">
        <f>IF(SUM(Z151:AA151)=2,"Confirm_Sell","No_Action")</f>
        <v/>
      </c>
      <c r="Z151" s="15">
        <f>IF(H151&gt;I151,1,0)</f>
        <v/>
      </c>
      <c r="AA151" s="15">
        <f>IF(K151&lt;M151,1,0)</f>
        <v/>
      </c>
      <c r="AB151" s="15" t="n"/>
      <c r="AC151" s="15">
        <f>LEFT(AG151,2)&amp;LEFT(AI151,2)</f>
        <v/>
      </c>
      <c r="AD151" s="15" t="n"/>
      <c r="AE151" s="15">
        <f>IF(K151&gt;L151,1,0)</f>
        <v/>
      </c>
      <c r="AF151" s="16">
        <f>IF(H151&gt;I151,1,0)</f>
        <v/>
      </c>
      <c r="AG151" s="16">
        <f>IF(SUM(AE151:AF151)=2,"Anticipatory_Buy","No_Action")</f>
        <v/>
      </c>
      <c r="AH151" s="15" t="n"/>
      <c r="AI151" s="15">
        <f>IF(SUM(AJ151:AK151)=2,"Confirm_Buy","No_Action")</f>
        <v/>
      </c>
      <c r="AJ151" s="15">
        <f>IF(H151&gt;I151,1,0)</f>
        <v/>
      </c>
      <c r="AK151" s="15">
        <f>IF(K151&gt;M151,1,0)</f>
        <v/>
      </c>
    </row>
    <row r="152" ht="14.5" customHeight="1">
      <c r="A152" s="12" t="inlineStr">
        <is>
          <t>INDHOTEL</t>
        </is>
      </c>
      <c r="B152" s="13">
        <f>IFERROR(__xludf.DUMMYFUNCTION("GOOGLEFINANCE(""NSE:""&amp;A152,""PRICE"")"),835.25)</f>
        <v/>
      </c>
      <c r="C152" s="13">
        <f>IFERROR(__xludf.DUMMYFUNCTION("GOOGLEFINANCE(""NSE:""&amp;A152,""PRICEOPEN"")"),827)</f>
        <v/>
      </c>
      <c r="D152" s="13">
        <f>IFERROR(__xludf.DUMMYFUNCTION("GOOGLEFINANCE(""NSE:""&amp;A152,""HIGH"")"),841.9)</f>
        <v/>
      </c>
      <c r="E152" s="13">
        <f>IFERROR(__xludf.DUMMYFUNCTION("GOOGLEFINANCE(""NSE:""&amp;A152,""LOW"")"),825.1)</f>
        <v/>
      </c>
      <c r="F152" s="13">
        <f>IFERROR(__xludf.DUMMYFUNCTION("GOOGLEFINANCE(""NSE:""&amp;A152,""closeyest"")"),826.65)</f>
        <v/>
      </c>
      <c r="G152" s="14">
        <f>(B152-C152)/B152</f>
        <v/>
      </c>
      <c r="H152" s="13">
        <f>IFERROR(__xludf.DUMMYFUNCTION("GOOGLEFINANCE(""NSE:""&amp;A152,""VOLUME"")"),2652196)</f>
        <v/>
      </c>
      <c r="I152" s="13">
        <f>IFERROR(__xludf.DUMMYFUNCTION("AVERAGE(index(GOOGLEFINANCE(""NSE:""&amp;$A152, ""volume"", today()-21, today()-1), , 2))"),"#N/A")</f>
        <v/>
      </c>
      <c r="J152" s="14">
        <f>(H152-I152)/I152</f>
        <v/>
      </c>
      <c r="K152" s="13">
        <f>IFERROR(__xludf.DUMMYFUNCTION("AVERAGE(index(GOOGLEFINANCE(""NSE:""&amp;$A152, ""close"", today()-6, today()-1), , 2))"),"#N/A")</f>
        <v/>
      </c>
      <c r="L152" s="13">
        <f>IFERROR(__xludf.DUMMYFUNCTION("AVERAGE(index(GOOGLEFINANCE(""NSE:""&amp;$A152, ""close"", today()-14, today()-1), , 2))"),"#N/A")</f>
        <v/>
      </c>
      <c r="M152" s="13">
        <f>IFERROR(__xludf.DUMMYFUNCTION("AVERAGE(index(GOOGLEFINANCE(""NSE:""&amp;$A152, ""close"", today()-22, today()-1), , 2))"),"#N/A")</f>
        <v/>
      </c>
      <c r="N152" s="13">
        <f>AG152</f>
        <v/>
      </c>
      <c r="O152" s="13">
        <f>AI152</f>
        <v/>
      </c>
      <c r="P152" s="13">
        <f>W152</f>
        <v/>
      </c>
      <c r="Q152" s="13">
        <f>Y152</f>
        <v/>
      </c>
      <c r="R152" s="15" t="n"/>
      <c r="S152" s="15">
        <f>LEFT(W152,2)&amp;LEFT(Y152,2)</f>
        <v/>
      </c>
      <c r="T152" s="15" t="n"/>
      <c r="U152" s="15">
        <f>IF(K152&lt;L152,1,0)</f>
        <v/>
      </c>
      <c r="V152" s="15">
        <f>IF(H152&gt;I152,1,0)</f>
        <v/>
      </c>
      <c r="W152" s="15">
        <f>IF(SUM(U152:V152)=2,"Anticipatory_Sell","No_Action")</f>
        <v/>
      </c>
      <c r="X152" s="15" t="n"/>
      <c r="Y152" s="15">
        <f>IF(SUM(Z152:AA152)=2,"Confirm_Sell","No_Action")</f>
        <v/>
      </c>
      <c r="Z152" s="15">
        <f>IF(H152&gt;I152,1,0)</f>
        <v/>
      </c>
      <c r="AA152" s="15">
        <f>IF(K152&lt;M152,1,0)</f>
        <v/>
      </c>
      <c r="AB152" s="15" t="n"/>
      <c r="AC152" s="15">
        <f>LEFT(AG152,2)&amp;LEFT(AI152,2)</f>
        <v/>
      </c>
      <c r="AD152" s="15" t="n"/>
      <c r="AE152" s="15">
        <f>IF(K152&gt;L152,1,0)</f>
        <v/>
      </c>
      <c r="AF152" s="16">
        <f>IF(H152&gt;I152,1,0)</f>
        <v/>
      </c>
      <c r="AG152" s="16">
        <f>IF(SUM(AE152:AF152)=2,"Anticipatory_Buy","No_Action")</f>
        <v/>
      </c>
      <c r="AH152" s="15" t="n"/>
      <c r="AI152" s="15">
        <f>IF(SUM(AJ152:AK152)=2,"Confirm_Buy","No_Action")</f>
        <v/>
      </c>
      <c r="AJ152" s="15">
        <f>IF(H152&gt;I152,1,0)</f>
        <v/>
      </c>
      <c r="AK152" s="15">
        <f>IF(K152&gt;M152,1,0)</f>
        <v/>
      </c>
    </row>
    <row r="153" ht="14.5" customHeight="1">
      <c r="A153" s="12" t="inlineStr">
        <is>
          <t>IMFA</t>
        </is>
      </c>
      <c r="B153" s="13">
        <f>IFERROR(__xludf.DUMMYFUNCTION("GOOGLEFINANCE(""NSE:""&amp;A153,""PRICE"")"),965)</f>
        <v/>
      </c>
      <c r="C153" s="13">
        <f>IFERROR(__xludf.DUMMYFUNCTION("GOOGLEFINANCE(""NSE:""&amp;A153,""PRICEOPEN"")"),945.95)</f>
        <v/>
      </c>
      <c r="D153" s="13">
        <f>IFERROR(__xludf.DUMMYFUNCTION("GOOGLEFINANCE(""NSE:""&amp;A153,""HIGH"")"),991.95)</f>
        <v/>
      </c>
      <c r="E153" s="13">
        <f>IFERROR(__xludf.DUMMYFUNCTION("GOOGLEFINANCE(""NSE:""&amp;A153,""LOW"")"),939.05)</f>
        <v/>
      </c>
      <c r="F153" s="13">
        <f>IFERROR(__xludf.DUMMYFUNCTION("GOOGLEFINANCE(""NSE:""&amp;A153,""closeyest"")"),938.2)</f>
        <v/>
      </c>
      <c r="G153" s="14">
        <f>(B153-C153)/B153</f>
        <v/>
      </c>
      <c r="H153" s="13">
        <f>IFERROR(__xludf.DUMMYFUNCTION("GOOGLEFINANCE(""NSE:""&amp;A153,""VOLUME"")"),236800)</f>
        <v/>
      </c>
      <c r="I153" s="13">
        <f>IFERROR(__xludf.DUMMYFUNCTION("AVERAGE(index(GOOGLEFINANCE(""NSE:""&amp;$A153, ""volume"", today()-21, today()-1), , 2))"),"#N/A")</f>
        <v/>
      </c>
      <c r="J153" s="14">
        <f>(H153-I153)/I153</f>
        <v/>
      </c>
      <c r="K153" s="13">
        <f>IFERROR(__xludf.DUMMYFUNCTION("AVERAGE(index(GOOGLEFINANCE(""NSE:""&amp;$A153, ""close"", today()-6, today()-1), , 2))"),"#N/A")</f>
        <v/>
      </c>
      <c r="L153" s="13">
        <f>IFERROR(__xludf.DUMMYFUNCTION("AVERAGE(index(GOOGLEFINANCE(""NSE:""&amp;$A153, ""close"", today()-14, today()-1), , 2))"),"#N/A")</f>
        <v/>
      </c>
      <c r="M153" s="13">
        <f>IFERROR(__xludf.DUMMYFUNCTION("AVERAGE(index(GOOGLEFINANCE(""NSE:""&amp;$A153, ""close"", today()-22, today()-1), , 2))"),"#N/A")</f>
        <v/>
      </c>
      <c r="N153" s="13">
        <f>AG153</f>
        <v/>
      </c>
      <c r="O153" s="13">
        <f>AI153</f>
        <v/>
      </c>
      <c r="P153" s="13">
        <f>W153</f>
        <v/>
      </c>
      <c r="Q153" s="13">
        <f>Y153</f>
        <v/>
      </c>
      <c r="R153" s="15" t="n"/>
      <c r="S153" s="15">
        <f>LEFT(W153,2)&amp;LEFT(Y153,2)</f>
        <v/>
      </c>
      <c r="T153" s="15" t="n"/>
      <c r="U153" s="15">
        <f>IF(K153&lt;L153,1,0)</f>
        <v/>
      </c>
      <c r="V153" s="15">
        <f>IF(H153&gt;I153,1,0)</f>
        <v/>
      </c>
      <c r="W153" s="15">
        <f>IF(SUM(U153:V153)=2,"Anticipatory_Sell","No_Action")</f>
        <v/>
      </c>
      <c r="X153" s="15" t="n"/>
      <c r="Y153" s="15">
        <f>IF(SUM(Z153:AA153)=2,"Confirm_Sell","No_Action")</f>
        <v/>
      </c>
      <c r="Z153" s="15">
        <f>IF(H153&gt;I153,1,0)</f>
        <v/>
      </c>
      <c r="AA153" s="15">
        <f>IF(K153&lt;M153,1,0)</f>
        <v/>
      </c>
      <c r="AB153" s="15" t="n"/>
      <c r="AC153" s="15">
        <f>LEFT(AG153,2)&amp;LEFT(AI153,2)</f>
        <v/>
      </c>
      <c r="AD153" s="15" t="n"/>
      <c r="AE153" s="15">
        <f>IF(K153&gt;L153,1,0)</f>
        <v/>
      </c>
      <c r="AF153" s="16">
        <f>IF(H153&gt;I153,1,0)</f>
        <v/>
      </c>
      <c r="AG153" s="16">
        <f>IF(SUM(AE153:AF153)=2,"Anticipatory_Buy","No_Action")</f>
        <v/>
      </c>
      <c r="AH153" s="15" t="n"/>
      <c r="AI153" s="15">
        <f>IF(SUM(AJ153:AK153)=2,"Confirm_Buy","No_Action")</f>
        <v/>
      </c>
      <c r="AJ153" s="15">
        <f>IF(H153&gt;I153,1,0)</f>
        <v/>
      </c>
      <c r="AK153" s="15">
        <f>IF(K153&gt;M153,1,0)</f>
        <v/>
      </c>
    </row>
    <row r="154" ht="14.5" customHeight="1">
      <c r="A154" s="12" t="inlineStr">
        <is>
          <t>ICIL</t>
        </is>
      </c>
      <c r="B154" s="13">
        <f>IFERROR(__xludf.DUMMYFUNCTION("GOOGLEFINANCE(""NSE:""&amp;A154,""PRICE"")"),394)</f>
        <v/>
      </c>
      <c r="C154" s="13">
        <f>IFERROR(__xludf.DUMMYFUNCTION("GOOGLEFINANCE(""NSE:""&amp;A154,""PRICEOPEN"")"),344)</f>
        <v/>
      </c>
      <c r="D154" s="13">
        <f>IFERROR(__xludf.DUMMYFUNCTION("GOOGLEFINANCE(""NSE:""&amp;A154,""HIGH"")"),395.7)</f>
        <v/>
      </c>
      <c r="E154" s="13">
        <f>IFERROR(__xludf.DUMMYFUNCTION("GOOGLEFINANCE(""NSE:""&amp;A154,""LOW"")"),344)</f>
        <v/>
      </c>
      <c r="F154" s="13">
        <f>IFERROR(__xludf.DUMMYFUNCTION("GOOGLEFINANCE(""NSE:""&amp;A154,""closeyest"")"),341.45)</f>
        <v/>
      </c>
      <c r="G154" s="14">
        <f>(B154-C154)/B154</f>
        <v/>
      </c>
      <c r="H154" s="13">
        <f>IFERROR(__xludf.DUMMYFUNCTION("GOOGLEFINANCE(""NSE:""&amp;A154,""VOLUME"")"),2919353)</f>
        <v/>
      </c>
      <c r="I154" s="13">
        <f>IFERROR(__xludf.DUMMYFUNCTION("AVERAGE(index(GOOGLEFINANCE(""NSE:""&amp;$A154, ""volume"", today()-21, today()-1), , 2))"),"#N/A")</f>
        <v/>
      </c>
      <c r="J154" s="14">
        <f>(H154-I154)/I154</f>
        <v/>
      </c>
      <c r="K154" s="13">
        <f>IFERROR(__xludf.DUMMYFUNCTION("AVERAGE(index(GOOGLEFINANCE(""NSE:""&amp;$A154, ""close"", today()-6, today()-1), , 2))"),"#N/A")</f>
        <v/>
      </c>
      <c r="L154" s="13">
        <f>IFERROR(__xludf.DUMMYFUNCTION("AVERAGE(index(GOOGLEFINANCE(""NSE:""&amp;$A154, ""close"", today()-14, today()-1), , 2))"),"#N/A")</f>
        <v/>
      </c>
      <c r="M154" s="13">
        <f>IFERROR(__xludf.DUMMYFUNCTION("AVERAGE(index(GOOGLEFINANCE(""NSE:""&amp;$A154, ""close"", today()-22, today()-1), , 2))"),"#N/A")</f>
        <v/>
      </c>
      <c r="N154" s="13">
        <f>AG154</f>
        <v/>
      </c>
      <c r="O154" s="13">
        <f>AI154</f>
        <v/>
      </c>
      <c r="P154" s="13">
        <f>W154</f>
        <v/>
      </c>
      <c r="Q154" s="13">
        <f>Y154</f>
        <v/>
      </c>
      <c r="R154" s="15" t="n"/>
      <c r="S154" s="15">
        <f>LEFT(W154,2)&amp;LEFT(Y154,2)</f>
        <v/>
      </c>
      <c r="T154" s="15" t="n"/>
      <c r="U154" s="15">
        <f>IF(K154&lt;L154,1,0)</f>
        <v/>
      </c>
      <c r="V154" s="15">
        <f>IF(H154&gt;I154,1,0)</f>
        <v/>
      </c>
      <c r="W154" s="15">
        <f>IF(SUM(U154:V154)=2,"Anticipatory_Sell","No_Action")</f>
        <v/>
      </c>
      <c r="X154" s="15" t="n"/>
      <c r="Y154" s="15">
        <f>IF(SUM(Z154:AA154)=2,"Confirm_Sell","No_Action")</f>
        <v/>
      </c>
      <c r="Z154" s="15">
        <f>IF(H154&gt;I154,1,0)</f>
        <v/>
      </c>
      <c r="AA154" s="15">
        <f>IF(K154&lt;M154,1,0)</f>
        <v/>
      </c>
      <c r="AB154" s="15" t="n"/>
      <c r="AC154" s="15">
        <f>LEFT(AG154,2)&amp;LEFT(AI154,2)</f>
        <v/>
      </c>
      <c r="AD154" s="15" t="n"/>
      <c r="AE154" s="15">
        <f>IF(K154&gt;L154,1,0)</f>
        <v/>
      </c>
      <c r="AF154" s="16">
        <f>IF(H154&gt;I154,1,0)</f>
        <v/>
      </c>
      <c r="AG154" s="16">
        <f>IF(SUM(AE154:AF154)=2,"Anticipatory_Buy","No_Action")</f>
        <v/>
      </c>
      <c r="AH154" s="15" t="n"/>
      <c r="AI154" s="15">
        <f>IF(SUM(AJ154:AK154)=2,"Confirm_Buy","No_Action")</f>
        <v/>
      </c>
      <c r="AJ154" s="15">
        <f>IF(H154&gt;I154,1,0)</f>
        <v/>
      </c>
      <c r="AK154" s="15">
        <f>IF(K154&gt;M154,1,0)</f>
        <v/>
      </c>
    </row>
    <row r="155" ht="14.5" customHeight="1">
      <c r="A155" s="12" t="inlineStr">
        <is>
          <t>IGL</t>
        </is>
      </c>
      <c r="B155" s="13">
        <f>IFERROR(__xludf.DUMMYFUNCTION("GOOGLEFINANCE(""NSE:""&amp;A155,""PRICE"")"),386.65)</f>
        <v/>
      </c>
      <c r="C155" s="13">
        <f>IFERROR(__xludf.DUMMYFUNCTION("GOOGLEFINANCE(""NSE:""&amp;A155,""PRICEOPEN"")"),387)</f>
        <v/>
      </c>
      <c r="D155" s="13">
        <f>IFERROR(__xludf.DUMMYFUNCTION("GOOGLEFINANCE(""NSE:""&amp;A155,""HIGH"")"),389.65)</f>
        <v/>
      </c>
      <c r="E155" s="13">
        <f>IFERROR(__xludf.DUMMYFUNCTION("GOOGLEFINANCE(""NSE:""&amp;A155,""LOW"")"),377.7)</f>
        <v/>
      </c>
      <c r="F155" s="13">
        <f>IFERROR(__xludf.DUMMYFUNCTION("GOOGLEFINANCE(""NSE:""&amp;A155,""closeyest"")"),384)</f>
        <v/>
      </c>
      <c r="G155" s="14">
        <f>(B155-C155)/B155</f>
        <v/>
      </c>
      <c r="H155" s="13">
        <f>IFERROR(__xludf.DUMMYFUNCTION("GOOGLEFINANCE(""NSE:""&amp;A155,""VOLUME"")"),4426139)</f>
        <v/>
      </c>
      <c r="I155" s="13">
        <f>IFERROR(__xludf.DUMMYFUNCTION("AVERAGE(index(GOOGLEFINANCE(""NSE:""&amp;$A155, ""volume"", today()-21, today()-1), , 2))"),"#N/A")</f>
        <v/>
      </c>
      <c r="J155" s="14">
        <f>(H155-I155)/I155</f>
        <v/>
      </c>
      <c r="K155" s="13">
        <f>IFERROR(__xludf.DUMMYFUNCTION("AVERAGE(index(GOOGLEFINANCE(""NSE:""&amp;$A155, ""close"", today()-6, today()-1), , 2))"),"#N/A")</f>
        <v/>
      </c>
      <c r="L155" s="13">
        <f>IFERROR(__xludf.DUMMYFUNCTION("AVERAGE(index(GOOGLEFINANCE(""NSE:""&amp;$A155, ""close"", today()-14, today()-1), , 2))"),"#N/A")</f>
        <v/>
      </c>
      <c r="M155" s="13">
        <f>IFERROR(__xludf.DUMMYFUNCTION("AVERAGE(index(GOOGLEFINANCE(""NSE:""&amp;$A155, ""close"", today()-22, today()-1), , 2))"),"#N/A")</f>
        <v/>
      </c>
      <c r="N155" s="13">
        <f>AG155</f>
        <v/>
      </c>
      <c r="O155" s="13">
        <f>AI155</f>
        <v/>
      </c>
      <c r="P155" s="13">
        <f>W155</f>
        <v/>
      </c>
      <c r="Q155" s="13">
        <f>Y155</f>
        <v/>
      </c>
      <c r="R155" s="15" t="n"/>
      <c r="S155" s="15">
        <f>LEFT(W155,2)&amp;LEFT(Y155,2)</f>
        <v/>
      </c>
      <c r="T155" s="15" t="n"/>
      <c r="U155" s="15">
        <f>IF(K155&lt;L155,1,0)</f>
        <v/>
      </c>
      <c r="V155" s="15">
        <f>IF(H155&gt;I155,1,0)</f>
        <v/>
      </c>
      <c r="W155" s="15">
        <f>IF(SUM(U155:V155)=2,"Anticipatory_Sell","No_Action")</f>
        <v/>
      </c>
      <c r="X155" s="15" t="n"/>
      <c r="Y155" s="15">
        <f>IF(SUM(Z155:AA155)=2,"Confirm_Sell","No_Action")</f>
        <v/>
      </c>
      <c r="Z155" s="15">
        <f>IF(H155&gt;I155,1,0)</f>
        <v/>
      </c>
      <c r="AA155" s="15">
        <f>IF(K155&lt;M155,1,0)</f>
        <v/>
      </c>
      <c r="AB155" s="15" t="n"/>
      <c r="AC155" s="15">
        <f>LEFT(AG155,2)&amp;LEFT(AI155,2)</f>
        <v/>
      </c>
      <c r="AD155" s="15" t="n"/>
      <c r="AE155" s="15">
        <f>IF(K155&gt;L155,1,0)</f>
        <v/>
      </c>
      <c r="AF155" s="16">
        <f>IF(H155&gt;I155,1,0)</f>
        <v/>
      </c>
      <c r="AG155" s="16">
        <f>IF(SUM(AE155:AF155)=2,"Anticipatory_Buy","No_Action")</f>
        <v/>
      </c>
      <c r="AH155" s="15" t="n"/>
      <c r="AI155" s="15">
        <f>IF(SUM(AJ155:AK155)=2,"Confirm_Buy","No_Action")</f>
        <v/>
      </c>
      <c r="AJ155" s="15">
        <f>IF(H155&gt;I155,1,0)</f>
        <v/>
      </c>
      <c r="AK155" s="15">
        <f>IF(K155&gt;M155,1,0)</f>
        <v/>
      </c>
    </row>
    <row r="156" ht="14.5" customHeight="1">
      <c r="A156" s="12" t="inlineStr">
        <is>
          <t>INDUSTOWER</t>
        </is>
      </c>
      <c r="B156" s="13">
        <f>IFERROR(__xludf.DUMMYFUNCTION("GOOGLEFINANCE(""NSE:""&amp;A156,""PRICE"")"),361.75)</f>
        <v/>
      </c>
      <c r="C156" s="13">
        <f>IFERROR(__xludf.DUMMYFUNCTION("GOOGLEFINANCE(""NSE:""&amp;A156,""PRICEOPEN"")"),364.75)</f>
        <v/>
      </c>
      <c r="D156" s="13">
        <f>IFERROR(__xludf.DUMMYFUNCTION("GOOGLEFINANCE(""NSE:""&amp;A156,""HIGH"")"),366.8)</f>
        <v/>
      </c>
      <c r="E156" s="13">
        <f>IFERROR(__xludf.DUMMYFUNCTION("GOOGLEFINANCE(""NSE:""&amp;A156,""LOW"")"),358.95)</f>
        <v/>
      </c>
      <c r="F156" s="13">
        <f>IFERROR(__xludf.DUMMYFUNCTION("GOOGLEFINANCE(""NSE:""&amp;A156,""closeyest"")"),364.65)</f>
        <v/>
      </c>
      <c r="G156" s="14">
        <f>(B156-C156)/B156</f>
        <v/>
      </c>
      <c r="H156" s="13">
        <f>IFERROR(__xludf.DUMMYFUNCTION("GOOGLEFINANCE(""NSE:""&amp;A156,""VOLUME"")"),14327412)</f>
        <v/>
      </c>
      <c r="I156" s="13">
        <f>IFERROR(__xludf.DUMMYFUNCTION("AVERAGE(index(GOOGLEFINANCE(""NSE:""&amp;$A156, ""volume"", today()-21, today()-1), , 2))"),"#N/A")</f>
        <v/>
      </c>
      <c r="J156" s="14">
        <f>(H156-I156)/I156</f>
        <v/>
      </c>
      <c r="K156" s="13">
        <f>IFERROR(__xludf.DUMMYFUNCTION("AVERAGE(index(GOOGLEFINANCE(""NSE:""&amp;$A156, ""close"", today()-6, today()-1), , 2))"),"#N/A")</f>
        <v/>
      </c>
      <c r="L156" s="13">
        <f>IFERROR(__xludf.DUMMYFUNCTION("AVERAGE(index(GOOGLEFINANCE(""NSE:""&amp;$A156, ""close"", today()-14, today()-1), , 2))"),"#N/A")</f>
        <v/>
      </c>
      <c r="M156" s="13">
        <f>IFERROR(__xludf.DUMMYFUNCTION("AVERAGE(index(GOOGLEFINANCE(""NSE:""&amp;$A156, ""close"", today()-22, today()-1), , 2))"),"#N/A")</f>
        <v/>
      </c>
      <c r="N156" s="13">
        <f>AG156</f>
        <v/>
      </c>
      <c r="O156" s="13">
        <f>AI156</f>
        <v/>
      </c>
      <c r="P156" s="13">
        <f>W156</f>
        <v/>
      </c>
      <c r="Q156" s="13">
        <f>Y156</f>
        <v/>
      </c>
      <c r="R156" s="15" t="n"/>
      <c r="S156" s="15">
        <f>LEFT(W156,2)&amp;LEFT(Y156,2)</f>
        <v/>
      </c>
      <c r="T156" s="15" t="n"/>
      <c r="U156" s="15">
        <f>IF(K156&lt;L156,1,0)</f>
        <v/>
      </c>
      <c r="V156" s="15">
        <f>IF(H156&gt;I156,1,0)</f>
        <v/>
      </c>
      <c r="W156" s="15">
        <f>IF(SUM(U156:V156)=2,"Anticipatory_Sell","No_Action")</f>
        <v/>
      </c>
      <c r="X156" s="15" t="n"/>
      <c r="Y156" s="15">
        <f>IF(SUM(Z156:AA156)=2,"Confirm_Sell","No_Action")</f>
        <v/>
      </c>
      <c r="Z156" s="15">
        <f>IF(H156&gt;I156,1,0)</f>
        <v/>
      </c>
      <c r="AA156" s="15">
        <f>IF(K156&lt;M156,1,0)</f>
        <v/>
      </c>
      <c r="AB156" s="15" t="n"/>
      <c r="AC156" s="15">
        <f>LEFT(AG156,2)&amp;LEFT(AI156,2)</f>
        <v/>
      </c>
      <c r="AD156" s="15" t="n"/>
      <c r="AE156" s="15">
        <f>IF(K156&gt;L156,1,0)</f>
        <v/>
      </c>
      <c r="AF156" s="16">
        <f>IF(H156&gt;I156,1,0)</f>
        <v/>
      </c>
      <c r="AG156" s="16">
        <f>IF(SUM(AE156:AF156)=2,"Anticipatory_Buy","No_Action")</f>
        <v/>
      </c>
      <c r="AH156" s="15" t="n"/>
      <c r="AI156" s="15">
        <f>IF(SUM(AJ156:AK156)=2,"Confirm_Buy","No_Action")</f>
        <v/>
      </c>
      <c r="AJ156" s="15">
        <f>IF(H156&gt;I156,1,0)</f>
        <v/>
      </c>
      <c r="AK156" s="15">
        <f>IF(K156&gt;M156,1,0)</f>
        <v/>
      </c>
    </row>
    <row r="157" ht="14.5" customHeight="1">
      <c r="A157" s="12" t="inlineStr">
        <is>
          <t>IOLCP</t>
        </is>
      </c>
      <c r="B157" s="13">
        <f>IFERROR(__xludf.DUMMYFUNCTION("GOOGLEFINANCE(""NSE:""&amp;A157,""PRICE"")"),383.5)</f>
        <v/>
      </c>
      <c r="C157" s="13">
        <f>IFERROR(__xludf.DUMMYFUNCTION("GOOGLEFINANCE(""NSE:""&amp;A157,""PRICEOPEN"")"),389.05)</f>
        <v/>
      </c>
      <c r="D157" s="13">
        <f>IFERROR(__xludf.DUMMYFUNCTION("GOOGLEFINANCE(""NSE:""&amp;A157,""HIGH"")"),392)</f>
        <v/>
      </c>
      <c r="E157" s="13">
        <f>IFERROR(__xludf.DUMMYFUNCTION("GOOGLEFINANCE(""NSE:""&amp;A157,""LOW"")"),381.1)</f>
        <v/>
      </c>
      <c r="F157" s="13">
        <f>IFERROR(__xludf.DUMMYFUNCTION("GOOGLEFINANCE(""NSE:""&amp;A157,""closeyest"")"),388.85)</f>
        <v/>
      </c>
      <c r="G157" s="14">
        <f>(B157-C157)/B157</f>
        <v/>
      </c>
      <c r="H157" s="13">
        <f>IFERROR(__xludf.DUMMYFUNCTION("GOOGLEFINANCE(""NSE:""&amp;A157,""VOLUME"")"),152378)</f>
        <v/>
      </c>
      <c r="I157" s="13">
        <f>IFERROR(__xludf.DUMMYFUNCTION("AVERAGE(index(GOOGLEFINANCE(""NSE:""&amp;$A157, ""volume"", today()-21, today()-1), , 2))"),"#N/A")</f>
        <v/>
      </c>
      <c r="J157" s="14">
        <f>(H157-I157)/I157</f>
        <v/>
      </c>
      <c r="K157" s="13">
        <f>IFERROR(__xludf.DUMMYFUNCTION("AVERAGE(index(GOOGLEFINANCE(""NSE:""&amp;$A157, ""close"", today()-6, today()-1), , 2))"),"#N/A")</f>
        <v/>
      </c>
      <c r="L157" s="13">
        <f>IFERROR(__xludf.DUMMYFUNCTION("AVERAGE(index(GOOGLEFINANCE(""NSE:""&amp;$A157, ""close"", today()-14, today()-1), , 2))"),"#N/A")</f>
        <v/>
      </c>
      <c r="M157" s="13">
        <f>IFERROR(__xludf.DUMMYFUNCTION("AVERAGE(index(GOOGLEFINANCE(""NSE:""&amp;$A157, ""close"", today()-22, today()-1), , 2))"),"#N/A")</f>
        <v/>
      </c>
      <c r="N157" s="13">
        <f>AG157</f>
        <v/>
      </c>
      <c r="O157" s="13">
        <f>AI157</f>
        <v/>
      </c>
      <c r="P157" s="13">
        <f>W157</f>
        <v/>
      </c>
      <c r="Q157" s="13">
        <f>Y157</f>
        <v/>
      </c>
      <c r="R157" s="15" t="n"/>
      <c r="S157" s="15">
        <f>LEFT(W157,2)&amp;LEFT(Y157,2)</f>
        <v/>
      </c>
      <c r="T157" s="15" t="n"/>
      <c r="U157" s="15">
        <f>IF(K157&lt;L157,1,0)</f>
        <v/>
      </c>
      <c r="V157" s="15">
        <f>IF(H157&gt;I157,1,0)</f>
        <v/>
      </c>
      <c r="W157" s="15">
        <f>IF(SUM(U157:V157)=2,"Anticipatory_Sell","No_Action")</f>
        <v/>
      </c>
      <c r="X157" s="15" t="n"/>
      <c r="Y157" s="15">
        <f>IF(SUM(Z157:AA157)=2,"Confirm_Sell","No_Action")</f>
        <v/>
      </c>
      <c r="Z157" s="15">
        <f>IF(H157&gt;I157,1,0)</f>
        <v/>
      </c>
      <c r="AA157" s="15">
        <f>IF(K157&lt;M157,1,0)</f>
        <v/>
      </c>
      <c r="AB157" s="15" t="n"/>
      <c r="AC157" s="15">
        <f>LEFT(AG157,2)&amp;LEFT(AI157,2)</f>
        <v/>
      </c>
      <c r="AD157" s="15" t="n"/>
      <c r="AE157" s="15">
        <f>IF(K157&gt;L157,1,0)</f>
        <v/>
      </c>
      <c r="AF157" s="16">
        <f>IF(H157&gt;I157,1,0)</f>
        <v/>
      </c>
      <c r="AG157" s="16">
        <f>IF(SUM(AE157:AF157)=2,"Anticipatory_Buy","No_Action")</f>
        <v/>
      </c>
      <c r="AH157" s="15" t="n"/>
      <c r="AI157" s="15">
        <f>IF(SUM(AJ157:AK157)=2,"Confirm_Buy","No_Action")</f>
        <v/>
      </c>
      <c r="AJ157" s="15">
        <f>IF(H157&gt;I157,1,0)</f>
        <v/>
      </c>
      <c r="AK157" s="15">
        <f>IF(K157&gt;M157,1,0)</f>
        <v/>
      </c>
    </row>
    <row r="158" ht="14.5" customHeight="1">
      <c r="A158" s="12" t="inlineStr">
        <is>
          <t>IONEXCHANG</t>
        </is>
      </c>
      <c r="B158" s="13">
        <f>IFERROR(__xludf.DUMMYFUNCTION("GOOGLEFINANCE(""NSE:""&amp;A158,""PRICE"")"),719.1)</f>
        <v/>
      </c>
      <c r="C158" s="13">
        <f>IFERROR(__xludf.DUMMYFUNCTION("GOOGLEFINANCE(""NSE:""&amp;A158,""PRICEOPEN"")"),716.9)</f>
        <v/>
      </c>
      <c r="D158" s="13">
        <f>IFERROR(__xludf.DUMMYFUNCTION("GOOGLEFINANCE(""NSE:""&amp;A158,""HIGH"")"),731.2)</f>
        <v/>
      </c>
      <c r="E158" s="13">
        <f>IFERROR(__xludf.DUMMYFUNCTION("GOOGLEFINANCE(""NSE:""&amp;A158,""LOW"")"),709.4)</f>
        <v/>
      </c>
      <c r="F158" s="13">
        <f>IFERROR(__xludf.DUMMYFUNCTION("GOOGLEFINANCE(""NSE:""&amp;A158,""closeyest"")"),715.4)</f>
        <v/>
      </c>
      <c r="G158" s="14">
        <f>(B158-C158)/B158</f>
        <v/>
      </c>
      <c r="H158" s="13">
        <f>IFERROR(__xludf.DUMMYFUNCTION("GOOGLEFINANCE(""NSE:""&amp;A158,""VOLUME"")"),387809)</f>
        <v/>
      </c>
      <c r="I158" s="13">
        <f>IFERROR(__xludf.DUMMYFUNCTION("AVERAGE(index(GOOGLEFINANCE(""NSE:""&amp;$A158, ""volume"", today()-21, today()-1), , 2))"),"#N/A")</f>
        <v/>
      </c>
      <c r="J158" s="14">
        <f>(H158-I158)/I158</f>
        <v/>
      </c>
      <c r="K158" s="13">
        <f>IFERROR(__xludf.DUMMYFUNCTION("AVERAGE(index(GOOGLEFINANCE(""NSE:""&amp;$A158, ""close"", today()-6, today()-1), , 2))"),"#N/A")</f>
        <v/>
      </c>
      <c r="L158" s="13">
        <f>IFERROR(__xludf.DUMMYFUNCTION("AVERAGE(index(GOOGLEFINANCE(""NSE:""&amp;$A158, ""close"", today()-14, today()-1), , 2))"),"#N/A")</f>
        <v/>
      </c>
      <c r="M158" s="13">
        <f>IFERROR(__xludf.DUMMYFUNCTION("AVERAGE(index(GOOGLEFINANCE(""NSE:""&amp;$A158, ""close"", today()-22, today()-1), , 2))"),"#N/A")</f>
        <v/>
      </c>
      <c r="N158" s="13">
        <f>AG158</f>
        <v/>
      </c>
      <c r="O158" s="13">
        <f>AI158</f>
        <v/>
      </c>
      <c r="P158" s="13">
        <f>W158</f>
        <v/>
      </c>
      <c r="Q158" s="13">
        <f>Y158</f>
        <v/>
      </c>
      <c r="R158" s="15" t="n"/>
      <c r="S158" s="15">
        <f>LEFT(W158,2)&amp;LEFT(Y158,2)</f>
        <v/>
      </c>
      <c r="T158" s="15" t="n"/>
      <c r="U158" s="15">
        <f>IF(K158&lt;L158,1,0)</f>
        <v/>
      </c>
      <c r="V158" s="15">
        <f>IF(H158&gt;I158,1,0)</f>
        <v/>
      </c>
      <c r="W158" s="15">
        <f>IF(SUM(U158:V158)=2,"Anticipatory_Sell","No_Action")</f>
        <v/>
      </c>
      <c r="X158" s="15" t="n"/>
      <c r="Y158" s="15">
        <f>IF(SUM(Z158:AA158)=2,"Confirm_Sell","No_Action")</f>
        <v/>
      </c>
      <c r="Z158" s="15">
        <f>IF(H158&gt;I158,1,0)</f>
        <v/>
      </c>
      <c r="AA158" s="15">
        <f>IF(K158&lt;M158,1,0)</f>
        <v/>
      </c>
      <c r="AB158" s="15" t="n"/>
      <c r="AC158" s="15">
        <f>LEFT(AG158,2)&amp;LEFT(AI158,2)</f>
        <v/>
      </c>
      <c r="AD158" s="15" t="n"/>
      <c r="AE158" s="15">
        <f>IF(K158&gt;L158,1,0)</f>
        <v/>
      </c>
      <c r="AF158" s="16">
        <f>IF(H158&gt;I158,1,0)</f>
        <v/>
      </c>
      <c r="AG158" s="16">
        <f>IF(SUM(AE158:AF158)=2,"Anticipatory_Buy","No_Action")</f>
        <v/>
      </c>
      <c r="AH158" s="15" t="n"/>
      <c r="AI158" s="15">
        <f>IF(SUM(AJ158:AK158)=2,"Confirm_Buy","No_Action")</f>
        <v/>
      </c>
      <c r="AJ158" s="15">
        <f>IF(H158&gt;I158,1,0)</f>
        <v/>
      </c>
      <c r="AK158" s="15">
        <f>IF(K158&gt;M158,1,0)</f>
        <v/>
      </c>
    </row>
    <row r="159" ht="14.5" customHeight="1">
      <c r="A159" s="12" t="inlineStr">
        <is>
          <t>ITC</t>
        </is>
      </c>
      <c r="B159" s="13">
        <f>IFERROR(__xludf.DUMMYFUNCTION("GOOGLEFINANCE(""NSE:""&amp;A159,""PRICE"")"),465.2)</f>
        <v/>
      </c>
      <c r="C159" s="13">
        <f>IFERROR(__xludf.DUMMYFUNCTION("GOOGLEFINANCE(""NSE:""&amp;A159,""PRICEOPEN"")"),471.5)</f>
        <v/>
      </c>
      <c r="D159" s="13">
        <f>IFERROR(__xludf.DUMMYFUNCTION("GOOGLEFINANCE(""NSE:""&amp;A159,""HIGH"")"),472)</f>
        <v/>
      </c>
      <c r="E159" s="13">
        <f>IFERROR(__xludf.DUMMYFUNCTION("GOOGLEFINANCE(""NSE:""&amp;A159,""LOW"")"),462.95)</f>
        <v/>
      </c>
      <c r="F159" s="13">
        <f>IFERROR(__xludf.DUMMYFUNCTION("GOOGLEFINANCE(""NSE:""&amp;A159,""closeyest"")"),471.15)</f>
        <v/>
      </c>
      <c r="G159" s="14">
        <f>(B159-C159)/B159</f>
        <v/>
      </c>
      <c r="H159" s="13">
        <f>IFERROR(__xludf.DUMMYFUNCTION("GOOGLEFINANCE(""NSE:""&amp;A159,""VOLUME"")"),11703384)</f>
        <v/>
      </c>
      <c r="I159" s="13">
        <f>IFERROR(__xludf.DUMMYFUNCTION("AVERAGE(index(GOOGLEFINANCE(""NSE:""&amp;$A159, ""volume"", today()-21, today()-1), , 2))"),"#N/A")</f>
        <v/>
      </c>
      <c r="J159" s="14">
        <f>(H159-I159)/I159</f>
        <v/>
      </c>
      <c r="K159" s="13">
        <f>IFERROR(__xludf.DUMMYFUNCTION("AVERAGE(index(GOOGLEFINANCE(""NSE:""&amp;$A159, ""close"", today()-6, today()-1), , 2))"),"#N/A")</f>
        <v/>
      </c>
      <c r="L159" s="13">
        <f>IFERROR(__xludf.DUMMYFUNCTION("AVERAGE(index(GOOGLEFINANCE(""NSE:""&amp;$A159, ""close"", today()-14, today()-1), , 2))"),"#N/A")</f>
        <v/>
      </c>
      <c r="M159" s="13">
        <f>IFERROR(__xludf.DUMMYFUNCTION("AVERAGE(index(GOOGLEFINANCE(""NSE:""&amp;$A159, ""close"", today()-22, today()-1), , 2))"),"#N/A")</f>
        <v/>
      </c>
      <c r="N159" s="13">
        <f>AG159</f>
        <v/>
      </c>
      <c r="O159" s="13">
        <f>AI159</f>
        <v/>
      </c>
      <c r="P159" s="13">
        <f>W159</f>
        <v/>
      </c>
      <c r="Q159" s="13">
        <f>Y159</f>
        <v/>
      </c>
      <c r="R159" s="15" t="n"/>
      <c r="S159" s="15">
        <f>LEFT(W159,2)&amp;LEFT(Y159,2)</f>
        <v/>
      </c>
      <c r="T159" s="15" t="n"/>
      <c r="U159" s="15">
        <f>IF(K159&lt;L159,1,0)</f>
        <v/>
      </c>
      <c r="V159" s="15">
        <f>IF(H159&gt;I159,1,0)</f>
        <v/>
      </c>
      <c r="W159" s="15">
        <f>IF(SUM(U159:V159)=2,"Anticipatory_Sell","No_Action")</f>
        <v/>
      </c>
      <c r="X159" s="15" t="n"/>
      <c r="Y159" s="15">
        <f>IF(SUM(Z159:AA159)=2,"Confirm_Sell","No_Action")</f>
        <v/>
      </c>
      <c r="Z159" s="15">
        <f>IF(H159&gt;I159,1,0)</f>
        <v/>
      </c>
      <c r="AA159" s="15">
        <f>IF(K159&lt;M159,1,0)</f>
        <v/>
      </c>
      <c r="AB159" s="15" t="n"/>
      <c r="AC159" s="15">
        <f>LEFT(AG159,2)&amp;LEFT(AI159,2)</f>
        <v/>
      </c>
      <c r="AD159" s="15" t="n"/>
      <c r="AE159" s="15">
        <f>IF(K159&gt;L159,1,0)</f>
        <v/>
      </c>
      <c r="AF159" s="16">
        <f>IF(H159&gt;I159,1,0)</f>
        <v/>
      </c>
      <c r="AG159" s="16">
        <f>IF(SUM(AE159:AF159)=2,"Anticipatory_Buy","No_Action")</f>
        <v/>
      </c>
      <c r="AH159" s="15" t="n"/>
      <c r="AI159" s="15">
        <f>IF(SUM(AJ159:AK159)=2,"Confirm_Buy","No_Action")</f>
        <v/>
      </c>
      <c r="AJ159" s="15">
        <f>IF(H159&gt;I159,1,0)</f>
        <v/>
      </c>
      <c r="AK159" s="15">
        <f>IF(K159&gt;M159,1,0)</f>
        <v/>
      </c>
    </row>
    <row r="160" ht="14.5" customHeight="1">
      <c r="A160" s="12" t="inlineStr">
        <is>
          <t>JBCHEPHARM</t>
        </is>
      </c>
      <c r="B160" s="13">
        <f>IFERROR(__xludf.DUMMYFUNCTION("GOOGLEFINANCE(""NSE:""&amp;A160,""PRICE"")"),1780)</f>
        <v/>
      </c>
      <c r="C160" s="13">
        <f>IFERROR(__xludf.DUMMYFUNCTION("GOOGLEFINANCE(""NSE:""&amp;A160,""PRICEOPEN"")"),1764)</f>
        <v/>
      </c>
      <c r="D160" s="13">
        <f>IFERROR(__xludf.DUMMYFUNCTION("GOOGLEFINANCE(""NSE:""&amp;A160,""HIGH"")"),1796.85)</f>
        <v/>
      </c>
      <c r="E160" s="13">
        <f>IFERROR(__xludf.DUMMYFUNCTION("GOOGLEFINANCE(""NSE:""&amp;A160,""LOW"")"),1736.55)</f>
        <v/>
      </c>
      <c r="F160" s="13">
        <f>IFERROR(__xludf.DUMMYFUNCTION("GOOGLEFINANCE(""NSE:""&amp;A160,""closeyest"")"),1763.95)</f>
        <v/>
      </c>
      <c r="G160" s="14">
        <f>(B160-C160)/B160</f>
        <v/>
      </c>
      <c r="H160" s="13">
        <f>IFERROR(__xludf.DUMMYFUNCTION("GOOGLEFINANCE(""NSE:""&amp;A160,""VOLUME"")"),140822)</f>
        <v/>
      </c>
      <c r="I160" s="13">
        <f>IFERROR(__xludf.DUMMYFUNCTION("AVERAGE(index(GOOGLEFINANCE(""NSE:""&amp;$A160, ""volume"", today()-21, today()-1), , 2))"),"#N/A")</f>
        <v/>
      </c>
      <c r="J160" s="14">
        <f>(H160-I160)/I160</f>
        <v/>
      </c>
      <c r="K160" s="13">
        <f>IFERROR(__xludf.DUMMYFUNCTION("AVERAGE(index(GOOGLEFINANCE(""NSE:""&amp;$A160, ""close"", today()-6, today()-1), , 2))"),"#N/A")</f>
        <v/>
      </c>
      <c r="L160" s="13">
        <f>IFERROR(__xludf.DUMMYFUNCTION("AVERAGE(index(GOOGLEFINANCE(""NSE:""&amp;$A160, ""close"", today()-14, today()-1), , 2))"),"#N/A")</f>
        <v/>
      </c>
      <c r="M160" s="13">
        <f>IFERROR(__xludf.DUMMYFUNCTION("AVERAGE(index(GOOGLEFINANCE(""NSE:""&amp;$A160, ""close"", today()-22, today()-1), , 2))"),"#N/A")</f>
        <v/>
      </c>
      <c r="N160" s="13">
        <f>AG160</f>
        <v/>
      </c>
      <c r="O160" s="13">
        <f>AI160</f>
        <v/>
      </c>
      <c r="P160" s="13">
        <f>W160</f>
        <v/>
      </c>
      <c r="Q160" s="13">
        <f>Y160</f>
        <v/>
      </c>
      <c r="R160" s="15" t="n"/>
      <c r="S160" s="15">
        <f>LEFT(W160,2)&amp;LEFT(Y160,2)</f>
        <v/>
      </c>
      <c r="T160" s="15" t="n"/>
      <c r="U160" s="15">
        <f>IF(K160&lt;L160,1,0)</f>
        <v/>
      </c>
      <c r="V160" s="15">
        <f>IF(H160&gt;I160,1,0)</f>
        <v/>
      </c>
      <c r="W160" s="15">
        <f>IF(SUM(U160:V160)=2,"Anticipatory_Sell","No_Action")</f>
        <v/>
      </c>
      <c r="X160" s="15" t="n"/>
      <c r="Y160" s="15">
        <f>IF(SUM(Z160:AA160)=2,"Confirm_Sell","No_Action")</f>
        <v/>
      </c>
      <c r="Z160" s="15">
        <f>IF(H160&gt;I160,1,0)</f>
        <v/>
      </c>
      <c r="AA160" s="15">
        <f>IF(K160&lt;M160,1,0)</f>
        <v/>
      </c>
      <c r="AB160" s="15" t="n"/>
      <c r="AC160" s="15">
        <f>LEFT(AG160,2)&amp;LEFT(AI160,2)</f>
        <v/>
      </c>
      <c r="AD160" s="15" t="n"/>
      <c r="AE160" s="15">
        <f>IF(K160&gt;L160,1,0)</f>
        <v/>
      </c>
      <c r="AF160" s="16">
        <f>IF(H160&gt;I160,1,0)</f>
        <v/>
      </c>
      <c r="AG160" s="16">
        <f>IF(SUM(AE160:AF160)=2,"Anticipatory_Buy","No_Action")</f>
        <v/>
      </c>
      <c r="AH160" s="15" t="n"/>
      <c r="AI160" s="15">
        <f>IF(SUM(AJ160:AK160)=2,"Confirm_Buy","No_Action")</f>
        <v/>
      </c>
      <c r="AJ160" s="15">
        <f>IF(H160&gt;I160,1,0)</f>
        <v/>
      </c>
      <c r="AK160" s="15">
        <f>IF(K160&gt;M160,1,0)</f>
        <v/>
      </c>
    </row>
    <row r="161" ht="14.5" customHeight="1">
      <c r="A161" s="12" t="inlineStr">
        <is>
          <t>JKCEMENT</t>
        </is>
      </c>
      <c r="B161" s="13">
        <f>IFERROR(__xludf.DUMMYFUNCTION("GOOGLEFINANCE(""NSE:""&amp;A161,""PRICE"")"),4570)</f>
        <v/>
      </c>
      <c r="C161" s="13">
        <f>IFERROR(__xludf.DUMMYFUNCTION("GOOGLEFINANCE(""NSE:""&amp;A161,""PRICEOPEN"")"),4582)</f>
        <v/>
      </c>
      <c r="D161" s="13">
        <f>IFERROR(__xludf.DUMMYFUNCTION("GOOGLEFINANCE(""NSE:""&amp;A161,""HIGH"")"),4624.95)</f>
        <v/>
      </c>
      <c r="E161" s="13">
        <f>IFERROR(__xludf.DUMMYFUNCTION("GOOGLEFINANCE(""NSE:""&amp;A161,""LOW"")"),4542.75)</f>
        <v/>
      </c>
      <c r="F161" s="13">
        <f>IFERROR(__xludf.DUMMYFUNCTION("GOOGLEFINANCE(""NSE:""&amp;A161,""closeyest"")"),4596.65)</f>
        <v/>
      </c>
      <c r="G161" s="14">
        <f>(B161-C161)/B161</f>
        <v/>
      </c>
      <c r="H161" s="13">
        <f>IFERROR(__xludf.DUMMYFUNCTION("GOOGLEFINANCE(""NSE:""&amp;A161,""VOLUME"")"),24914)</f>
        <v/>
      </c>
      <c r="I161" s="13">
        <f>IFERROR(__xludf.DUMMYFUNCTION("AVERAGE(index(GOOGLEFINANCE(""NSE:""&amp;$A161, ""volume"", today()-21, today()-1), , 2))"),"#N/A")</f>
        <v/>
      </c>
      <c r="J161" s="14">
        <f>(H161-I161)/I161</f>
        <v/>
      </c>
      <c r="K161" s="13">
        <f>IFERROR(__xludf.DUMMYFUNCTION("AVERAGE(index(GOOGLEFINANCE(""NSE:""&amp;$A161, ""close"", today()-6, today()-1), , 2))"),"#N/A")</f>
        <v/>
      </c>
      <c r="L161" s="13">
        <f>IFERROR(__xludf.DUMMYFUNCTION("AVERAGE(index(GOOGLEFINANCE(""NSE:""&amp;$A161, ""close"", today()-14, today()-1), , 2))"),"#N/A")</f>
        <v/>
      </c>
      <c r="M161" s="13">
        <f>IFERROR(__xludf.DUMMYFUNCTION("AVERAGE(index(GOOGLEFINANCE(""NSE:""&amp;$A161, ""close"", today()-22, today()-1), , 2))"),"#N/A")</f>
        <v/>
      </c>
      <c r="N161" s="13">
        <f>AG161</f>
        <v/>
      </c>
      <c r="O161" s="13">
        <f>AI161</f>
        <v/>
      </c>
      <c r="P161" s="13">
        <f>W161</f>
        <v/>
      </c>
      <c r="Q161" s="13">
        <f>Y161</f>
        <v/>
      </c>
      <c r="R161" s="15" t="n"/>
      <c r="S161" s="15">
        <f>LEFT(W161,2)&amp;LEFT(Y161,2)</f>
        <v/>
      </c>
      <c r="T161" s="15" t="n"/>
      <c r="U161" s="15">
        <f>IF(K161&lt;L161,1,0)</f>
        <v/>
      </c>
      <c r="V161" s="15">
        <f>IF(H161&gt;I161,1,0)</f>
        <v/>
      </c>
      <c r="W161" s="15">
        <f>IF(SUM(U161:V161)=2,"Anticipatory_Sell","No_Action")</f>
        <v/>
      </c>
      <c r="X161" s="15" t="n"/>
      <c r="Y161" s="15">
        <f>IF(SUM(Z161:AA161)=2,"Confirm_Sell","No_Action")</f>
        <v/>
      </c>
      <c r="Z161" s="15">
        <f>IF(H161&gt;I161,1,0)</f>
        <v/>
      </c>
      <c r="AA161" s="15">
        <f>IF(K161&lt;M161,1,0)</f>
        <v/>
      </c>
      <c r="AB161" s="15" t="n"/>
      <c r="AC161" s="15">
        <f>LEFT(AG161,2)&amp;LEFT(AI161,2)</f>
        <v/>
      </c>
      <c r="AD161" s="15" t="n"/>
      <c r="AE161" s="15">
        <f>IF(K161&gt;L161,1,0)</f>
        <v/>
      </c>
      <c r="AF161" s="16">
        <f>IF(H161&gt;I161,1,0)</f>
        <v/>
      </c>
      <c r="AG161" s="16">
        <f>IF(SUM(AE161:AF161)=2,"Anticipatory_Buy","No_Action")</f>
        <v/>
      </c>
      <c r="AH161" s="15" t="n"/>
      <c r="AI161" s="15">
        <f>IF(SUM(AJ161:AK161)=2,"Confirm_Buy","No_Action")</f>
        <v/>
      </c>
      <c r="AJ161" s="15">
        <f>IF(H161&gt;I161,1,0)</f>
        <v/>
      </c>
      <c r="AK161" s="15">
        <f>IF(K161&gt;M161,1,0)</f>
        <v/>
      </c>
    </row>
    <row r="162" ht="14.5" customHeight="1">
      <c r="A162" s="12" t="inlineStr">
        <is>
          <t>JKIL</t>
        </is>
      </c>
      <c r="B162" s="13">
        <f>IFERROR(__xludf.DUMMYFUNCTION("GOOGLEFINANCE(""NSE:""&amp;A162,""PRICE"")"),794.55)</f>
        <v/>
      </c>
      <c r="C162" s="13">
        <f>IFERROR(__xludf.DUMMYFUNCTION("GOOGLEFINANCE(""NSE:""&amp;A162,""PRICEOPEN"")"),798)</f>
        <v/>
      </c>
      <c r="D162" s="13">
        <f>IFERROR(__xludf.DUMMYFUNCTION("GOOGLEFINANCE(""NSE:""&amp;A162,""HIGH"")"),806)</f>
        <v/>
      </c>
      <c r="E162" s="13">
        <f>IFERROR(__xludf.DUMMYFUNCTION("GOOGLEFINANCE(""NSE:""&amp;A162,""LOW"")"),788.65)</f>
        <v/>
      </c>
      <c r="F162" s="13">
        <f>IFERROR(__xludf.DUMMYFUNCTION("GOOGLEFINANCE(""NSE:""&amp;A162,""closeyest"")"),785.35)</f>
        <v/>
      </c>
      <c r="G162" s="14">
        <f>(B162-C162)/B162</f>
        <v/>
      </c>
      <c r="H162" s="13">
        <f>IFERROR(__xludf.DUMMYFUNCTION("GOOGLEFINANCE(""NSE:""&amp;A162,""VOLUME"")"),176554)</f>
        <v/>
      </c>
      <c r="I162" s="13">
        <f>IFERROR(__xludf.DUMMYFUNCTION("AVERAGE(index(GOOGLEFINANCE(""NSE:""&amp;$A162, ""volume"", today()-21, today()-1), , 2))"),"#N/A")</f>
        <v/>
      </c>
      <c r="J162" s="14">
        <f>(H162-I162)/I162</f>
        <v/>
      </c>
      <c r="K162" s="13">
        <f>IFERROR(__xludf.DUMMYFUNCTION("AVERAGE(index(GOOGLEFINANCE(""NSE:""&amp;$A162, ""close"", today()-6, today()-1), , 2))"),"#N/A")</f>
        <v/>
      </c>
      <c r="L162" s="13">
        <f>IFERROR(__xludf.DUMMYFUNCTION("AVERAGE(index(GOOGLEFINANCE(""NSE:""&amp;$A162, ""close"", today()-14, today()-1), , 2))"),"#N/A")</f>
        <v/>
      </c>
      <c r="M162" s="13">
        <f>IFERROR(__xludf.DUMMYFUNCTION("AVERAGE(index(GOOGLEFINANCE(""NSE:""&amp;$A162, ""close"", today()-22, today()-1), , 2))"),"#N/A")</f>
        <v/>
      </c>
      <c r="N162" s="13">
        <f>AG162</f>
        <v/>
      </c>
      <c r="O162" s="13">
        <f>AI162</f>
        <v/>
      </c>
      <c r="P162" s="13">
        <f>W162</f>
        <v/>
      </c>
      <c r="Q162" s="13">
        <f>Y162</f>
        <v/>
      </c>
      <c r="R162" s="15" t="n"/>
      <c r="S162" s="15">
        <f>LEFT(W162,2)&amp;LEFT(Y162,2)</f>
        <v/>
      </c>
      <c r="T162" s="15" t="n"/>
      <c r="U162" s="15">
        <f>IF(K162&lt;L162,1,0)</f>
        <v/>
      </c>
      <c r="V162" s="15">
        <f>IF(H162&gt;I162,1,0)</f>
        <v/>
      </c>
      <c r="W162" s="15">
        <f>IF(SUM(U162:V162)=2,"Anticipatory_Sell","No_Action")</f>
        <v/>
      </c>
      <c r="X162" s="15" t="n"/>
      <c r="Y162" s="15">
        <f>IF(SUM(Z162:AA162)=2,"Confirm_Sell","No_Action")</f>
        <v/>
      </c>
      <c r="Z162" s="15">
        <f>IF(H162&gt;I162,1,0)</f>
        <v/>
      </c>
      <c r="AA162" s="15">
        <f>IF(K162&lt;M162,1,0)</f>
        <v/>
      </c>
      <c r="AB162" s="15" t="n"/>
      <c r="AC162" s="15">
        <f>LEFT(AG162,2)&amp;LEFT(AI162,2)</f>
        <v/>
      </c>
      <c r="AD162" s="15" t="n"/>
      <c r="AE162" s="15">
        <f>IF(K162&gt;L162,1,0)</f>
        <v/>
      </c>
      <c r="AF162" s="16">
        <f>IF(H162&gt;I162,1,0)</f>
        <v/>
      </c>
      <c r="AG162" s="16">
        <f>IF(SUM(AE162:AF162)=2,"Anticipatory_Buy","No_Action")</f>
        <v/>
      </c>
      <c r="AH162" s="15" t="n"/>
      <c r="AI162" s="15">
        <f>IF(SUM(AJ162:AK162)=2,"Confirm_Buy","No_Action")</f>
        <v/>
      </c>
      <c r="AJ162" s="15">
        <f>IF(H162&gt;I162,1,0)</f>
        <v/>
      </c>
      <c r="AK162" s="15">
        <f>IF(K162&gt;M162,1,0)</f>
        <v/>
      </c>
    </row>
    <row r="163" ht="14.5" customHeight="1">
      <c r="A163" s="12" t="inlineStr">
        <is>
          <t>JINDALSAW</t>
        </is>
      </c>
      <c r="B163" s="13">
        <f>IFERROR(__xludf.DUMMYFUNCTION("GOOGLEFINANCE(""NSE:""&amp;A163,""PRICE"")"),337)</f>
        <v/>
      </c>
      <c r="C163" s="13">
        <f>IFERROR(__xludf.DUMMYFUNCTION("GOOGLEFINANCE(""NSE:""&amp;A163,""PRICEOPEN"")"),334.75)</f>
        <v/>
      </c>
      <c r="D163" s="13">
        <f>IFERROR(__xludf.DUMMYFUNCTION("GOOGLEFINANCE(""NSE:""&amp;A163,""HIGH"")"),341.65)</f>
        <v/>
      </c>
      <c r="E163" s="13">
        <f>IFERROR(__xludf.DUMMYFUNCTION("GOOGLEFINANCE(""NSE:""&amp;A163,""LOW"")"),333.15)</f>
        <v/>
      </c>
      <c r="F163" s="13">
        <f>IFERROR(__xludf.DUMMYFUNCTION("GOOGLEFINANCE(""NSE:""&amp;A163,""closeyest"")"),336)</f>
        <v/>
      </c>
      <c r="G163" s="14">
        <f>(B163-C163)/B163</f>
        <v/>
      </c>
      <c r="H163" s="13">
        <f>IFERROR(__xludf.DUMMYFUNCTION("GOOGLEFINANCE(""NSE:""&amp;A163,""VOLUME"")"),842895)</f>
        <v/>
      </c>
      <c r="I163" s="13">
        <f>IFERROR(__xludf.DUMMYFUNCTION("AVERAGE(index(GOOGLEFINANCE(""NSE:""&amp;$A163, ""volume"", today()-21, today()-1), , 2))"),"#N/A")</f>
        <v/>
      </c>
      <c r="J163" s="14">
        <f>(H163-I163)/I163</f>
        <v/>
      </c>
      <c r="K163" s="13">
        <f>IFERROR(__xludf.DUMMYFUNCTION("AVERAGE(index(GOOGLEFINANCE(""NSE:""&amp;$A163, ""close"", today()-6, today()-1), , 2))"),"#N/A")</f>
        <v/>
      </c>
      <c r="L163" s="13">
        <f>IFERROR(__xludf.DUMMYFUNCTION("AVERAGE(index(GOOGLEFINANCE(""NSE:""&amp;$A163, ""close"", today()-14, today()-1), , 2))"),"#N/A")</f>
        <v/>
      </c>
      <c r="M163" s="13">
        <f>IFERROR(__xludf.DUMMYFUNCTION("AVERAGE(index(GOOGLEFINANCE(""NSE:""&amp;$A163, ""close"", today()-22, today()-1), , 2))"),"#N/A")</f>
        <v/>
      </c>
      <c r="N163" s="13">
        <f>AG163</f>
        <v/>
      </c>
      <c r="O163" s="13">
        <f>AI163</f>
        <v/>
      </c>
      <c r="P163" s="13">
        <f>W163</f>
        <v/>
      </c>
      <c r="Q163" s="13">
        <f>Y163</f>
        <v/>
      </c>
      <c r="R163" s="15" t="n"/>
      <c r="S163" s="15">
        <f>LEFT(W163,2)&amp;LEFT(Y163,2)</f>
        <v/>
      </c>
      <c r="T163" s="15" t="n"/>
      <c r="U163" s="15">
        <f>IF(K163&lt;L163,1,0)</f>
        <v/>
      </c>
      <c r="V163" s="15">
        <f>IF(H163&gt;I163,1,0)</f>
        <v/>
      </c>
      <c r="W163" s="15">
        <f>IF(SUM(U163:V163)=2,"Anticipatory_Sell","No_Action")</f>
        <v/>
      </c>
      <c r="X163" s="15" t="n"/>
      <c r="Y163" s="15">
        <f>IF(SUM(Z163:AA163)=2,"Confirm_Sell","No_Action")</f>
        <v/>
      </c>
      <c r="Z163" s="15">
        <f>IF(H163&gt;I163,1,0)</f>
        <v/>
      </c>
      <c r="AA163" s="15">
        <f>IF(K163&lt;M163,1,0)</f>
        <v/>
      </c>
      <c r="AB163" s="15" t="n"/>
      <c r="AC163" s="15">
        <f>LEFT(AG163,2)&amp;LEFT(AI163,2)</f>
        <v/>
      </c>
      <c r="AD163" s="15" t="n"/>
      <c r="AE163" s="15">
        <f>IF(K163&gt;L163,1,0)</f>
        <v/>
      </c>
      <c r="AF163" s="16">
        <f>IF(H163&gt;I163,1,0)</f>
        <v/>
      </c>
      <c r="AG163" s="16">
        <f>IF(SUM(AE163:AF163)=2,"Anticipatory_Buy","No_Action")</f>
        <v/>
      </c>
      <c r="AH163" s="15" t="n"/>
      <c r="AI163" s="15">
        <f>IF(SUM(AJ163:AK163)=2,"Confirm_Buy","No_Action")</f>
        <v/>
      </c>
      <c r="AJ163" s="15">
        <f>IF(H163&gt;I163,1,0)</f>
        <v/>
      </c>
      <c r="AK163" s="15">
        <f>IF(K163&gt;M163,1,0)</f>
        <v/>
      </c>
    </row>
    <row r="164" ht="14.5" customHeight="1">
      <c r="A164" s="12" t="inlineStr">
        <is>
          <t>JSL</t>
        </is>
      </c>
      <c r="B164" s="13">
        <f>IFERROR(__xludf.DUMMYFUNCTION("GOOGLEFINANCE(""NSE:""&amp;A164,""PRICE"")"),747)</f>
        <v/>
      </c>
      <c r="C164" s="13">
        <f>IFERROR(__xludf.DUMMYFUNCTION("GOOGLEFINANCE(""NSE:""&amp;A164,""PRICEOPEN"")"),743.95)</f>
        <v/>
      </c>
      <c r="D164" s="13">
        <f>IFERROR(__xludf.DUMMYFUNCTION("GOOGLEFINANCE(""NSE:""&amp;A164,""HIGH"")"),750.55)</f>
        <v/>
      </c>
      <c r="E164" s="13">
        <f>IFERROR(__xludf.DUMMYFUNCTION("GOOGLEFINANCE(""NSE:""&amp;A164,""LOW"")"),736.65)</f>
        <v/>
      </c>
      <c r="F164" s="13">
        <f>IFERROR(__xludf.DUMMYFUNCTION("GOOGLEFINANCE(""NSE:""&amp;A164,""closeyest"")"),741.6)</f>
        <v/>
      </c>
      <c r="G164" s="14">
        <f>(B164-C164)/B164</f>
        <v/>
      </c>
      <c r="H164" s="13">
        <f>IFERROR(__xludf.DUMMYFUNCTION("GOOGLEFINANCE(""NSE:""&amp;A164,""VOLUME"")"),692792)</f>
        <v/>
      </c>
      <c r="I164" s="13">
        <f>IFERROR(__xludf.DUMMYFUNCTION("AVERAGE(index(GOOGLEFINANCE(""NSE:""&amp;$A164, ""volume"", today()-21, today()-1), , 2))"),"#N/A")</f>
        <v/>
      </c>
      <c r="J164" s="14">
        <f>(H164-I164)/I164</f>
        <v/>
      </c>
      <c r="K164" s="13">
        <f>IFERROR(__xludf.DUMMYFUNCTION("AVERAGE(index(GOOGLEFINANCE(""NSE:""&amp;$A164, ""close"", today()-6, today()-1), , 2))"),"#N/A")</f>
        <v/>
      </c>
      <c r="L164" s="13">
        <f>IFERROR(__xludf.DUMMYFUNCTION("AVERAGE(index(GOOGLEFINANCE(""NSE:""&amp;$A164, ""close"", today()-14, today()-1), , 2))"),"#N/A")</f>
        <v/>
      </c>
      <c r="M164" s="13">
        <f>IFERROR(__xludf.DUMMYFUNCTION("AVERAGE(index(GOOGLEFINANCE(""NSE:""&amp;$A164, ""close"", today()-22, today()-1), , 2))"),"#N/A")</f>
        <v/>
      </c>
      <c r="N164" s="13">
        <f>AG164</f>
        <v/>
      </c>
      <c r="O164" s="13">
        <f>AI164</f>
        <v/>
      </c>
      <c r="P164" s="13">
        <f>W164</f>
        <v/>
      </c>
      <c r="Q164" s="13">
        <f>Y164</f>
        <v/>
      </c>
      <c r="R164" s="15" t="n"/>
      <c r="S164" s="15">
        <f>LEFT(W164,2)&amp;LEFT(Y164,2)</f>
        <v/>
      </c>
      <c r="T164" s="15" t="n"/>
      <c r="U164" s="15">
        <f>IF(K164&lt;L164,1,0)</f>
        <v/>
      </c>
      <c r="V164" s="15">
        <f>IF(H164&gt;I164,1,0)</f>
        <v/>
      </c>
      <c r="W164" s="15">
        <f>IF(SUM(U164:V164)=2,"Anticipatory_Sell","No_Action")</f>
        <v/>
      </c>
      <c r="X164" s="15" t="n"/>
      <c r="Y164" s="15">
        <f>IF(SUM(Z164:AA164)=2,"Confirm_Sell","No_Action")</f>
        <v/>
      </c>
      <c r="Z164" s="15">
        <f>IF(H164&gt;I164,1,0)</f>
        <v/>
      </c>
      <c r="AA164" s="15">
        <f>IF(K164&lt;M164,1,0)</f>
        <v/>
      </c>
      <c r="AB164" s="15" t="n"/>
      <c r="AC164" s="15">
        <f>LEFT(AG164,2)&amp;LEFT(AI164,2)</f>
        <v/>
      </c>
      <c r="AD164" s="15" t="n"/>
      <c r="AE164" s="15">
        <f>IF(K164&gt;L164,1,0)</f>
        <v/>
      </c>
      <c r="AF164" s="16">
        <f>IF(H164&gt;I164,1,0)</f>
        <v/>
      </c>
      <c r="AG164" s="16">
        <f>IF(SUM(AE164:AF164)=2,"Anticipatory_Buy","No_Action")</f>
        <v/>
      </c>
      <c r="AH164" s="15" t="n"/>
      <c r="AI164" s="15">
        <f>IF(SUM(AJ164:AK164)=2,"Confirm_Buy","No_Action")</f>
        <v/>
      </c>
      <c r="AJ164" s="15">
        <f>IF(H164&gt;I164,1,0)</f>
        <v/>
      </c>
      <c r="AK164" s="15">
        <f>IF(K164&gt;M164,1,0)</f>
        <v/>
      </c>
    </row>
    <row r="165" ht="14.5" customHeight="1">
      <c r="A165" s="12" t="inlineStr">
        <is>
          <t>JINDALSTEL</t>
        </is>
      </c>
      <c r="B165" s="13">
        <f>IFERROR(__xludf.DUMMYFUNCTION("GOOGLEFINANCE(""NSE:""&amp;A165,""PRICE"")"),968)</f>
        <v/>
      </c>
      <c r="C165" s="13">
        <f>IFERROR(__xludf.DUMMYFUNCTION("GOOGLEFINANCE(""NSE:""&amp;A165,""PRICEOPEN"")"),950.05)</f>
        <v/>
      </c>
      <c r="D165" s="13">
        <f>IFERROR(__xludf.DUMMYFUNCTION("GOOGLEFINANCE(""NSE:""&amp;A165,""HIGH"")"),969.6)</f>
        <v/>
      </c>
      <c r="E165" s="13">
        <f>IFERROR(__xludf.DUMMYFUNCTION("GOOGLEFINANCE(""NSE:""&amp;A165,""LOW"")"),945.2)</f>
        <v/>
      </c>
      <c r="F165" s="13">
        <f>IFERROR(__xludf.DUMMYFUNCTION("GOOGLEFINANCE(""NSE:""&amp;A165,""closeyest"")"),949.1)</f>
        <v/>
      </c>
      <c r="G165" s="14">
        <f>(B165-C165)/B165</f>
        <v/>
      </c>
      <c r="H165" s="13">
        <f>IFERROR(__xludf.DUMMYFUNCTION("GOOGLEFINANCE(""NSE:""&amp;A165,""VOLUME"")"),1433142)</f>
        <v/>
      </c>
      <c r="I165" s="13">
        <f>IFERROR(__xludf.DUMMYFUNCTION("AVERAGE(index(GOOGLEFINANCE(""NSE:""&amp;$A165, ""volume"", today()-21, today()-1), , 2))"),"#N/A")</f>
        <v/>
      </c>
      <c r="J165" s="14">
        <f>(H165-I165)/I165</f>
        <v/>
      </c>
      <c r="K165" s="13">
        <f>IFERROR(__xludf.DUMMYFUNCTION("AVERAGE(index(GOOGLEFINANCE(""NSE:""&amp;$A165, ""close"", today()-6, today()-1), , 2))"),"#N/A")</f>
        <v/>
      </c>
      <c r="L165" s="13">
        <f>IFERROR(__xludf.DUMMYFUNCTION("AVERAGE(index(GOOGLEFINANCE(""NSE:""&amp;$A165, ""close"", today()-14, today()-1), , 2))"),"#N/A")</f>
        <v/>
      </c>
      <c r="M165" s="13">
        <f>IFERROR(__xludf.DUMMYFUNCTION("AVERAGE(index(GOOGLEFINANCE(""NSE:""&amp;$A165, ""close"", today()-22, today()-1), , 2))"),"#N/A")</f>
        <v/>
      </c>
      <c r="N165" s="13">
        <f>AG165</f>
        <v/>
      </c>
      <c r="O165" s="13">
        <f>AI165</f>
        <v/>
      </c>
      <c r="P165" s="13">
        <f>W165</f>
        <v/>
      </c>
      <c r="Q165" s="13">
        <f>Y165</f>
        <v/>
      </c>
      <c r="R165" s="15" t="n"/>
      <c r="S165" s="15">
        <f>LEFT(W165,2)&amp;LEFT(Y165,2)</f>
        <v/>
      </c>
      <c r="T165" s="15" t="n"/>
      <c r="U165" s="15">
        <f>IF(K165&lt;L165,1,0)</f>
        <v/>
      </c>
      <c r="V165" s="15">
        <f>IF(H165&gt;I165,1,0)</f>
        <v/>
      </c>
      <c r="W165" s="15">
        <f>IF(SUM(U165:V165)=2,"Anticipatory_Sell","No_Action")</f>
        <v/>
      </c>
      <c r="X165" s="15" t="n"/>
      <c r="Y165" s="15">
        <f>IF(SUM(Z165:AA165)=2,"Confirm_Sell","No_Action")</f>
        <v/>
      </c>
      <c r="Z165" s="15">
        <f>IF(H165&gt;I165,1,0)</f>
        <v/>
      </c>
      <c r="AA165" s="15">
        <f>IF(K165&lt;M165,1,0)</f>
        <v/>
      </c>
      <c r="AB165" s="15" t="n"/>
      <c r="AC165" s="15">
        <f>LEFT(AG165,2)&amp;LEFT(AI165,2)</f>
        <v/>
      </c>
      <c r="AD165" s="15" t="n"/>
      <c r="AE165" s="15">
        <f>IF(K165&gt;L165,1,0)</f>
        <v/>
      </c>
      <c r="AF165" s="16">
        <f>IF(H165&gt;I165,1,0)</f>
        <v/>
      </c>
      <c r="AG165" s="16">
        <f>IF(SUM(AE165:AF165)=2,"Anticipatory_Buy","No_Action")</f>
        <v/>
      </c>
      <c r="AH165" s="15" t="n"/>
      <c r="AI165" s="15">
        <f>IF(SUM(AJ165:AK165)=2,"Confirm_Buy","No_Action")</f>
        <v/>
      </c>
      <c r="AJ165" s="15">
        <f>IF(H165&gt;I165,1,0)</f>
        <v/>
      </c>
      <c r="AK165" s="15">
        <f>IF(K165&gt;M165,1,0)</f>
        <v/>
      </c>
    </row>
    <row r="166" ht="14.5" customHeight="1">
      <c r="A166" s="12" t="inlineStr">
        <is>
          <t>JKLAKSHMI</t>
        </is>
      </c>
      <c r="B166" s="13">
        <f>IFERROR(__xludf.DUMMYFUNCTION("GOOGLEFINANCE(""NSE:""&amp;A166,""PRICE"")"),816.85)</f>
        <v/>
      </c>
      <c r="C166" s="13">
        <f>IFERROR(__xludf.DUMMYFUNCTION("GOOGLEFINANCE(""NSE:""&amp;A166,""PRICEOPEN"")"),807)</f>
        <v/>
      </c>
      <c r="D166" s="13">
        <f>IFERROR(__xludf.DUMMYFUNCTION("GOOGLEFINANCE(""NSE:""&amp;A166,""HIGH"")"),833.95)</f>
        <v/>
      </c>
      <c r="E166" s="13">
        <f>IFERROR(__xludf.DUMMYFUNCTION("GOOGLEFINANCE(""NSE:""&amp;A166,""LOW"")"),807)</f>
        <v/>
      </c>
      <c r="F166" s="13">
        <f>IFERROR(__xludf.DUMMYFUNCTION("GOOGLEFINANCE(""NSE:""&amp;A166,""closeyest"")"),807)</f>
        <v/>
      </c>
      <c r="G166" s="14">
        <f>(B166-C166)/B166</f>
        <v/>
      </c>
      <c r="H166" s="13">
        <f>IFERROR(__xludf.DUMMYFUNCTION("GOOGLEFINANCE(""NSE:""&amp;A166,""VOLUME"")"),117978)</f>
        <v/>
      </c>
      <c r="I166" s="13">
        <f>IFERROR(__xludf.DUMMYFUNCTION("AVERAGE(index(GOOGLEFINANCE(""NSE:""&amp;$A166, ""volume"", today()-21, today()-1), , 2))"),"#N/A")</f>
        <v/>
      </c>
      <c r="J166" s="14">
        <f>(H166-I166)/I166</f>
        <v/>
      </c>
      <c r="K166" s="13">
        <f>IFERROR(__xludf.DUMMYFUNCTION("AVERAGE(index(GOOGLEFINANCE(""NSE:""&amp;$A166, ""close"", today()-6, today()-1), , 2))"),"#N/A")</f>
        <v/>
      </c>
      <c r="L166" s="13">
        <f>IFERROR(__xludf.DUMMYFUNCTION("AVERAGE(index(GOOGLEFINANCE(""NSE:""&amp;$A166, ""close"", today()-14, today()-1), , 2))"),"#N/A")</f>
        <v/>
      </c>
      <c r="M166" s="13">
        <f>IFERROR(__xludf.DUMMYFUNCTION("AVERAGE(index(GOOGLEFINANCE(""NSE:""&amp;$A166, ""close"", today()-22, today()-1), , 2))"),"#N/A")</f>
        <v/>
      </c>
      <c r="N166" s="13">
        <f>AG166</f>
        <v/>
      </c>
      <c r="O166" s="13">
        <f>AI166</f>
        <v/>
      </c>
      <c r="P166" s="13">
        <f>W166</f>
        <v/>
      </c>
      <c r="Q166" s="13">
        <f>Y166</f>
        <v/>
      </c>
      <c r="R166" s="15" t="n"/>
      <c r="S166" s="15">
        <f>LEFT(W166,2)&amp;LEFT(Y166,2)</f>
        <v/>
      </c>
      <c r="T166" s="15" t="n"/>
      <c r="U166" s="15">
        <f>IF(K166&lt;L166,1,0)</f>
        <v/>
      </c>
      <c r="V166" s="15">
        <f>IF(H166&gt;I166,1,0)</f>
        <v/>
      </c>
      <c r="W166" s="15">
        <f>IF(SUM(U166:V166)=2,"Anticipatory_Sell","No_Action")</f>
        <v/>
      </c>
      <c r="X166" s="15" t="n"/>
      <c r="Y166" s="15">
        <f>IF(SUM(Z166:AA166)=2,"Confirm_Sell","No_Action")</f>
        <v/>
      </c>
      <c r="Z166" s="15">
        <f>IF(H166&gt;I166,1,0)</f>
        <v/>
      </c>
      <c r="AA166" s="15">
        <f>IF(K166&lt;M166,1,0)</f>
        <v/>
      </c>
      <c r="AB166" s="15" t="n"/>
      <c r="AC166" s="15">
        <f>LEFT(AG166,2)&amp;LEFT(AI166,2)</f>
        <v/>
      </c>
      <c r="AD166" s="15" t="n"/>
      <c r="AE166" s="15">
        <f>IF(K166&gt;L166,1,0)</f>
        <v/>
      </c>
      <c r="AF166" s="16">
        <f>IF(H166&gt;I166,1,0)</f>
        <v/>
      </c>
      <c r="AG166" s="16">
        <f>IF(SUM(AE166:AF166)=2,"Anticipatory_Buy","No_Action")</f>
        <v/>
      </c>
      <c r="AH166" s="15" t="n"/>
      <c r="AI166" s="15">
        <f>IF(SUM(AJ166:AK166)=2,"Confirm_Buy","No_Action")</f>
        <v/>
      </c>
      <c r="AJ166" s="15">
        <f>IF(H166&gt;I166,1,0)</f>
        <v/>
      </c>
      <c r="AK166" s="15">
        <f>IF(K166&gt;M166,1,0)</f>
        <v/>
      </c>
    </row>
    <row r="167" ht="14.5" customHeight="1">
      <c r="A167" s="12" t="inlineStr">
        <is>
          <t>JKPAPER</t>
        </is>
      </c>
      <c r="B167" s="13">
        <f>IFERROR(__xludf.DUMMYFUNCTION("GOOGLEFINANCE(""NSE:""&amp;A167,""PRICE"")"),485)</f>
        <v/>
      </c>
      <c r="C167" s="13">
        <f>IFERROR(__xludf.DUMMYFUNCTION("GOOGLEFINANCE(""NSE:""&amp;A167,""PRICEOPEN"")"),487.5)</f>
        <v/>
      </c>
      <c r="D167" s="13">
        <f>IFERROR(__xludf.DUMMYFUNCTION("GOOGLEFINANCE(""NSE:""&amp;A167,""HIGH"")"),490.55)</f>
        <v/>
      </c>
      <c r="E167" s="13">
        <f>IFERROR(__xludf.DUMMYFUNCTION("GOOGLEFINANCE(""NSE:""&amp;A167,""LOW"")"),480)</f>
        <v/>
      </c>
      <c r="F167" s="13">
        <f>IFERROR(__xludf.DUMMYFUNCTION("GOOGLEFINANCE(""NSE:""&amp;A167,""closeyest"")"),483.15)</f>
        <v/>
      </c>
      <c r="G167" s="14">
        <f>(B167-C167)/B167</f>
        <v/>
      </c>
      <c r="H167" s="13">
        <f>IFERROR(__xludf.DUMMYFUNCTION("GOOGLEFINANCE(""NSE:""&amp;A167,""VOLUME"")"),539774)</f>
        <v/>
      </c>
      <c r="I167" s="13">
        <f>IFERROR(__xludf.DUMMYFUNCTION("AVERAGE(index(GOOGLEFINANCE(""NSE:""&amp;$A167, ""volume"", today()-21, today()-1), , 2))"),"#N/A")</f>
        <v/>
      </c>
      <c r="J167" s="14">
        <f>(H167-I167)/I167</f>
        <v/>
      </c>
      <c r="K167" s="13">
        <f>IFERROR(__xludf.DUMMYFUNCTION("AVERAGE(index(GOOGLEFINANCE(""NSE:""&amp;$A167, ""close"", today()-6, today()-1), , 2))"),"#N/A")</f>
        <v/>
      </c>
      <c r="L167" s="13">
        <f>IFERROR(__xludf.DUMMYFUNCTION("AVERAGE(index(GOOGLEFINANCE(""NSE:""&amp;$A167, ""close"", today()-14, today()-1), , 2))"),"#N/A")</f>
        <v/>
      </c>
      <c r="M167" s="13">
        <f>IFERROR(__xludf.DUMMYFUNCTION("AVERAGE(index(GOOGLEFINANCE(""NSE:""&amp;$A167, ""close"", today()-22, today()-1), , 2))"),"#N/A")</f>
        <v/>
      </c>
      <c r="N167" s="13">
        <f>AG167</f>
        <v/>
      </c>
      <c r="O167" s="13">
        <f>AI167</f>
        <v/>
      </c>
      <c r="P167" s="13">
        <f>W167</f>
        <v/>
      </c>
      <c r="Q167" s="13">
        <f>Y167</f>
        <v/>
      </c>
      <c r="R167" s="15" t="n"/>
      <c r="S167" s="15">
        <f>LEFT(W167,2)&amp;LEFT(Y167,2)</f>
        <v/>
      </c>
      <c r="T167" s="15" t="n"/>
      <c r="U167" s="15">
        <f>IF(K167&lt;L167,1,0)</f>
        <v/>
      </c>
      <c r="V167" s="15">
        <f>IF(H167&gt;I167,1,0)</f>
        <v/>
      </c>
      <c r="W167" s="15">
        <f>IF(SUM(U167:V167)=2,"Anticipatory_Sell","No_Action")</f>
        <v/>
      </c>
      <c r="X167" s="15" t="n"/>
      <c r="Y167" s="15">
        <f>IF(SUM(Z167:AA167)=2,"Confirm_Sell","No_Action")</f>
        <v/>
      </c>
      <c r="Z167" s="15">
        <f>IF(H167&gt;I167,1,0)</f>
        <v/>
      </c>
      <c r="AA167" s="15">
        <f>IF(K167&lt;M167,1,0)</f>
        <v/>
      </c>
      <c r="AB167" s="15" t="n"/>
      <c r="AC167" s="15">
        <f>LEFT(AG167,2)&amp;LEFT(AI167,2)</f>
        <v/>
      </c>
      <c r="AD167" s="15" t="n"/>
      <c r="AE167" s="15">
        <f>IF(K167&gt;L167,1,0)</f>
        <v/>
      </c>
      <c r="AF167" s="16">
        <f>IF(H167&gt;I167,1,0)</f>
        <v/>
      </c>
      <c r="AG167" s="16">
        <f>IF(SUM(AE167:AF167)=2,"Anticipatory_Buy","No_Action")</f>
        <v/>
      </c>
      <c r="AH167" s="15" t="n"/>
      <c r="AI167" s="15">
        <f>IF(SUM(AJ167:AK167)=2,"Confirm_Buy","No_Action")</f>
        <v/>
      </c>
      <c r="AJ167" s="15">
        <f>IF(H167&gt;I167,1,0)</f>
        <v/>
      </c>
      <c r="AK167" s="15">
        <f>IF(K167&gt;M167,1,0)</f>
        <v/>
      </c>
    </row>
    <row r="168" ht="14.5" customHeight="1">
      <c r="A168" s="12" t="inlineStr">
        <is>
          <t>JKTYRE</t>
        </is>
      </c>
      <c r="B168" s="13">
        <f>IFERROR(__xludf.DUMMYFUNCTION("GOOGLEFINANCE(""NSE:""&amp;A168,""PRICE"")"),417.7)</f>
        <v/>
      </c>
      <c r="C168" s="13">
        <f>IFERROR(__xludf.DUMMYFUNCTION("GOOGLEFINANCE(""NSE:""&amp;A168,""PRICEOPEN"")"),392.65)</f>
        <v/>
      </c>
      <c r="D168" s="13">
        <f>IFERROR(__xludf.DUMMYFUNCTION("GOOGLEFINANCE(""NSE:""&amp;A168,""HIGH"")"),424)</f>
        <v/>
      </c>
      <c r="E168" s="13">
        <f>IFERROR(__xludf.DUMMYFUNCTION("GOOGLEFINANCE(""NSE:""&amp;A168,""LOW"")"),392.05)</f>
        <v/>
      </c>
      <c r="F168" s="13">
        <f>IFERROR(__xludf.DUMMYFUNCTION("GOOGLEFINANCE(""NSE:""&amp;A168,""closeyest"")"),393.6)</f>
        <v/>
      </c>
      <c r="G168" s="14">
        <f>(B168-C168)/B168</f>
        <v/>
      </c>
      <c r="H168" s="13">
        <f>IFERROR(__xludf.DUMMYFUNCTION("GOOGLEFINANCE(""NSE:""&amp;A168,""VOLUME"")"),4318452)</f>
        <v/>
      </c>
      <c r="I168" s="13">
        <f>IFERROR(__xludf.DUMMYFUNCTION("AVERAGE(index(GOOGLEFINANCE(""NSE:""&amp;$A168, ""volume"", today()-21, today()-1), , 2))"),"#N/A")</f>
        <v/>
      </c>
      <c r="J168" s="14">
        <f>(H168-I168)/I168</f>
        <v/>
      </c>
      <c r="K168" s="13">
        <f>IFERROR(__xludf.DUMMYFUNCTION("AVERAGE(index(GOOGLEFINANCE(""NSE:""&amp;$A168, ""close"", today()-6, today()-1), , 2))"),"#N/A")</f>
        <v/>
      </c>
      <c r="L168" s="13">
        <f>IFERROR(__xludf.DUMMYFUNCTION("AVERAGE(index(GOOGLEFINANCE(""NSE:""&amp;$A168, ""close"", today()-14, today()-1), , 2))"),"#N/A")</f>
        <v/>
      </c>
      <c r="M168" s="13">
        <f>IFERROR(__xludf.DUMMYFUNCTION("AVERAGE(index(GOOGLEFINANCE(""NSE:""&amp;$A168, ""close"", today()-22, today()-1), , 2))"),"#N/A")</f>
        <v/>
      </c>
      <c r="N168" s="13">
        <f>AG168</f>
        <v/>
      </c>
      <c r="O168" s="13">
        <f>AI168</f>
        <v/>
      </c>
      <c r="P168" s="13">
        <f>W168</f>
        <v/>
      </c>
      <c r="Q168" s="13">
        <f>Y168</f>
        <v/>
      </c>
      <c r="R168" s="15" t="n"/>
      <c r="S168" s="15">
        <f>LEFT(W168,2)&amp;LEFT(Y168,2)</f>
        <v/>
      </c>
      <c r="T168" s="15" t="n"/>
      <c r="U168" s="15">
        <f>IF(K168&lt;L168,1,0)</f>
        <v/>
      </c>
      <c r="V168" s="15">
        <f>IF(H168&gt;I168,1,0)</f>
        <v/>
      </c>
      <c r="W168" s="15">
        <f>IF(SUM(U168:V168)=2,"Anticipatory_Sell","No_Action")</f>
        <v/>
      </c>
      <c r="X168" s="15" t="n"/>
      <c r="Y168" s="15">
        <f>IF(SUM(Z168:AA168)=2,"Confirm_Sell","No_Action")</f>
        <v/>
      </c>
      <c r="Z168" s="15">
        <f>IF(H168&gt;I168,1,0)</f>
        <v/>
      </c>
      <c r="AA168" s="15">
        <f>IF(K168&lt;M168,1,0)</f>
        <v/>
      </c>
      <c r="AB168" s="15" t="n"/>
      <c r="AC168" s="15">
        <f>LEFT(AG168,2)&amp;LEFT(AI168,2)</f>
        <v/>
      </c>
      <c r="AD168" s="15" t="n"/>
      <c r="AE168" s="15">
        <f>IF(K168&gt;L168,1,0)</f>
        <v/>
      </c>
      <c r="AF168" s="16">
        <f>IF(H168&gt;I168,1,0)</f>
        <v/>
      </c>
      <c r="AG168" s="16">
        <f>IF(SUM(AE168:AF168)=2,"Anticipatory_Buy","No_Action")</f>
        <v/>
      </c>
      <c r="AH168" s="15" t="n"/>
      <c r="AI168" s="15">
        <f>IF(SUM(AJ168:AK168)=2,"Confirm_Buy","No_Action")</f>
        <v/>
      </c>
      <c r="AJ168" s="15">
        <f>IF(H168&gt;I168,1,0)</f>
        <v/>
      </c>
      <c r="AK168" s="15">
        <f>IF(K168&gt;M168,1,0)</f>
        <v/>
      </c>
    </row>
    <row r="169" ht="14.5" customHeight="1">
      <c r="A169" s="12" t="inlineStr">
        <is>
          <t>JSWSTEEL</t>
        </is>
      </c>
      <c r="B169" s="13">
        <f>IFERROR(__xludf.DUMMYFUNCTION("GOOGLEFINANCE(""NSE:""&amp;A169,""PRICE"")"),1012)</f>
        <v/>
      </c>
      <c r="C169" s="13">
        <f>IFERROR(__xludf.DUMMYFUNCTION("GOOGLEFINANCE(""NSE:""&amp;A169,""PRICEOPEN"")"),1005.5)</f>
        <v/>
      </c>
      <c r="D169" s="13">
        <f>IFERROR(__xludf.DUMMYFUNCTION("GOOGLEFINANCE(""NSE:""&amp;A169,""HIGH"")"),1015.5)</f>
        <v/>
      </c>
      <c r="E169" s="13">
        <f>IFERROR(__xludf.DUMMYFUNCTION("GOOGLEFINANCE(""NSE:""&amp;A169,""LOW"")"),993.8)</f>
        <v/>
      </c>
      <c r="F169" s="13">
        <f>IFERROR(__xludf.DUMMYFUNCTION("GOOGLEFINANCE(""NSE:""&amp;A169,""closeyest"")"),1003.8)</f>
        <v/>
      </c>
      <c r="G169" s="14">
        <f>(B169-C169)/B169</f>
        <v/>
      </c>
      <c r="H169" s="13">
        <f>IFERROR(__xludf.DUMMYFUNCTION("GOOGLEFINANCE(""NSE:""&amp;A169,""VOLUME"")"),1457470)</f>
        <v/>
      </c>
      <c r="I169" s="13">
        <f>IFERROR(__xludf.DUMMYFUNCTION("AVERAGE(index(GOOGLEFINANCE(""NSE:""&amp;$A169, ""volume"", today()-21, today()-1), , 2))"),"#N/A")</f>
        <v/>
      </c>
      <c r="J169" s="14">
        <f>(H169-I169)/I169</f>
        <v/>
      </c>
      <c r="K169" s="13">
        <f>IFERROR(__xludf.DUMMYFUNCTION("AVERAGE(index(GOOGLEFINANCE(""NSE:""&amp;$A169, ""close"", today()-6, today()-1), , 2))"),"#N/A")</f>
        <v/>
      </c>
      <c r="L169" s="13">
        <f>IFERROR(__xludf.DUMMYFUNCTION("AVERAGE(index(GOOGLEFINANCE(""NSE:""&amp;$A169, ""close"", today()-14, today()-1), , 2))"),"#N/A")</f>
        <v/>
      </c>
      <c r="M169" s="13">
        <f>IFERROR(__xludf.DUMMYFUNCTION("AVERAGE(index(GOOGLEFINANCE(""NSE:""&amp;$A169, ""close"", today()-22, today()-1), , 2))"),"#N/A")</f>
        <v/>
      </c>
      <c r="N169" s="13">
        <f>AG169</f>
        <v/>
      </c>
      <c r="O169" s="13">
        <f>AI169</f>
        <v/>
      </c>
      <c r="P169" s="13">
        <f>W169</f>
        <v/>
      </c>
      <c r="Q169" s="13">
        <f>Y169</f>
        <v/>
      </c>
      <c r="R169" s="15" t="n"/>
      <c r="S169" s="15">
        <f>LEFT(W169,2)&amp;LEFT(Y169,2)</f>
        <v/>
      </c>
      <c r="T169" s="15" t="n"/>
      <c r="U169" s="15">
        <f>IF(K169&lt;L169,1,0)</f>
        <v/>
      </c>
      <c r="V169" s="15">
        <f>IF(H169&gt;I169,1,0)</f>
        <v/>
      </c>
      <c r="W169" s="15">
        <f>IF(SUM(U169:V169)=2,"Anticipatory_Sell","No_Action")</f>
        <v/>
      </c>
      <c r="X169" s="15" t="n"/>
      <c r="Y169" s="15">
        <f>IF(SUM(Z169:AA169)=2,"Confirm_Sell","No_Action")</f>
        <v/>
      </c>
      <c r="Z169" s="15">
        <f>IF(H169&gt;I169,1,0)</f>
        <v/>
      </c>
      <c r="AA169" s="15">
        <f>IF(K169&lt;M169,1,0)</f>
        <v/>
      </c>
      <c r="AB169" s="15" t="n"/>
      <c r="AC169" s="15">
        <f>LEFT(AG169,2)&amp;LEFT(AI169,2)</f>
        <v/>
      </c>
      <c r="AD169" s="15" t="n"/>
      <c r="AE169" s="15">
        <f>IF(K169&gt;L169,1,0)</f>
        <v/>
      </c>
      <c r="AF169" s="16">
        <f>IF(H169&gt;I169,1,0)</f>
        <v/>
      </c>
      <c r="AG169" s="16">
        <f>IF(SUM(AE169:AF169)=2,"Anticipatory_Buy","No_Action")</f>
        <v/>
      </c>
      <c r="AH169" s="15" t="n"/>
      <c r="AI169" s="15">
        <f>IF(SUM(AJ169:AK169)=2,"Confirm_Buy","No_Action")</f>
        <v/>
      </c>
      <c r="AJ169" s="15">
        <f>IF(H169&gt;I169,1,0)</f>
        <v/>
      </c>
      <c r="AK169" s="15">
        <f>IF(K169&gt;M169,1,0)</f>
        <v/>
      </c>
    </row>
    <row r="170" ht="14.5" customHeight="1">
      <c r="A170" s="12" t="inlineStr">
        <is>
          <t>JWL</t>
        </is>
      </c>
      <c r="B170" s="13">
        <f>IFERROR(__xludf.DUMMYFUNCTION("GOOGLEFINANCE(""NSE:""&amp;A170,""PRICE"")"),503.9)</f>
        <v/>
      </c>
      <c r="C170" s="13">
        <f>IFERROR(__xludf.DUMMYFUNCTION("GOOGLEFINANCE(""NSE:""&amp;A170,""PRICEOPEN"")"),496.05)</f>
        <v/>
      </c>
      <c r="D170" s="13">
        <f>IFERROR(__xludf.DUMMYFUNCTION("GOOGLEFINANCE(""NSE:""&amp;A170,""HIGH"")"),506.2)</f>
        <v/>
      </c>
      <c r="E170" s="13">
        <f>IFERROR(__xludf.DUMMYFUNCTION("GOOGLEFINANCE(""NSE:""&amp;A170,""LOW"")"),493.85)</f>
        <v/>
      </c>
      <c r="F170" s="13">
        <f>IFERROR(__xludf.DUMMYFUNCTION("GOOGLEFINANCE(""NSE:""&amp;A170,""closeyest"")"),493.05)</f>
        <v/>
      </c>
      <c r="G170" s="14">
        <f>(B170-C170)/B170</f>
        <v/>
      </c>
      <c r="H170" s="13">
        <f>IFERROR(__xludf.DUMMYFUNCTION("GOOGLEFINANCE(""NSE:""&amp;A170,""VOLUME"")"),1014705)</f>
        <v/>
      </c>
      <c r="I170" s="13">
        <f>IFERROR(__xludf.DUMMYFUNCTION("AVERAGE(index(GOOGLEFINANCE(""NSE:""&amp;$A170, ""volume"", today()-21, today()-1), , 2))"),"#N/A")</f>
        <v/>
      </c>
      <c r="J170" s="14">
        <f>(H170-I170)/I170</f>
        <v/>
      </c>
      <c r="K170" s="13">
        <f>IFERROR(__xludf.DUMMYFUNCTION("AVERAGE(index(GOOGLEFINANCE(""NSE:""&amp;$A170, ""close"", today()-6, today()-1), , 2))"),"#N/A")</f>
        <v/>
      </c>
      <c r="L170" s="13">
        <f>IFERROR(__xludf.DUMMYFUNCTION("AVERAGE(index(GOOGLEFINANCE(""NSE:""&amp;$A170, ""close"", today()-14, today()-1), , 2))"),"#N/A")</f>
        <v/>
      </c>
      <c r="M170" s="13">
        <f>IFERROR(__xludf.DUMMYFUNCTION("AVERAGE(index(GOOGLEFINANCE(""NSE:""&amp;$A170, ""close"", today()-22, today()-1), , 2))"),"#N/A")</f>
        <v/>
      </c>
      <c r="N170" s="13">
        <f>AG170</f>
        <v/>
      </c>
      <c r="O170" s="13">
        <f>AI170</f>
        <v/>
      </c>
      <c r="P170" s="13">
        <f>W170</f>
        <v/>
      </c>
      <c r="Q170" s="13">
        <f>Y170</f>
        <v/>
      </c>
      <c r="R170" s="15" t="n"/>
      <c r="S170" s="15">
        <f>LEFT(W170,2)&amp;LEFT(Y170,2)</f>
        <v/>
      </c>
      <c r="T170" s="15" t="n"/>
      <c r="U170" s="15">
        <f>IF(K170&lt;L170,1,0)</f>
        <v/>
      </c>
      <c r="V170" s="15">
        <f>IF(H170&gt;I170,1,0)</f>
        <v/>
      </c>
      <c r="W170" s="15">
        <f>IF(SUM(U170:V170)=2,"Anticipatory_Sell","No_Action")</f>
        <v/>
      </c>
      <c r="X170" s="15" t="n"/>
      <c r="Y170" s="15">
        <f>IF(SUM(Z170:AA170)=2,"Confirm_Sell","No_Action")</f>
        <v/>
      </c>
      <c r="Z170" s="15">
        <f>IF(H170&gt;I170,1,0)</f>
        <v/>
      </c>
      <c r="AA170" s="15">
        <f>IF(K170&lt;M170,1,0)</f>
        <v/>
      </c>
      <c r="AB170" s="15" t="n"/>
      <c r="AC170" s="15">
        <f>LEFT(AG170,2)&amp;LEFT(AI170,2)</f>
        <v/>
      </c>
      <c r="AD170" s="15" t="n"/>
      <c r="AE170" s="15">
        <f>IF(K170&gt;L170,1,0)</f>
        <v/>
      </c>
      <c r="AF170" s="16">
        <f>IF(H170&gt;I170,1,0)</f>
        <v/>
      </c>
      <c r="AG170" s="16">
        <f>IF(SUM(AE170:AF170)=2,"Anticipatory_Buy","No_Action")</f>
        <v/>
      </c>
      <c r="AH170" s="15" t="n"/>
      <c r="AI170" s="15">
        <f>IF(SUM(AJ170:AK170)=2,"Confirm_Buy","No_Action")</f>
        <v/>
      </c>
      <c r="AJ170" s="15">
        <f>IF(H170&gt;I170,1,0)</f>
        <v/>
      </c>
      <c r="AK170" s="15">
        <f>IF(K170&gt;M170,1,0)</f>
        <v/>
      </c>
    </row>
    <row r="171" ht="14.5" customHeight="1">
      <c r="A171" s="12" t="inlineStr">
        <is>
          <t>JYOTHYLAB</t>
        </is>
      </c>
      <c r="B171" s="13">
        <f>IFERROR(__xludf.DUMMYFUNCTION("GOOGLEFINANCE(""NSE:""&amp;A171,""PRICE"")"),420.5)</f>
        <v/>
      </c>
      <c r="C171" s="13">
        <f>IFERROR(__xludf.DUMMYFUNCTION("GOOGLEFINANCE(""NSE:""&amp;A171,""PRICEOPEN"")"),426)</f>
        <v/>
      </c>
      <c r="D171" s="13">
        <f>IFERROR(__xludf.DUMMYFUNCTION("GOOGLEFINANCE(""NSE:""&amp;A171,""HIGH"")"),433.2)</f>
        <v/>
      </c>
      <c r="E171" s="13">
        <f>IFERROR(__xludf.DUMMYFUNCTION("GOOGLEFINANCE(""NSE:""&amp;A171,""LOW"")"),414.5)</f>
        <v/>
      </c>
      <c r="F171" s="13">
        <f>IFERROR(__xludf.DUMMYFUNCTION("GOOGLEFINANCE(""NSE:""&amp;A171,""closeyest"")"),423.05)</f>
        <v/>
      </c>
      <c r="G171" s="14">
        <f>(B171-C171)/B171</f>
        <v/>
      </c>
      <c r="H171" s="13">
        <f>IFERROR(__xludf.DUMMYFUNCTION("GOOGLEFINANCE(""NSE:""&amp;A171,""VOLUME"")"),1166341)</f>
        <v/>
      </c>
      <c r="I171" s="13">
        <f>IFERROR(__xludf.DUMMYFUNCTION("AVERAGE(index(GOOGLEFINANCE(""NSE:""&amp;$A171, ""volume"", today()-21, today()-1), , 2))"),"#N/A")</f>
        <v/>
      </c>
      <c r="J171" s="14">
        <f>(H171-I171)/I171</f>
        <v/>
      </c>
      <c r="K171" s="13">
        <f>IFERROR(__xludf.DUMMYFUNCTION("AVERAGE(index(GOOGLEFINANCE(""NSE:""&amp;$A171, ""close"", today()-6, today()-1), , 2))"),"#N/A")</f>
        <v/>
      </c>
      <c r="L171" s="13">
        <f>IFERROR(__xludf.DUMMYFUNCTION("AVERAGE(index(GOOGLEFINANCE(""NSE:""&amp;$A171, ""close"", today()-14, today()-1), , 2))"),"#N/A")</f>
        <v/>
      </c>
      <c r="M171" s="13">
        <f>IFERROR(__xludf.DUMMYFUNCTION("AVERAGE(index(GOOGLEFINANCE(""NSE:""&amp;$A171, ""close"", today()-22, today()-1), , 2))"),"#N/A")</f>
        <v/>
      </c>
      <c r="N171" s="13">
        <f>AG171</f>
        <v/>
      </c>
      <c r="O171" s="13">
        <f>AI171</f>
        <v/>
      </c>
      <c r="P171" s="13">
        <f>W171</f>
        <v/>
      </c>
      <c r="Q171" s="13">
        <f>Y171</f>
        <v/>
      </c>
      <c r="R171" s="15" t="n"/>
      <c r="S171" s="15">
        <f>LEFT(W171,2)&amp;LEFT(Y171,2)</f>
        <v/>
      </c>
      <c r="T171" s="15" t="n"/>
      <c r="U171" s="15">
        <f>IF(K171&lt;L171,1,0)</f>
        <v/>
      </c>
      <c r="V171" s="15">
        <f>IF(H171&gt;I171,1,0)</f>
        <v/>
      </c>
      <c r="W171" s="15">
        <f>IF(SUM(U171:V171)=2,"Anticipatory_Sell","No_Action")</f>
        <v/>
      </c>
      <c r="X171" s="15" t="n"/>
      <c r="Y171" s="15">
        <f>IF(SUM(Z171:AA171)=2,"Confirm_Sell","No_Action")</f>
        <v/>
      </c>
      <c r="Z171" s="15">
        <f>IF(H171&gt;I171,1,0)</f>
        <v/>
      </c>
      <c r="AA171" s="15">
        <f>IF(K171&lt;M171,1,0)</f>
        <v/>
      </c>
      <c r="AB171" s="15" t="n"/>
      <c r="AC171" s="15">
        <f>LEFT(AG171,2)&amp;LEFT(AI171,2)</f>
        <v/>
      </c>
      <c r="AD171" s="15" t="n"/>
      <c r="AE171" s="15">
        <f>IF(K171&gt;L171,1,0)</f>
        <v/>
      </c>
      <c r="AF171" s="16">
        <f>IF(H171&gt;I171,1,0)</f>
        <v/>
      </c>
      <c r="AG171" s="16">
        <f>IF(SUM(AE171:AF171)=2,"Anticipatory_Buy","No_Action")</f>
        <v/>
      </c>
      <c r="AH171" s="15" t="n"/>
      <c r="AI171" s="15">
        <f>IF(SUM(AJ171:AK171)=2,"Confirm_Buy","No_Action")</f>
        <v/>
      </c>
      <c r="AJ171" s="15">
        <f>IF(H171&gt;I171,1,0)</f>
        <v/>
      </c>
      <c r="AK171" s="15">
        <f>IF(K171&gt;M171,1,0)</f>
        <v/>
      </c>
    </row>
    <row r="172" ht="14.5" customHeight="1">
      <c r="A172" s="12" t="inlineStr">
        <is>
          <t>KCP</t>
        </is>
      </c>
      <c r="B172" s="13">
        <f>IFERROR(__xludf.DUMMYFUNCTION("GOOGLEFINANCE(""NSE:""&amp;A172,""PRICE"")"),250.31)</f>
        <v/>
      </c>
      <c r="C172" s="13">
        <f>IFERROR(__xludf.DUMMYFUNCTION("GOOGLEFINANCE(""NSE:""&amp;A172,""PRICEOPEN"")"),254.9)</f>
        <v/>
      </c>
      <c r="D172" s="13">
        <f>IFERROR(__xludf.DUMMYFUNCTION("GOOGLEFINANCE(""NSE:""&amp;A172,""HIGH"")"),254.98)</f>
        <v/>
      </c>
      <c r="E172" s="13">
        <f>IFERROR(__xludf.DUMMYFUNCTION("GOOGLEFINANCE(""NSE:""&amp;A172,""LOW"")"),250.14)</f>
        <v/>
      </c>
      <c r="F172" s="13">
        <f>IFERROR(__xludf.DUMMYFUNCTION("GOOGLEFINANCE(""NSE:""&amp;A172,""closeyest"")"),254.33)</f>
        <v/>
      </c>
      <c r="G172" s="14">
        <f>(B172-C172)/B172</f>
        <v/>
      </c>
      <c r="H172" s="13">
        <f>IFERROR(__xludf.DUMMYFUNCTION("GOOGLEFINANCE(""NSE:""&amp;A172,""VOLUME"")"),206204)</f>
        <v/>
      </c>
      <c r="I172" s="13">
        <f>IFERROR(__xludf.DUMMYFUNCTION("AVERAGE(index(GOOGLEFINANCE(""NSE:""&amp;$A172, ""volume"", today()-21, today()-1), , 2))"),"#N/A")</f>
        <v/>
      </c>
      <c r="J172" s="14">
        <f>(H172-I172)/I172</f>
        <v/>
      </c>
      <c r="K172" s="13">
        <f>IFERROR(__xludf.DUMMYFUNCTION("AVERAGE(index(GOOGLEFINANCE(""NSE:""&amp;$A172, ""close"", today()-6, today()-1), , 2))"),"#N/A")</f>
        <v/>
      </c>
      <c r="L172" s="13">
        <f>IFERROR(__xludf.DUMMYFUNCTION("AVERAGE(index(GOOGLEFINANCE(""NSE:""&amp;$A172, ""close"", today()-14, today()-1), , 2))"),"#N/A")</f>
        <v/>
      </c>
      <c r="M172" s="13">
        <f>IFERROR(__xludf.DUMMYFUNCTION("AVERAGE(index(GOOGLEFINANCE(""NSE:""&amp;$A172, ""close"", today()-22, today()-1), , 2))"),"#N/A")</f>
        <v/>
      </c>
      <c r="N172" s="13">
        <f>AG172</f>
        <v/>
      </c>
      <c r="O172" s="13">
        <f>AI172</f>
        <v/>
      </c>
      <c r="P172" s="13">
        <f>W172</f>
        <v/>
      </c>
      <c r="Q172" s="13">
        <f>Y172</f>
        <v/>
      </c>
      <c r="R172" s="15" t="n"/>
      <c r="S172" s="15">
        <f>LEFT(W172,2)&amp;LEFT(Y172,2)</f>
        <v/>
      </c>
      <c r="T172" s="15" t="n"/>
      <c r="U172" s="15">
        <f>IF(K172&lt;L172,1,0)</f>
        <v/>
      </c>
      <c r="V172" s="15">
        <f>IF(H172&gt;I172,1,0)</f>
        <v/>
      </c>
      <c r="W172" s="15">
        <f>IF(SUM(U172:V172)=2,"Anticipatory_Sell","No_Action")</f>
        <v/>
      </c>
      <c r="X172" s="15" t="n"/>
      <c r="Y172" s="15">
        <f>IF(SUM(Z172:AA172)=2,"Confirm_Sell","No_Action")</f>
        <v/>
      </c>
      <c r="Z172" s="15">
        <f>IF(H172&gt;I172,1,0)</f>
        <v/>
      </c>
      <c r="AA172" s="15">
        <f>IF(K172&lt;M172,1,0)</f>
        <v/>
      </c>
      <c r="AB172" s="15" t="n"/>
      <c r="AC172" s="15">
        <f>LEFT(AG172,2)&amp;LEFT(AI172,2)</f>
        <v/>
      </c>
      <c r="AD172" s="15" t="n"/>
      <c r="AE172" s="15">
        <f>IF(K172&gt;L172,1,0)</f>
        <v/>
      </c>
      <c r="AF172" s="16">
        <f>IF(H172&gt;I172,1,0)</f>
        <v/>
      </c>
      <c r="AG172" s="16">
        <f>IF(SUM(AE172:AF172)=2,"Anticipatory_Buy","No_Action")</f>
        <v/>
      </c>
      <c r="AH172" s="15" t="n"/>
      <c r="AI172" s="15">
        <f>IF(SUM(AJ172:AK172)=2,"Confirm_Buy","No_Action")</f>
        <v/>
      </c>
      <c r="AJ172" s="15">
        <f>IF(H172&gt;I172,1,0)</f>
        <v/>
      </c>
      <c r="AK172" s="15">
        <f>IF(K172&gt;M172,1,0)</f>
        <v/>
      </c>
    </row>
    <row r="173" ht="14.5" customHeight="1">
      <c r="A173" s="12" t="inlineStr">
        <is>
          <t>KPRMILL</t>
        </is>
      </c>
      <c r="B173" s="13">
        <f>IFERROR(__xludf.DUMMYFUNCTION("GOOGLEFINANCE(""NSE:""&amp;A173,""PRICE"")"),1000)</f>
        <v/>
      </c>
      <c r="C173" s="13">
        <f>IFERROR(__xludf.DUMMYFUNCTION("GOOGLEFINANCE(""NSE:""&amp;A173,""PRICEOPEN"")"),994.95)</f>
        <v/>
      </c>
      <c r="D173" s="13">
        <f>IFERROR(__xludf.DUMMYFUNCTION("GOOGLEFINANCE(""NSE:""&amp;A173,""HIGH"")"),1019.7)</f>
        <v/>
      </c>
      <c r="E173" s="13">
        <f>IFERROR(__xludf.DUMMYFUNCTION("GOOGLEFINANCE(""NSE:""&amp;A173,""LOW"")"),977.75)</f>
        <v/>
      </c>
      <c r="F173" s="13">
        <f>IFERROR(__xludf.DUMMYFUNCTION("GOOGLEFINANCE(""NSE:""&amp;A173,""closeyest"")"),989.55)</f>
        <v/>
      </c>
      <c r="G173" s="14">
        <f>(B173-C173)/B173</f>
        <v/>
      </c>
      <c r="H173" s="13">
        <f>IFERROR(__xludf.DUMMYFUNCTION("GOOGLEFINANCE(""NSE:""&amp;A173,""VOLUME"")"),500281)</f>
        <v/>
      </c>
      <c r="I173" s="13">
        <f>IFERROR(__xludf.DUMMYFUNCTION("AVERAGE(index(GOOGLEFINANCE(""NSE:""&amp;$A173, ""volume"", today()-21, today()-1), , 2))"),"#N/A")</f>
        <v/>
      </c>
      <c r="J173" s="14">
        <f>(H173-I173)/I173</f>
        <v/>
      </c>
      <c r="K173" s="13">
        <f>IFERROR(__xludf.DUMMYFUNCTION("AVERAGE(index(GOOGLEFINANCE(""NSE:""&amp;$A173, ""close"", today()-6, today()-1), , 2))"),"#N/A")</f>
        <v/>
      </c>
      <c r="L173" s="13">
        <f>IFERROR(__xludf.DUMMYFUNCTION("AVERAGE(index(GOOGLEFINANCE(""NSE:""&amp;$A173, ""close"", today()-14, today()-1), , 2))"),"#N/A")</f>
        <v/>
      </c>
      <c r="M173" s="13">
        <f>IFERROR(__xludf.DUMMYFUNCTION("AVERAGE(index(GOOGLEFINANCE(""NSE:""&amp;$A173, ""close"", today()-22, today()-1), , 2))"),"#N/A")</f>
        <v/>
      </c>
      <c r="N173" s="13">
        <f>AG173</f>
        <v/>
      </c>
      <c r="O173" s="13">
        <f>AI173</f>
        <v/>
      </c>
      <c r="P173" s="13">
        <f>W173</f>
        <v/>
      </c>
      <c r="Q173" s="13">
        <f>Y173</f>
        <v/>
      </c>
      <c r="R173" s="15" t="n"/>
      <c r="S173" s="15">
        <f>LEFT(W173,2)&amp;LEFT(Y173,2)</f>
        <v/>
      </c>
      <c r="T173" s="15" t="n"/>
      <c r="U173" s="15">
        <f>IF(K173&lt;L173,1,0)</f>
        <v/>
      </c>
      <c r="V173" s="15">
        <f>IF(H173&gt;I173,1,0)</f>
        <v/>
      </c>
      <c r="W173" s="15">
        <f>IF(SUM(U173:V173)=2,"Anticipatory_Sell","No_Action")</f>
        <v/>
      </c>
      <c r="X173" s="15" t="n"/>
      <c r="Y173" s="15">
        <f>IF(SUM(Z173:AA173)=2,"Confirm_Sell","No_Action")</f>
        <v/>
      </c>
      <c r="Z173" s="15">
        <f>IF(H173&gt;I173,1,0)</f>
        <v/>
      </c>
      <c r="AA173" s="15">
        <f>IF(K173&lt;M173,1,0)</f>
        <v/>
      </c>
      <c r="AB173" s="15" t="n"/>
      <c r="AC173" s="15">
        <f>LEFT(AG173,2)&amp;LEFT(AI173,2)</f>
        <v/>
      </c>
      <c r="AD173" s="15" t="n"/>
      <c r="AE173" s="15">
        <f>IF(K173&gt;L173,1,0)</f>
        <v/>
      </c>
      <c r="AF173" s="16">
        <f>IF(H173&gt;I173,1,0)</f>
        <v/>
      </c>
      <c r="AG173" s="16">
        <f>IF(SUM(AE173:AF173)=2,"Anticipatory_Buy","No_Action")</f>
        <v/>
      </c>
      <c r="AH173" s="15" t="n"/>
      <c r="AI173" s="15">
        <f>IF(SUM(AJ173:AK173)=2,"Confirm_Buy","No_Action")</f>
        <v/>
      </c>
      <c r="AJ173" s="15">
        <f>IF(H173&gt;I173,1,0)</f>
        <v/>
      </c>
      <c r="AK173" s="15">
        <f>IF(K173&gt;M173,1,0)</f>
        <v/>
      </c>
    </row>
    <row r="174" ht="14.5" customHeight="1">
      <c r="A174" s="12" t="inlineStr">
        <is>
          <t>KAJARIACER</t>
        </is>
      </c>
      <c r="B174" s="13">
        <f>IFERROR(__xludf.DUMMYFUNCTION("GOOGLEFINANCE(""NSE:""&amp;A174,""PRICE"")"),1150)</f>
        <v/>
      </c>
      <c r="C174" s="13">
        <f>IFERROR(__xludf.DUMMYFUNCTION("GOOGLEFINANCE(""NSE:""&amp;A174,""PRICEOPEN"")"),1182.5)</f>
        <v/>
      </c>
      <c r="D174" s="13">
        <f>IFERROR(__xludf.DUMMYFUNCTION("GOOGLEFINANCE(""NSE:""&amp;A174,""HIGH"")"),1194.95)</f>
        <v/>
      </c>
      <c r="E174" s="13">
        <f>IFERROR(__xludf.DUMMYFUNCTION("GOOGLEFINANCE(""NSE:""&amp;A174,""LOW"")"),1147)</f>
        <v/>
      </c>
      <c r="F174" s="13">
        <f>IFERROR(__xludf.DUMMYFUNCTION("GOOGLEFINANCE(""NSE:""&amp;A174,""closeyest"")"),1182.45)</f>
        <v/>
      </c>
      <c r="G174" s="14">
        <f>(B174-C174)/B174</f>
        <v/>
      </c>
      <c r="H174" s="13">
        <f>IFERROR(__xludf.DUMMYFUNCTION("GOOGLEFINANCE(""NSE:""&amp;A174,""VOLUME"")"),213629)</f>
        <v/>
      </c>
      <c r="I174" s="13">
        <f>IFERROR(__xludf.DUMMYFUNCTION("AVERAGE(index(GOOGLEFINANCE(""NSE:""&amp;$A174, ""volume"", today()-21, today()-1), , 2))"),"#N/A")</f>
        <v/>
      </c>
      <c r="J174" s="14">
        <f>(H174-I174)/I174</f>
        <v/>
      </c>
      <c r="K174" s="13">
        <f>IFERROR(__xludf.DUMMYFUNCTION("AVERAGE(index(GOOGLEFINANCE(""NSE:""&amp;$A174, ""close"", today()-6, today()-1), , 2))"),"#N/A")</f>
        <v/>
      </c>
      <c r="L174" s="13">
        <f>IFERROR(__xludf.DUMMYFUNCTION("AVERAGE(index(GOOGLEFINANCE(""NSE:""&amp;$A174, ""close"", today()-14, today()-1), , 2))"),"#N/A")</f>
        <v/>
      </c>
      <c r="M174" s="13">
        <f>IFERROR(__xludf.DUMMYFUNCTION("AVERAGE(index(GOOGLEFINANCE(""NSE:""&amp;$A174, ""close"", today()-22, today()-1), , 2))"),"#N/A")</f>
        <v/>
      </c>
      <c r="N174" s="13">
        <f>AG174</f>
        <v/>
      </c>
      <c r="O174" s="13">
        <f>AI174</f>
        <v/>
      </c>
      <c r="P174" s="13">
        <f>W174</f>
        <v/>
      </c>
      <c r="Q174" s="13">
        <f>Y174</f>
        <v/>
      </c>
      <c r="R174" s="15" t="n"/>
      <c r="S174" s="15">
        <f>LEFT(W174,2)&amp;LEFT(Y174,2)</f>
        <v/>
      </c>
      <c r="T174" s="15" t="n"/>
      <c r="U174" s="15">
        <f>IF(K174&lt;L174,1,0)</f>
        <v/>
      </c>
      <c r="V174" s="15">
        <f>IF(H174&gt;I174,1,0)</f>
        <v/>
      </c>
      <c r="W174" s="15">
        <f>IF(SUM(U174:V174)=2,"Anticipatory_Sell","No_Action")</f>
        <v/>
      </c>
      <c r="X174" s="15" t="n"/>
      <c r="Y174" s="15">
        <f>IF(SUM(Z174:AA174)=2,"Confirm_Sell","No_Action")</f>
        <v/>
      </c>
      <c r="Z174" s="15">
        <f>IF(H174&gt;I174,1,0)</f>
        <v/>
      </c>
      <c r="AA174" s="15">
        <f>IF(K174&lt;M174,1,0)</f>
        <v/>
      </c>
      <c r="AB174" s="15" t="n"/>
      <c r="AC174" s="15">
        <f>LEFT(AG174,2)&amp;LEFT(AI174,2)</f>
        <v/>
      </c>
      <c r="AD174" s="15" t="n"/>
      <c r="AE174" s="15">
        <f>IF(K174&gt;L174,1,0)</f>
        <v/>
      </c>
      <c r="AF174" s="16">
        <f>IF(H174&gt;I174,1,0)</f>
        <v/>
      </c>
      <c r="AG174" s="16">
        <f>IF(SUM(AE174:AF174)=2,"Anticipatory_Buy","No_Action")</f>
        <v/>
      </c>
      <c r="AH174" s="15" t="n"/>
      <c r="AI174" s="15">
        <f>IF(SUM(AJ174:AK174)=2,"Confirm_Buy","No_Action")</f>
        <v/>
      </c>
      <c r="AJ174" s="15">
        <f>IF(H174&gt;I174,1,0)</f>
        <v/>
      </c>
      <c r="AK174" s="15">
        <f>IF(K174&gt;M174,1,0)</f>
        <v/>
      </c>
    </row>
    <row r="175" ht="14.5" customHeight="1">
      <c r="A175" s="12" t="inlineStr">
        <is>
          <t>KSL</t>
        </is>
      </c>
      <c r="B175" s="13">
        <f>IFERROR(__xludf.DUMMYFUNCTION("GOOGLEFINANCE(""NSE:""&amp;A175,""PRICE"")"),984.8)</f>
        <v/>
      </c>
      <c r="C175" s="13">
        <f>IFERROR(__xludf.DUMMYFUNCTION("GOOGLEFINANCE(""NSE:""&amp;A175,""PRICEOPEN"")"),955)</f>
        <v/>
      </c>
      <c r="D175" s="13">
        <f>IFERROR(__xludf.DUMMYFUNCTION("GOOGLEFINANCE(""NSE:""&amp;A175,""HIGH"")"),1006.6)</f>
        <v/>
      </c>
      <c r="E175" s="13">
        <f>IFERROR(__xludf.DUMMYFUNCTION("GOOGLEFINANCE(""NSE:""&amp;A175,""LOW"")"),955)</f>
        <v/>
      </c>
      <c r="F175" s="13">
        <f>IFERROR(__xludf.DUMMYFUNCTION("GOOGLEFINANCE(""NSE:""&amp;A175,""closeyest"")"),946.9)</f>
        <v/>
      </c>
      <c r="G175" s="14">
        <f>(B175-C175)/B175</f>
        <v/>
      </c>
      <c r="H175" s="13">
        <f>IFERROR(__xludf.DUMMYFUNCTION("GOOGLEFINANCE(""NSE:""&amp;A175,""VOLUME"")"),130189)</f>
        <v/>
      </c>
      <c r="I175" s="13">
        <f>IFERROR(__xludf.DUMMYFUNCTION("AVERAGE(index(GOOGLEFINANCE(""NSE:""&amp;$A175, ""volume"", today()-21, today()-1), , 2))"),"#N/A")</f>
        <v/>
      </c>
      <c r="J175" s="14">
        <f>(H175-I175)/I175</f>
        <v/>
      </c>
      <c r="K175" s="13">
        <f>IFERROR(__xludf.DUMMYFUNCTION("AVERAGE(index(GOOGLEFINANCE(""NSE:""&amp;$A175, ""close"", today()-6, today()-1), , 2))"),"#N/A")</f>
        <v/>
      </c>
      <c r="L175" s="13">
        <f>IFERROR(__xludf.DUMMYFUNCTION("AVERAGE(index(GOOGLEFINANCE(""NSE:""&amp;$A175, ""close"", today()-14, today()-1), , 2))"),"#N/A")</f>
        <v/>
      </c>
      <c r="M175" s="13">
        <f>IFERROR(__xludf.DUMMYFUNCTION("AVERAGE(index(GOOGLEFINANCE(""NSE:""&amp;$A175, ""close"", today()-22, today()-1), , 2))"),"#N/A")</f>
        <v/>
      </c>
      <c r="N175" s="13">
        <f>AG175</f>
        <v/>
      </c>
      <c r="O175" s="13">
        <f>AI175</f>
        <v/>
      </c>
      <c r="P175" s="13">
        <f>W175</f>
        <v/>
      </c>
      <c r="Q175" s="13">
        <f>Y175</f>
        <v/>
      </c>
      <c r="R175" s="15" t="n"/>
      <c r="S175" s="15">
        <f>LEFT(W175,2)&amp;LEFT(Y175,2)</f>
        <v/>
      </c>
      <c r="T175" s="15" t="n"/>
      <c r="U175" s="15">
        <f>IF(K175&lt;L175,1,0)</f>
        <v/>
      </c>
      <c r="V175" s="15">
        <f>IF(H175&gt;I175,1,0)</f>
        <v/>
      </c>
      <c r="W175" s="15">
        <f>IF(SUM(U175:V175)=2,"Anticipatory_Sell","No_Action")</f>
        <v/>
      </c>
      <c r="X175" s="15" t="n"/>
      <c r="Y175" s="15">
        <f>IF(SUM(Z175:AA175)=2,"Confirm_Sell","No_Action")</f>
        <v/>
      </c>
      <c r="Z175" s="15">
        <f>IF(H175&gt;I175,1,0)</f>
        <v/>
      </c>
      <c r="AA175" s="15">
        <f>IF(K175&lt;M175,1,0)</f>
        <v/>
      </c>
      <c r="AB175" s="15" t="n"/>
      <c r="AC175" s="15">
        <f>LEFT(AG175,2)&amp;LEFT(AI175,2)</f>
        <v/>
      </c>
      <c r="AD175" s="15" t="n"/>
      <c r="AE175" s="15">
        <f>IF(K175&gt;L175,1,0)</f>
        <v/>
      </c>
      <c r="AF175" s="16">
        <f>IF(H175&gt;I175,1,0)</f>
        <v/>
      </c>
      <c r="AG175" s="16">
        <f>IF(SUM(AE175:AF175)=2,"Anticipatory_Buy","No_Action")</f>
        <v/>
      </c>
      <c r="AH175" s="15" t="n"/>
      <c r="AI175" s="15">
        <f>IF(SUM(AJ175:AK175)=2,"Confirm_Buy","No_Action")</f>
        <v/>
      </c>
      <c r="AJ175" s="15">
        <f>IF(H175&gt;I175,1,0)</f>
        <v/>
      </c>
      <c r="AK175" s="15">
        <f>IF(K175&gt;M175,1,0)</f>
        <v/>
      </c>
    </row>
    <row r="176" ht="14.5" customHeight="1">
      <c r="A176" s="12" t="inlineStr">
        <is>
          <t>KANSAINER</t>
        </is>
      </c>
      <c r="B176" s="13">
        <f>IFERROR(__xludf.DUMMYFUNCTION("GOOGLEFINANCE(""NSE:""&amp;A176,""PRICE"")"),274.5)</f>
        <v/>
      </c>
      <c r="C176" s="13">
        <f>IFERROR(__xludf.DUMMYFUNCTION("GOOGLEFINANCE(""NSE:""&amp;A176,""PRICEOPEN"")"),277.9)</f>
        <v/>
      </c>
      <c r="D176" s="13">
        <f>IFERROR(__xludf.DUMMYFUNCTION("GOOGLEFINANCE(""NSE:""&amp;A176,""HIGH"")"),279)</f>
        <v/>
      </c>
      <c r="E176" s="13">
        <f>IFERROR(__xludf.DUMMYFUNCTION("GOOGLEFINANCE(""NSE:""&amp;A176,""LOW"")"),271.1)</f>
        <v/>
      </c>
      <c r="F176" s="13">
        <f>IFERROR(__xludf.DUMMYFUNCTION("GOOGLEFINANCE(""NSE:""&amp;A176,""closeyest"")"),277.85)</f>
        <v/>
      </c>
      <c r="G176" s="14">
        <f>(B176-C176)/B176</f>
        <v/>
      </c>
      <c r="H176" s="13">
        <f>IFERROR(__xludf.DUMMYFUNCTION("GOOGLEFINANCE(""NSE:""&amp;A176,""VOLUME"")"),178865)</f>
        <v/>
      </c>
      <c r="I176" s="13">
        <f>IFERROR(__xludf.DUMMYFUNCTION("AVERAGE(index(GOOGLEFINANCE(""NSE:""&amp;$A176, ""volume"", today()-21, today()-1), , 2))"),"#N/A")</f>
        <v/>
      </c>
      <c r="J176" s="14">
        <f>(H176-I176)/I176</f>
        <v/>
      </c>
      <c r="K176" s="13">
        <f>IFERROR(__xludf.DUMMYFUNCTION("AVERAGE(index(GOOGLEFINANCE(""NSE:""&amp;$A176, ""close"", today()-6, today()-1), , 2))"),"#N/A")</f>
        <v/>
      </c>
      <c r="L176" s="13">
        <f>IFERROR(__xludf.DUMMYFUNCTION("AVERAGE(index(GOOGLEFINANCE(""NSE:""&amp;$A176, ""close"", today()-14, today()-1), , 2))"),"#N/A")</f>
        <v/>
      </c>
      <c r="M176" s="13">
        <f>IFERROR(__xludf.DUMMYFUNCTION("AVERAGE(index(GOOGLEFINANCE(""NSE:""&amp;$A176, ""close"", today()-22, today()-1), , 2))"),"#N/A")</f>
        <v/>
      </c>
      <c r="N176" s="13">
        <f>AG176</f>
        <v/>
      </c>
      <c r="O176" s="13">
        <f>AI176</f>
        <v/>
      </c>
      <c r="P176" s="13">
        <f>W176</f>
        <v/>
      </c>
      <c r="Q176" s="13">
        <f>Y176</f>
        <v/>
      </c>
      <c r="R176" s="15" t="n"/>
      <c r="S176" s="15">
        <f>LEFT(W176,2)&amp;LEFT(Y176,2)</f>
        <v/>
      </c>
      <c r="T176" s="15" t="n"/>
      <c r="U176" s="15">
        <f>IF(K176&lt;L176,1,0)</f>
        <v/>
      </c>
      <c r="V176" s="15">
        <f>IF(H176&gt;I176,1,0)</f>
        <v/>
      </c>
      <c r="W176" s="15">
        <f>IF(SUM(U176:V176)=2,"Anticipatory_Sell","No_Action")</f>
        <v/>
      </c>
      <c r="X176" s="15" t="n"/>
      <c r="Y176" s="15">
        <f>IF(SUM(Z176:AA176)=2,"Confirm_Sell","No_Action")</f>
        <v/>
      </c>
      <c r="Z176" s="15">
        <f>IF(H176&gt;I176,1,0)</f>
        <v/>
      </c>
      <c r="AA176" s="15">
        <f>IF(K176&lt;M176,1,0)</f>
        <v/>
      </c>
      <c r="AB176" s="15" t="n"/>
      <c r="AC176" s="15">
        <f>LEFT(AG176,2)&amp;LEFT(AI176,2)</f>
        <v/>
      </c>
      <c r="AD176" s="15" t="n"/>
      <c r="AE176" s="15">
        <f>IF(K176&gt;L176,1,0)</f>
        <v/>
      </c>
      <c r="AF176" s="16">
        <f>IF(H176&gt;I176,1,0)</f>
        <v/>
      </c>
      <c r="AG176" s="16">
        <f>IF(SUM(AE176:AF176)=2,"Anticipatory_Buy","No_Action")</f>
        <v/>
      </c>
      <c r="AH176" s="15" t="n"/>
      <c r="AI176" s="15">
        <f>IF(SUM(AJ176:AK176)=2,"Confirm_Buy","No_Action")</f>
        <v/>
      </c>
      <c r="AJ176" s="15">
        <f>IF(H176&gt;I176,1,0)</f>
        <v/>
      </c>
      <c r="AK176" s="15">
        <f>IF(K176&gt;M176,1,0)</f>
        <v/>
      </c>
    </row>
    <row r="177" ht="14.5" customHeight="1">
      <c r="A177" s="12" t="inlineStr">
        <is>
          <t>KSCL</t>
        </is>
      </c>
      <c r="B177" s="13">
        <f>IFERROR(__xludf.DUMMYFUNCTION("GOOGLEFINANCE(""NSE:""&amp;A177,""PRICE"")"),940.1)</f>
        <v/>
      </c>
      <c r="C177" s="13">
        <f>IFERROR(__xludf.DUMMYFUNCTION("GOOGLEFINANCE(""NSE:""&amp;A177,""PRICEOPEN"")"),946.5)</f>
        <v/>
      </c>
      <c r="D177" s="13">
        <f>IFERROR(__xludf.DUMMYFUNCTION("GOOGLEFINANCE(""NSE:""&amp;A177,""HIGH"")"),954.75)</f>
        <v/>
      </c>
      <c r="E177" s="13">
        <f>IFERROR(__xludf.DUMMYFUNCTION("GOOGLEFINANCE(""NSE:""&amp;A177,""LOW"")"),931.55)</f>
        <v/>
      </c>
      <c r="F177" s="13">
        <f>IFERROR(__xludf.DUMMYFUNCTION("GOOGLEFINANCE(""NSE:""&amp;A177,""closeyest"")"),939.1)</f>
        <v/>
      </c>
      <c r="G177" s="14">
        <f>(B177-C177)/B177</f>
        <v/>
      </c>
      <c r="H177" s="13">
        <f>IFERROR(__xludf.DUMMYFUNCTION("GOOGLEFINANCE(""NSE:""&amp;A177,""VOLUME"")"),62678)</f>
        <v/>
      </c>
      <c r="I177" s="13">
        <f>IFERROR(__xludf.DUMMYFUNCTION("AVERAGE(index(GOOGLEFINANCE(""NSE:""&amp;$A177, ""volume"", today()-21, today()-1), , 2))"),"#N/A")</f>
        <v/>
      </c>
      <c r="J177" s="14">
        <f>(H177-I177)/I177</f>
        <v/>
      </c>
      <c r="K177" s="13">
        <f>IFERROR(__xludf.DUMMYFUNCTION("AVERAGE(index(GOOGLEFINANCE(""NSE:""&amp;$A177, ""close"", today()-6, today()-1), , 2))"),"#N/A")</f>
        <v/>
      </c>
      <c r="L177" s="13">
        <f>IFERROR(__xludf.DUMMYFUNCTION("AVERAGE(index(GOOGLEFINANCE(""NSE:""&amp;$A177, ""close"", today()-14, today()-1), , 2))"),"#N/A")</f>
        <v/>
      </c>
      <c r="M177" s="13">
        <f>IFERROR(__xludf.DUMMYFUNCTION("AVERAGE(index(GOOGLEFINANCE(""NSE:""&amp;$A177, ""close"", today()-22, today()-1), , 2))"),"#N/A")</f>
        <v/>
      </c>
      <c r="N177" s="13">
        <f>AG177</f>
        <v/>
      </c>
      <c r="O177" s="13">
        <f>AI177</f>
        <v/>
      </c>
      <c r="P177" s="13">
        <f>W177</f>
        <v/>
      </c>
      <c r="Q177" s="13">
        <f>Y177</f>
        <v/>
      </c>
      <c r="R177" s="15" t="n"/>
      <c r="S177" s="15">
        <f>LEFT(W177,2)&amp;LEFT(Y177,2)</f>
        <v/>
      </c>
      <c r="T177" s="15" t="n"/>
      <c r="U177" s="15">
        <f>IF(K177&lt;L177,1,0)</f>
        <v/>
      </c>
      <c r="V177" s="15">
        <f>IF(H177&gt;I177,1,0)</f>
        <v/>
      </c>
      <c r="W177" s="15">
        <f>IF(SUM(U177:V177)=2,"Anticipatory_Sell","No_Action")</f>
        <v/>
      </c>
      <c r="X177" s="15" t="n"/>
      <c r="Y177" s="15">
        <f>IF(SUM(Z177:AA177)=2,"Confirm_Sell","No_Action")</f>
        <v/>
      </c>
      <c r="Z177" s="15">
        <f>IF(H177&gt;I177,1,0)</f>
        <v/>
      </c>
      <c r="AA177" s="15">
        <f>IF(K177&lt;M177,1,0)</f>
        <v/>
      </c>
      <c r="AB177" s="15" t="n"/>
      <c r="AC177" s="15">
        <f>LEFT(AG177,2)&amp;LEFT(AI177,2)</f>
        <v/>
      </c>
      <c r="AD177" s="15" t="n"/>
      <c r="AE177" s="15">
        <f>IF(K177&gt;L177,1,0)</f>
        <v/>
      </c>
      <c r="AF177" s="16">
        <f>IF(H177&gt;I177,1,0)</f>
        <v/>
      </c>
      <c r="AG177" s="16">
        <f>IF(SUM(AE177:AF177)=2,"Anticipatory_Buy","No_Action")</f>
        <v/>
      </c>
      <c r="AH177" s="15" t="n"/>
      <c r="AI177" s="15">
        <f>IF(SUM(AJ177:AK177)=2,"Confirm_Buy","No_Action")</f>
        <v/>
      </c>
      <c r="AJ177" s="15">
        <f>IF(H177&gt;I177,1,0)</f>
        <v/>
      </c>
      <c r="AK177" s="15">
        <f>IF(K177&gt;M177,1,0)</f>
        <v/>
      </c>
    </row>
    <row r="178" ht="14.5" customHeight="1">
      <c r="A178" s="12" t="inlineStr">
        <is>
          <t>KAYNES</t>
        </is>
      </c>
      <c r="B178" s="13">
        <f>IFERROR(__xludf.DUMMYFUNCTION("GOOGLEFINANCE(""NSE:""&amp;A178,""PRICE"")"),6300)</f>
        <v/>
      </c>
      <c r="C178" s="13">
        <f>IFERROR(__xludf.DUMMYFUNCTION("GOOGLEFINANCE(""NSE:""&amp;A178,""PRICEOPEN"")"),6250)</f>
        <v/>
      </c>
      <c r="D178" s="13">
        <f>IFERROR(__xludf.DUMMYFUNCTION("GOOGLEFINANCE(""NSE:""&amp;A178,""HIGH"")"),6322.75)</f>
        <v/>
      </c>
      <c r="E178" s="13">
        <f>IFERROR(__xludf.DUMMYFUNCTION("GOOGLEFINANCE(""NSE:""&amp;A178,""LOW"")"),6191)</f>
        <v/>
      </c>
      <c r="F178" s="13">
        <f>IFERROR(__xludf.DUMMYFUNCTION("GOOGLEFINANCE(""NSE:""&amp;A178,""closeyest"")"),6232.7)</f>
        <v/>
      </c>
      <c r="G178" s="14">
        <f>(B178-C178)/B178</f>
        <v/>
      </c>
      <c r="H178" s="13">
        <f>IFERROR(__xludf.DUMMYFUNCTION("GOOGLEFINANCE(""NSE:""&amp;A178,""VOLUME"")"),247257)</f>
        <v/>
      </c>
      <c r="I178" s="13">
        <f>IFERROR(__xludf.DUMMYFUNCTION("AVERAGE(index(GOOGLEFINANCE(""NSE:""&amp;$A178, ""volume"", today()-21, today()-1), , 2))"),"#N/A")</f>
        <v/>
      </c>
      <c r="J178" s="14">
        <f>(H178-I178)/I178</f>
        <v/>
      </c>
      <c r="K178" s="13">
        <f>IFERROR(__xludf.DUMMYFUNCTION("AVERAGE(index(GOOGLEFINANCE(""NSE:""&amp;$A178, ""close"", today()-6, today()-1), , 2))"),"#N/A")</f>
        <v/>
      </c>
      <c r="L178" s="13">
        <f>IFERROR(__xludf.DUMMYFUNCTION("AVERAGE(index(GOOGLEFINANCE(""NSE:""&amp;$A178, ""close"", today()-14, today()-1), , 2))"),"#N/A")</f>
        <v/>
      </c>
      <c r="M178" s="13">
        <f>IFERROR(__xludf.DUMMYFUNCTION("AVERAGE(index(GOOGLEFINANCE(""NSE:""&amp;$A178, ""close"", today()-22, today()-1), , 2))"),"#N/A")</f>
        <v/>
      </c>
      <c r="N178" s="13">
        <f>AG178</f>
        <v/>
      </c>
      <c r="O178" s="13">
        <f>AI178</f>
        <v/>
      </c>
      <c r="P178" s="13">
        <f>W178</f>
        <v/>
      </c>
      <c r="Q178" s="13">
        <f>Y178</f>
        <v/>
      </c>
      <c r="R178" s="15" t="n"/>
      <c r="S178" s="15">
        <f>LEFT(W178,2)&amp;LEFT(Y178,2)</f>
        <v/>
      </c>
      <c r="T178" s="15" t="n"/>
      <c r="U178" s="15">
        <f>IF(K178&lt;L178,1,0)</f>
        <v/>
      </c>
      <c r="V178" s="15">
        <f>IF(H178&gt;I178,1,0)</f>
        <v/>
      </c>
      <c r="W178" s="15">
        <f>IF(SUM(U178:V178)=2,"Anticipatory_Sell","No_Action")</f>
        <v/>
      </c>
      <c r="X178" s="15" t="n"/>
      <c r="Y178" s="15">
        <f>IF(SUM(Z178:AA178)=2,"Confirm_Sell","No_Action")</f>
        <v/>
      </c>
      <c r="Z178" s="15">
        <f>IF(H178&gt;I178,1,0)</f>
        <v/>
      </c>
      <c r="AA178" s="15">
        <f>IF(K178&lt;M178,1,0)</f>
        <v/>
      </c>
      <c r="AB178" s="15" t="n"/>
      <c r="AC178" s="15">
        <f>LEFT(AG178,2)&amp;LEFT(AI178,2)</f>
        <v/>
      </c>
      <c r="AD178" s="15" t="n"/>
      <c r="AE178" s="15">
        <f>IF(K178&gt;L178,1,0)</f>
        <v/>
      </c>
      <c r="AF178" s="16">
        <f>IF(H178&gt;I178,1,0)</f>
        <v/>
      </c>
      <c r="AG178" s="16">
        <f>IF(SUM(AE178:AF178)=2,"Anticipatory_Buy","No_Action")</f>
        <v/>
      </c>
      <c r="AH178" s="15" t="n"/>
      <c r="AI178" s="15">
        <f>IF(SUM(AJ178:AK178)=2,"Confirm_Buy","No_Action")</f>
        <v/>
      </c>
      <c r="AJ178" s="15">
        <f>IF(H178&gt;I178,1,0)</f>
        <v/>
      </c>
      <c r="AK178" s="15">
        <f>IF(K178&gt;M178,1,0)</f>
        <v/>
      </c>
    </row>
    <row r="179" ht="14.5" customHeight="1">
      <c r="A179" s="12" t="inlineStr">
        <is>
          <t>KDDL</t>
        </is>
      </c>
      <c r="B179" s="13">
        <f>IFERROR(__xludf.DUMMYFUNCTION("GOOGLEFINANCE(""NSE:""&amp;A179,""PRICE"")"),2940)</f>
        <v/>
      </c>
      <c r="C179" s="13">
        <f>IFERROR(__xludf.DUMMYFUNCTION("GOOGLEFINANCE(""NSE:""&amp;A179,""PRICEOPEN"")"),2942.2)</f>
        <v/>
      </c>
      <c r="D179" s="13">
        <f>IFERROR(__xludf.DUMMYFUNCTION("GOOGLEFINANCE(""NSE:""&amp;A179,""HIGH"")"),2980)</f>
        <v/>
      </c>
      <c r="E179" s="13">
        <f>IFERROR(__xludf.DUMMYFUNCTION("GOOGLEFINANCE(""NSE:""&amp;A179,""LOW"")"),2895)</f>
        <v/>
      </c>
      <c r="F179" s="13">
        <f>IFERROR(__xludf.DUMMYFUNCTION("GOOGLEFINANCE(""NSE:""&amp;A179,""closeyest"")"),2942.2)</f>
        <v/>
      </c>
      <c r="G179" s="14">
        <f>(B179-C179)/B179</f>
        <v/>
      </c>
      <c r="H179" s="13">
        <f>IFERROR(__xludf.DUMMYFUNCTION("GOOGLEFINANCE(""NSE:""&amp;A179,""VOLUME"")"),12320)</f>
        <v/>
      </c>
      <c r="I179" s="13">
        <f>IFERROR(__xludf.DUMMYFUNCTION("AVERAGE(index(GOOGLEFINANCE(""NSE:""&amp;$A179, ""volume"", today()-21, today()-1), , 2))"),"#N/A")</f>
        <v/>
      </c>
      <c r="J179" s="14">
        <f>(H179-I179)/I179</f>
        <v/>
      </c>
      <c r="K179" s="13">
        <f>IFERROR(__xludf.DUMMYFUNCTION("AVERAGE(index(GOOGLEFINANCE(""NSE:""&amp;$A179, ""close"", today()-6, today()-1), , 2))"),"#N/A")</f>
        <v/>
      </c>
      <c r="L179" s="13">
        <f>IFERROR(__xludf.DUMMYFUNCTION("AVERAGE(index(GOOGLEFINANCE(""NSE:""&amp;$A179, ""close"", today()-14, today()-1), , 2))"),"#N/A")</f>
        <v/>
      </c>
      <c r="M179" s="13">
        <f>IFERROR(__xludf.DUMMYFUNCTION("AVERAGE(index(GOOGLEFINANCE(""NSE:""&amp;$A179, ""close"", today()-22, today()-1), , 2))"),"#N/A")</f>
        <v/>
      </c>
      <c r="N179" s="13">
        <f>AG179</f>
        <v/>
      </c>
      <c r="O179" s="13">
        <f>AI179</f>
        <v/>
      </c>
      <c r="P179" s="13">
        <f>W179</f>
        <v/>
      </c>
      <c r="Q179" s="13">
        <f>Y179</f>
        <v/>
      </c>
      <c r="R179" s="15" t="n"/>
      <c r="S179" s="15">
        <f>LEFT(W179,2)&amp;LEFT(Y179,2)</f>
        <v/>
      </c>
      <c r="T179" s="15" t="n"/>
      <c r="U179" s="15">
        <f>IF(K179&lt;L179,1,0)</f>
        <v/>
      </c>
      <c r="V179" s="15">
        <f>IF(H179&gt;I179,1,0)</f>
        <v/>
      </c>
      <c r="W179" s="15">
        <f>IF(SUM(U179:V179)=2,"Anticipatory_Sell","No_Action")</f>
        <v/>
      </c>
      <c r="X179" s="15" t="n"/>
      <c r="Y179" s="15">
        <f>IF(SUM(Z179:AA179)=2,"Confirm_Sell","No_Action")</f>
        <v/>
      </c>
      <c r="Z179" s="15">
        <f>IF(H179&gt;I179,1,0)</f>
        <v/>
      </c>
      <c r="AA179" s="15">
        <f>IF(K179&lt;M179,1,0)</f>
        <v/>
      </c>
      <c r="AB179" s="15" t="n"/>
      <c r="AC179" s="15">
        <f>LEFT(AG179,2)&amp;LEFT(AI179,2)</f>
        <v/>
      </c>
      <c r="AD179" s="15" t="n"/>
      <c r="AE179" s="15">
        <f>IF(K179&gt;L179,1,0)</f>
        <v/>
      </c>
      <c r="AF179" s="16">
        <f>IF(H179&gt;I179,1,0)</f>
        <v/>
      </c>
      <c r="AG179" s="16">
        <f>IF(SUM(AE179:AF179)=2,"Anticipatory_Buy","No_Action")</f>
        <v/>
      </c>
      <c r="AH179" s="15" t="n"/>
      <c r="AI179" s="15">
        <f>IF(SUM(AJ179:AK179)=2,"Confirm_Buy","No_Action")</f>
        <v/>
      </c>
      <c r="AJ179" s="15">
        <f>IF(H179&gt;I179,1,0)</f>
        <v/>
      </c>
      <c r="AK179" s="15">
        <f>IF(K179&gt;M179,1,0)</f>
        <v/>
      </c>
    </row>
    <row r="180" ht="14.5" customHeight="1">
      <c r="A180" s="12" t="inlineStr">
        <is>
          <t>KEI</t>
        </is>
      </c>
      <c r="B180" s="13">
        <f>IFERROR(__xludf.DUMMYFUNCTION("GOOGLEFINANCE(""NSE:""&amp;A180,""PRICE"")"),4479.9)</f>
        <v/>
      </c>
      <c r="C180" s="13">
        <f>IFERROR(__xludf.DUMMYFUNCTION("GOOGLEFINANCE(""NSE:""&amp;A180,""PRICEOPEN"")"),4510)</f>
        <v/>
      </c>
      <c r="D180" s="13">
        <f>IFERROR(__xludf.DUMMYFUNCTION("GOOGLEFINANCE(""NSE:""&amp;A180,""HIGH"")"),4520)</f>
        <v/>
      </c>
      <c r="E180" s="13">
        <f>IFERROR(__xludf.DUMMYFUNCTION("GOOGLEFINANCE(""NSE:""&amp;A180,""LOW"")"),4471.05)</f>
        <v/>
      </c>
      <c r="F180" s="13">
        <f>IFERROR(__xludf.DUMMYFUNCTION("GOOGLEFINANCE(""NSE:""&amp;A180,""closeyest"")"),4500.35)</f>
        <v/>
      </c>
      <c r="G180" s="14">
        <f>(B180-C180)/B180</f>
        <v/>
      </c>
      <c r="H180" s="13">
        <f>IFERROR(__xludf.DUMMYFUNCTION("GOOGLEFINANCE(""NSE:""&amp;A180,""VOLUME"")"),226946)</f>
        <v/>
      </c>
      <c r="I180" s="13">
        <f>IFERROR(__xludf.DUMMYFUNCTION("AVERAGE(index(GOOGLEFINANCE(""NSE:""&amp;$A180, ""volume"", today()-21, today()-1), , 2))"),"#N/A")</f>
        <v/>
      </c>
      <c r="J180" s="14">
        <f>(H180-I180)/I180</f>
        <v/>
      </c>
      <c r="K180" s="13">
        <f>IFERROR(__xludf.DUMMYFUNCTION("AVERAGE(index(GOOGLEFINANCE(""NSE:""&amp;$A180, ""close"", today()-6, today()-1), , 2))"),"#N/A")</f>
        <v/>
      </c>
      <c r="L180" s="13">
        <f>IFERROR(__xludf.DUMMYFUNCTION("AVERAGE(index(GOOGLEFINANCE(""NSE:""&amp;$A180, ""close"", today()-14, today()-1), , 2))"),"#N/A")</f>
        <v/>
      </c>
      <c r="M180" s="13">
        <f>IFERROR(__xludf.DUMMYFUNCTION("AVERAGE(index(GOOGLEFINANCE(""NSE:""&amp;$A180, ""close"", today()-22, today()-1), , 2))"),"#N/A")</f>
        <v/>
      </c>
      <c r="N180" s="13">
        <f>AG180</f>
        <v/>
      </c>
      <c r="O180" s="13">
        <f>AI180</f>
        <v/>
      </c>
      <c r="P180" s="13">
        <f>W180</f>
        <v/>
      </c>
      <c r="Q180" s="13">
        <f>Y180</f>
        <v/>
      </c>
      <c r="R180" s="15" t="n"/>
      <c r="S180" s="15">
        <f>LEFT(W180,2)&amp;LEFT(Y180,2)</f>
        <v/>
      </c>
      <c r="T180" s="15" t="n"/>
      <c r="U180" s="15">
        <f>IF(K180&lt;L180,1,0)</f>
        <v/>
      </c>
      <c r="V180" s="15">
        <f>IF(H180&gt;I180,1,0)</f>
        <v/>
      </c>
      <c r="W180" s="15">
        <f>IF(SUM(U180:V180)=2,"Anticipatory_Sell","No_Action")</f>
        <v/>
      </c>
      <c r="X180" s="15" t="n"/>
      <c r="Y180" s="15">
        <f>IF(SUM(Z180:AA180)=2,"Confirm_Sell","No_Action")</f>
        <v/>
      </c>
      <c r="Z180" s="15">
        <f>IF(H180&gt;I180,1,0)</f>
        <v/>
      </c>
      <c r="AA180" s="15">
        <f>IF(K180&lt;M180,1,0)</f>
        <v/>
      </c>
      <c r="AB180" s="15" t="n"/>
      <c r="AC180" s="15">
        <f>LEFT(AG180,2)&amp;LEFT(AI180,2)</f>
        <v/>
      </c>
      <c r="AD180" s="15" t="n"/>
      <c r="AE180" s="15">
        <f>IF(K180&gt;L180,1,0)</f>
        <v/>
      </c>
      <c r="AF180" s="16">
        <f>IF(H180&gt;I180,1,0)</f>
        <v/>
      </c>
      <c r="AG180" s="16">
        <f>IF(SUM(AE180:AF180)=2,"Anticipatory_Buy","No_Action")</f>
        <v/>
      </c>
      <c r="AH180" s="15" t="n"/>
      <c r="AI180" s="15">
        <f>IF(SUM(AJ180:AK180)=2,"Confirm_Buy","No_Action")</f>
        <v/>
      </c>
      <c r="AJ180" s="15">
        <f>IF(H180&gt;I180,1,0)</f>
        <v/>
      </c>
      <c r="AK180" s="15">
        <f>IF(K180&gt;M180,1,0)</f>
        <v/>
      </c>
    </row>
    <row r="181" ht="14.5" customHeight="1">
      <c r="A181" s="12" t="inlineStr">
        <is>
          <t>KENNAMET</t>
        </is>
      </c>
      <c r="B181" s="13">
        <f>IFERROR(__xludf.DUMMYFUNCTION("GOOGLEFINANCE(""NSE:""&amp;A181,""PRICE"")"),"#N/A")</f>
        <v/>
      </c>
      <c r="C181" s="13">
        <f>IFERROR(__xludf.DUMMYFUNCTION("GOOGLEFINANCE(""NSE:""&amp;A181,""PRICEOPEN"")"),"#N/A")</f>
        <v/>
      </c>
      <c r="D181" s="13">
        <f>IFERROR(__xludf.DUMMYFUNCTION("GOOGLEFINANCE(""NSE:""&amp;A181,""HIGH"")"),"#N/A")</f>
        <v/>
      </c>
      <c r="E181" s="13">
        <f>IFERROR(__xludf.DUMMYFUNCTION("GOOGLEFINANCE(""NSE:""&amp;A181,""LOW"")"),"#N/A")</f>
        <v/>
      </c>
      <c r="F181" s="13">
        <f>IFERROR(__xludf.DUMMYFUNCTION("GOOGLEFINANCE(""NSE:""&amp;A181,""closeyest"")"),"#N/A")</f>
        <v/>
      </c>
      <c r="G181" s="14">
        <f>(B181-C181)/B181</f>
        <v/>
      </c>
      <c r="H181" s="13">
        <f>IFERROR(__xludf.DUMMYFUNCTION("GOOGLEFINANCE(""NSE:""&amp;A181,""VOLUME"")"),"#N/A")</f>
        <v/>
      </c>
      <c r="I181" s="13">
        <f>IFERROR(__xludf.DUMMYFUNCTION("AVERAGE(index(GOOGLEFINANCE(""NSE:""&amp;$A181, ""volume"", today()-21, today()-1), , 2))"),"#N/A")</f>
        <v/>
      </c>
      <c r="J181" s="14">
        <f>(H181-I181)/I181</f>
        <v/>
      </c>
      <c r="K181" s="13">
        <f>IFERROR(__xludf.DUMMYFUNCTION("AVERAGE(index(GOOGLEFINANCE(""NSE:""&amp;$A181, ""close"", today()-6, today()-1), , 2))"),"#N/A")</f>
        <v/>
      </c>
      <c r="L181" s="13">
        <f>IFERROR(__xludf.DUMMYFUNCTION("AVERAGE(index(GOOGLEFINANCE(""NSE:""&amp;$A181, ""close"", today()-14, today()-1), , 2))"),"#N/A")</f>
        <v/>
      </c>
      <c r="M181" s="13">
        <f>IFERROR(__xludf.DUMMYFUNCTION("AVERAGE(index(GOOGLEFINANCE(""NSE:""&amp;$A181, ""close"", today()-22, today()-1), , 2))"),"#N/A")</f>
        <v/>
      </c>
      <c r="N181" s="13">
        <f>AG181</f>
        <v/>
      </c>
      <c r="O181" s="13">
        <f>AI181</f>
        <v/>
      </c>
      <c r="P181" s="13">
        <f>W181</f>
        <v/>
      </c>
      <c r="Q181" s="13">
        <f>Y181</f>
        <v/>
      </c>
      <c r="R181" s="15" t="n"/>
      <c r="S181" s="15">
        <f>LEFT(W181,2)&amp;LEFT(Y181,2)</f>
        <v/>
      </c>
      <c r="T181" s="15" t="n"/>
      <c r="U181" s="15">
        <f>IF(K181&lt;L181,1,0)</f>
        <v/>
      </c>
      <c r="V181" s="15">
        <f>IF(H181&gt;I181,1,0)</f>
        <v/>
      </c>
      <c r="W181" s="15">
        <f>IF(SUM(U181:V181)=2,"Anticipatory_Sell","No_Action")</f>
        <v/>
      </c>
      <c r="X181" s="15" t="n"/>
      <c r="Y181" s="15">
        <f>IF(SUM(Z181:AA181)=2,"Confirm_Sell","No_Action")</f>
        <v/>
      </c>
      <c r="Z181" s="15">
        <f>IF(H181&gt;I181,1,0)</f>
        <v/>
      </c>
      <c r="AA181" s="15">
        <f>IF(K181&lt;M181,1,0)</f>
        <v/>
      </c>
      <c r="AB181" s="15" t="n"/>
      <c r="AC181" s="15">
        <f>LEFT(AG181,2)&amp;LEFT(AI181,2)</f>
        <v/>
      </c>
      <c r="AD181" s="15" t="n"/>
      <c r="AE181" s="15">
        <f>IF(K181&gt;L181,1,0)</f>
        <v/>
      </c>
      <c r="AF181" s="16">
        <f>IF(H181&gt;I181,1,0)</f>
        <v/>
      </c>
      <c r="AG181" s="16">
        <f>IF(SUM(AE181:AF181)=2,"Anticipatory_Buy","No_Action")</f>
        <v/>
      </c>
      <c r="AH181" s="15" t="n"/>
      <c r="AI181" s="15">
        <f>IF(SUM(AJ181:AK181)=2,"Confirm_Buy","No_Action")</f>
        <v/>
      </c>
      <c r="AJ181" s="15">
        <f>IF(H181&gt;I181,1,0)</f>
        <v/>
      </c>
      <c r="AK181" s="15">
        <f>IF(K181&gt;M181,1,0)</f>
        <v/>
      </c>
    </row>
    <row r="182" ht="14.5" customHeight="1">
      <c r="A182" s="12" t="inlineStr">
        <is>
          <t>KKCL</t>
        </is>
      </c>
      <c r="B182" s="13">
        <f>IFERROR(__xludf.DUMMYFUNCTION("GOOGLEFINANCE(""NSE:""&amp;A182,""PRICE"")"),615)</f>
        <v/>
      </c>
      <c r="C182" s="13">
        <f>IFERROR(__xludf.DUMMYFUNCTION("GOOGLEFINANCE(""NSE:""&amp;A182,""PRICEOPEN"")"),623.8)</f>
        <v/>
      </c>
      <c r="D182" s="13">
        <f>IFERROR(__xludf.DUMMYFUNCTION("GOOGLEFINANCE(""NSE:""&amp;A182,""HIGH"")"),633.7)</f>
        <v/>
      </c>
      <c r="E182" s="13">
        <f>IFERROR(__xludf.DUMMYFUNCTION("GOOGLEFINANCE(""NSE:""&amp;A182,""LOW"")"),609.95)</f>
        <v/>
      </c>
      <c r="F182" s="13">
        <f>IFERROR(__xludf.DUMMYFUNCTION("GOOGLEFINANCE(""NSE:""&amp;A182,""closeyest"")"),616.8)</f>
        <v/>
      </c>
      <c r="G182" s="14">
        <f>(B182-C182)/B182</f>
        <v/>
      </c>
      <c r="H182" s="13">
        <f>IFERROR(__xludf.DUMMYFUNCTION("GOOGLEFINANCE(""NSE:""&amp;A182,""VOLUME"")"),64021)</f>
        <v/>
      </c>
      <c r="I182" s="13">
        <f>IFERROR(__xludf.DUMMYFUNCTION("AVERAGE(index(GOOGLEFINANCE(""NSE:""&amp;$A182, ""volume"", today()-21, today()-1), , 2))"),"#N/A")</f>
        <v/>
      </c>
      <c r="J182" s="14">
        <f>(H182-I182)/I182</f>
        <v/>
      </c>
      <c r="K182" s="13">
        <f>IFERROR(__xludf.DUMMYFUNCTION("AVERAGE(index(GOOGLEFINANCE(""NSE:""&amp;$A182, ""close"", today()-6, today()-1), , 2))"),"#N/A")</f>
        <v/>
      </c>
      <c r="L182" s="13">
        <f>IFERROR(__xludf.DUMMYFUNCTION("AVERAGE(index(GOOGLEFINANCE(""NSE:""&amp;$A182, ""close"", today()-14, today()-1), , 2))"),"#N/A")</f>
        <v/>
      </c>
      <c r="M182" s="13">
        <f>IFERROR(__xludf.DUMMYFUNCTION("AVERAGE(index(GOOGLEFINANCE(""NSE:""&amp;$A182, ""close"", today()-22, today()-1), , 2))"),"#N/A")</f>
        <v/>
      </c>
      <c r="N182" s="13">
        <f>AG182</f>
        <v/>
      </c>
      <c r="O182" s="13">
        <f>AI182</f>
        <v/>
      </c>
      <c r="P182" s="13">
        <f>W182</f>
        <v/>
      </c>
      <c r="Q182" s="13">
        <f>Y182</f>
        <v/>
      </c>
      <c r="R182" s="15" t="n"/>
      <c r="S182" s="15">
        <f>LEFT(W182,2)&amp;LEFT(Y182,2)</f>
        <v/>
      </c>
      <c r="T182" s="15" t="n"/>
      <c r="U182" s="15">
        <f>IF(K182&lt;L182,1,0)</f>
        <v/>
      </c>
      <c r="V182" s="15">
        <f>IF(H182&gt;I182,1,0)</f>
        <v/>
      </c>
      <c r="W182" s="15">
        <f>IF(SUM(U182:V182)=2,"Anticipatory_Sell","No_Action")</f>
        <v/>
      </c>
      <c r="X182" s="15" t="n"/>
      <c r="Y182" s="15">
        <f>IF(SUM(Z182:AA182)=2,"Confirm_Sell","No_Action")</f>
        <v/>
      </c>
      <c r="Z182" s="15">
        <f>IF(H182&gt;I182,1,0)</f>
        <v/>
      </c>
      <c r="AA182" s="15">
        <f>IF(K182&lt;M182,1,0)</f>
        <v/>
      </c>
      <c r="AB182" s="15" t="n"/>
      <c r="AC182" s="15">
        <f>LEFT(AG182,2)&amp;LEFT(AI182,2)</f>
        <v/>
      </c>
      <c r="AD182" s="15" t="n"/>
      <c r="AE182" s="15">
        <f>IF(K182&gt;L182,1,0)</f>
        <v/>
      </c>
      <c r="AF182" s="16">
        <f>IF(H182&gt;I182,1,0)</f>
        <v/>
      </c>
      <c r="AG182" s="16">
        <f>IF(SUM(AE182:AF182)=2,"Anticipatory_Buy","No_Action")</f>
        <v/>
      </c>
      <c r="AH182" s="15" t="n"/>
      <c r="AI182" s="15">
        <f>IF(SUM(AJ182:AK182)=2,"Confirm_Buy","No_Action")</f>
        <v/>
      </c>
      <c r="AJ182" s="15">
        <f>IF(H182&gt;I182,1,0)</f>
        <v/>
      </c>
      <c r="AK182" s="15">
        <f>IF(K182&gt;M182,1,0)</f>
        <v/>
      </c>
    </row>
    <row r="183" ht="14.5" customHeight="1">
      <c r="A183" s="12" t="inlineStr">
        <is>
          <t>KFINTECH</t>
        </is>
      </c>
      <c r="B183" s="13">
        <f>IFERROR(__xludf.DUMMYFUNCTION("GOOGLEFINANCE(""NSE:""&amp;A183,""PRICE"")"),1261.1)</f>
        <v/>
      </c>
      <c r="C183" s="13">
        <f>IFERROR(__xludf.DUMMYFUNCTION("GOOGLEFINANCE(""NSE:""&amp;A183,""PRICEOPEN"")"),1271.4)</f>
        <v/>
      </c>
      <c r="D183" s="13">
        <f>IFERROR(__xludf.DUMMYFUNCTION("GOOGLEFINANCE(""NSE:""&amp;A183,""HIGH"")"),1295.15)</f>
        <v/>
      </c>
      <c r="E183" s="13">
        <f>IFERROR(__xludf.DUMMYFUNCTION("GOOGLEFINANCE(""NSE:""&amp;A183,""LOW"")"),1251.75)</f>
        <v/>
      </c>
      <c r="F183" s="13">
        <f>IFERROR(__xludf.DUMMYFUNCTION("GOOGLEFINANCE(""NSE:""&amp;A183,""closeyest"")"),1271.4)</f>
        <v/>
      </c>
      <c r="G183" s="14">
        <f>(B183-C183)/B183</f>
        <v/>
      </c>
      <c r="H183" s="13">
        <f>IFERROR(__xludf.DUMMYFUNCTION("GOOGLEFINANCE(""NSE:""&amp;A183,""VOLUME"")"),743633)</f>
        <v/>
      </c>
      <c r="I183" s="13">
        <f>IFERROR(__xludf.DUMMYFUNCTION("AVERAGE(index(GOOGLEFINANCE(""NSE:""&amp;$A183, ""volume"", today()-21, today()-1), , 2))"),"#N/A")</f>
        <v/>
      </c>
      <c r="J183" s="14">
        <f>(H183-I183)/I183</f>
        <v/>
      </c>
      <c r="K183" s="13">
        <f>IFERROR(__xludf.DUMMYFUNCTION("AVERAGE(index(GOOGLEFINANCE(""NSE:""&amp;$A183, ""close"", today()-6, today()-1), , 2))"),"#N/A")</f>
        <v/>
      </c>
      <c r="L183" s="13">
        <f>IFERROR(__xludf.DUMMYFUNCTION("AVERAGE(index(GOOGLEFINANCE(""NSE:""&amp;$A183, ""close"", today()-14, today()-1), , 2))"),"#N/A")</f>
        <v/>
      </c>
      <c r="M183" s="13">
        <f>IFERROR(__xludf.DUMMYFUNCTION("AVERAGE(index(GOOGLEFINANCE(""NSE:""&amp;$A183, ""close"", today()-22, today()-1), , 2))"),"#N/A")</f>
        <v/>
      </c>
      <c r="N183" s="13">
        <f>AG183</f>
        <v/>
      </c>
      <c r="O183" s="13">
        <f>AI183</f>
        <v/>
      </c>
      <c r="P183" s="13">
        <f>W183</f>
        <v/>
      </c>
      <c r="Q183" s="13">
        <f>Y183</f>
        <v/>
      </c>
      <c r="R183" s="15" t="n"/>
      <c r="S183" s="15">
        <f>LEFT(W183,2)&amp;LEFT(Y183,2)</f>
        <v/>
      </c>
      <c r="T183" s="15" t="n"/>
      <c r="U183" s="15">
        <f>IF(K183&lt;L183,1,0)</f>
        <v/>
      </c>
      <c r="V183" s="15">
        <f>IF(H183&gt;I183,1,0)</f>
        <v/>
      </c>
      <c r="W183" s="15">
        <f>IF(SUM(U183:V183)=2,"Anticipatory_Sell","No_Action")</f>
        <v/>
      </c>
      <c r="X183" s="15" t="n"/>
      <c r="Y183" s="15">
        <f>IF(SUM(Z183:AA183)=2,"Confirm_Sell","No_Action")</f>
        <v/>
      </c>
      <c r="Z183" s="15">
        <f>IF(H183&gt;I183,1,0)</f>
        <v/>
      </c>
      <c r="AA183" s="15">
        <f>IF(K183&lt;M183,1,0)</f>
        <v/>
      </c>
      <c r="AB183" s="15" t="n"/>
      <c r="AC183" s="15">
        <f>LEFT(AG183,2)&amp;LEFT(AI183,2)</f>
        <v/>
      </c>
      <c r="AD183" s="15" t="n"/>
      <c r="AE183" s="15">
        <f>IF(K183&gt;L183,1,0)</f>
        <v/>
      </c>
      <c r="AF183" s="16">
        <f>IF(H183&gt;I183,1,0)</f>
        <v/>
      </c>
      <c r="AG183" s="16">
        <f>IF(SUM(AE183:AF183)=2,"Anticipatory_Buy","No_Action")</f>
        <v/>
      </c>
      <c r="AH183" s="15" t="n"/>
      <c r="AI183" s="15">
        <f>IF(SUM(AJ183:AK183)=2,"Confirm_Buy","No_Action")</f>
        <v/>
      </c>
      <c r="AJ183" s="15">
        <f>IF(H183&gt;I183,1,0)</f>
        <v/>
      </c>
      <c r="AK183" s="15">
        <f>IF(K183&gt;M183,1,0)</f>
        <v/>
      </c>
    </row>
    <row r="184" ht="14.5" customHeight="1">
      <c r="A184" s="12" t="inlineStr">
        <is>
          <t>KIRIINDUS</t>
        </is>
      </c>
      <c r="B184" s="13">
        <f>IFERROR(__xludf.DUMMYFUNCTION("GOOGLEFINANCE(""NSE:""&amp;A184,""PRICE"")"),602.9)</f>
        <v/>
      </c>
      <c r="C184" s="13">
        <f>IFERROR(__xludf.DUMMYFUNCTION("GOOGLEFINANCE(""NSE:""&amp;A184,""PRICEOPEN"")"),605.3)</f>
        <v/>
      </c>
      <c r="D184" s="13">
        <f>IFERROR(__xludf.DUMMYFUNCTION("GOOGLEFINANCE(""NSE:""&amp;A184,""HIGH"")"),625.85)</f>
        <v/>
      </c>
      <c r="E184" s="13">
        <f>IFERROR(__xludf.DUMMYFUNCTION("GOOGLEFINANCE(""NSE:""&amp;A184,""LOW"")"),597.3)</f>
        <v/>
      </c>
      <c r="F184" s="13">
        <f>IFERROR(__xludf.DUMMYFUNCTION("GOOGLEFINANCE(""NSE:""&amp;A184,""closeyest"")"),604.55)</f>
        <v/>
      </c>
      <c r="G184" s="14">
        <f>(B184-C184)/B184</f>
        <v/>
      </c>
      <c r="H184" s="13">
        <f>IFERROR(__xludf.DUMMYFUNCTION("GOOGLEFINANCE(""NSE:""&amp;A184,""VOLUME"")"),456548)</f>
        <v/>
      </c>
      <c r="I184" s="13">
        <f>IFERROR(__xludf.DUMMYFUNCTION("AVERAGE(index(GOOGLEFINANCE(""NSE:""&amp;$A184, ""volume"", today()-21, today()-1), , 2))"),"#N/A")</f>
        <v/>
      </c>
      <c r="J184" s="14">
        <f>(H184-I184)/I184</f>
        <v/>
      </c>
      <c r="K184" s="13">
        <f>IFERROR(__xludf.DUMMYFUNCTION("AVERAGE(index(GOOGLEFINANCE(""NSE:""&amp;$A184, ""close"", today()-6, today()-1), , 2))"),"#N/A")</f>
        <v/>
      </c>
      <c r="L184" s="13">
        <f>IFERROR(__xludf.DUMMYFUNCTION("AVERAGE(index(GOOGLEFINANCE(""NSE:""&amp;$A184, ""close"", today()-14, today()-1), , 2))"),"#N/A")</f>
        <v/>
      </c>
      <c r="M184" s="13">
        <f>IFERROR(__xludf.DUMMYFUNCTION("AVERAGE(index(GOOGLEFINANCE(""NSE:""&amp;$A184, ""close"", today()-22, today()-1), , 2))"),"#N/A")</f>
        <v/>
      </c>
      <c r="N184" s="13">
        <f>AG184</f>
        <v/>
      </c>
      <c r="O184" s="13">
        <f>AI184</f>
        <v/>
      </c>
      <c r="P184" s="13">
        <f>W184</f>
        <v/>
      </c>
      <c r="Q184" s="13">
        <f>Y184</f>
        <v/>
      </c>
      <c r="R184" s="15" t="n"/>
      <c r="S184" s="15">
        <f>LEFT(W184,2)&amp;LEFT(Y184,2)</f>
        <v/>
      </c>
      <c r="T184" s="15" t="n"/>
      <c r="U184" s="15">
        <f>IF(K184&lt;L184,1,0)</f>
        <v/>
      </c>
      <c r="V184" s="15">
        <f>IF(H184&gt;I184,1,0)</f>
        <v/>
      </c>
      <c r="W184" s="15">
        <f>IF(SUM(U184:V184)=2,"Anticipatory_Sell","No_Action")</f>
        <v/>
      </c>
      <c r="X184" s="15" t="n"/>
      <c r="Y184" s="15">
        <f>IF(SUM(Z184:AA184)=2,"Confirm_Sell","No_Action")</f>
        <v/>
      </c>
      <c r="Z184" s="15">
        <f>IF(H184&gt;I184,1,0)</f>
        <v/>
      </c>
      <c r="AA184" s="15">
        <f>IF(K184&lt;M184,1,0)</f>
        <v/>
      </c>
      <c r="AB184" s="15" t="n"/>
      <c r="AC184" s="15">
        <f>LEFT(AG184,2)&amp;LEFT(AI184,2)</f>
        <v/>
      </c>
      <c r="AD184" s="15" t="n"/>
      <c r="AE184" s="15">
        <f>IF(K184&gt;L184,1,0)</f>
        <v/>
      </c>
      <c r="AF184" s="16">
        <f>IF(H184&gt;I184,1,0)</f>
        <v/>
      </c>
      <c r="AG184" s="16">
        <f>IF(SUM(AE184:AF184)=2,"Anticipatory_Buy","No_Action")</f>
        <v/>
      </c>
      <c r="AH184" s="15" t="n"/>
      <c r="AI184" s="15">
        <f>IF(SUM(AJ184:AK184)=2,"Confirm_Buy","No_Action")</f>
        <v/>
      </c>
      <c r="AJ184" s="15">
        <f>IF(H184&gt;I184,1,0)</f>
        <v/>
      </c>
      <c r="AK184" s="15">
        <f>IF(K184&gt;M184,1,0)</f>
        <v/>
      </c>
    </row>
    <row r="185" ht="14.5" customHeight="1">
      <c r="A185" s="12" t="inlineStr">
        <is>
          <t>KIRLFER</t>
        </is>
      </c>
      <c r="B185" s="13">
        <f>IFERROR(__xludf.DUMMYFUNCTION("GOOGLEFINANCE(""NSE:""&amp;A185,""PRICE"")"),"#N/A")</f>
        <v/>
      </c>
      <c r="C185" s="13">
        <f>IFERROR(__xludf.DUMMYFUNCTION("GOOGLEFINANCE(""NSE:""&amp;A185,""PRICEOPEN"")"),"#N/A")</f>
        <v/>
      </c>
      <c r="D185" s="13">
        <f>IFERROR(__xludf.DUMMYFUNCTION("GOOGLEFINANCE(""NSE:""&amp;A185,""HIGH"")"),"#N/A")</f>
        <v/>
      </c>
      <c r="E185" s="13">
        <f>IFERROR(__xludf.DUMMYFUNCTION("GOOGLEFINANCE(""NSE:""&amp;A185,""LOW"")"),"#N/A")</f>
        <v/>
      </c>
      <c r="F185" s="13">
        <f>IFERROR(__xludf.DUMMYFUNCTION("GOOGLEFINANCE(""NSE:""&amp;A185,""closeyest"")"),"#N/A")</f>
        <v/>
      </c>
      <c r="G185" s="14">
        <f>(B185-C185)/B185</f>
        <v/>
      </c>
      <c r="H185" s="13">
        <f>IFERROR(__xludf.DUMMYFUNCTION("GOOGLEFINANCE(""NSE:""&amp;A185,""VOLUME"")"),"#N/A")</f>
        <v/>
      </c>
      <c r="I185" s="13">
        <f>IFERROR(__xludf.DUMMYFUNCTION("AVERAGE(index(GOOGLEFINANCE(""NSE:""&amp;$A185, ""volume"", today()-21, today()-1), , 2))"),"#N/A")</f>
        <v/>
      </c>
      <c r="J185" s="14">
        <f>(H185-I185)/I185</f>
        <v/>
      </c>
      <c r="K185" s="13">
        <f>IFERROR(__xludf.DUMMYFUNCTION("AVERAGE(index(GOOGLEFINANCE(""NSE:""&amp;$A185, ""close"", today()-6, today()-1), , 2))"),"#N/A")</f>
        <v/>
      </c>
      <c r="L185" s="13">
        <f>IFERROR(__xludf.DUMMYFUNCTION("AVERAGE(index(GOOGLEFINANCE(""NSE:""&amp;$A185, ""close"", today()-14, today()-1), , 2))"),"#N/A")</f>
        <v/>
      </c>
      <c r="M185" s="13">
        <f>IFERROR(__xludf.DUMMYFUNCTION("AVERAGE(index(GOOGLEFINANCE(""NSE:""&amp;$A185, ""close"", today()-22, today()-1), , 2))"),"#N/A")</f>
        <v/>
      </c>
      <c r="N185" s="13">
        <f>AG185</f>
        <v/>
      </c>
      <c r="O185" s="13">
        <f>AI185</f>
        <v/>
      </c>
      <c r="P185" s="13">
        <f>W185</f>
        <v/>
      </c>
      <c r="Q185" s="13">
        <f>Y185</f>
        <v/>
      </c>
      <c r="R185" s="15" t="n"/>
      <c r="S185" s="15">
        <f>LEFT(W185,2)&amp;LEFT(Y185,2)</f>
        <v/>
      </c>
      <c r="T185" s="15" t="n"/>
      <c r="U185" s="15">
        <f>IF(K185&lt;L185,1,0)</f>
        <v/>
      </c>
      <c r="V185" s="15">
        <f>IF(H185&gt;I185,1,0)</f>
        <v/>
      </c>
      <c r="W185" s="15">
        <f>IF(SUM(U185:V185)=2,"Anticipatory_Sell","No_Action")</f>
        <v/>
      </c>
      <c r="X185" s="15" t="n"/>
      <c r="Y185" s="15">
        <f>IF(SUM(Z185:AA185)=2,"Confirm_Sell","No_Action")</f>
        <v/>
      </c>
      <c r="Z185" s="15">
        <f>IF(H185&gt;I185,1,0)</f>
        <v/>
      </c>
      <c r="AA185" s="15">
        <f>IF(K185&lt;M185,1,0)</f>
        <v/>
      </c>
      <c r="AB185" s="15" t="n"/>
      <c r="AC185" s="15">
        <f>LEFT(AG185,2)&amp;LEFT(AI185,2)</f>
        <v/>
      </c>
      <c r="AD185" s="15" t="n"/>
      <c r="AE185" s="15">
        <f>IF(K185&gt;L185,1,0)</f>
        <v/>
      </c>
      <c r="AF185" s="16">
        <f>IF(H185&gt;I185,1,0)</f>
        <v/>
      </c>
      <c r="AG185" s="16">
        <f>IF(SUM(AE185:AF185)=2,"Anticipatory_Buy","No_Action")</f>
        <v/>
      </c>
      <c r="AH185" s="15" t="n"/>
      <c r="AI185" s="15">
        <f>IF(SUM(AJ185:AK185)=2,"Confirm_Buy","No_Action")</f>
        <v/>
      </c>
      <c r="AJ185" s="15">
        <f>IF(H185&gt;I185,1,0)</f>
        <v/>
      </c>
      <c r="AK185" s="15">
        <f>IF(K185&gt;M185,1,0)</f>
        <v/>
      </c>
    </row>
    <row r="186" ht="14.5" customHeight="1">
      <c r="A186" s="12" t="inlineStr">
        <is>
          <t>KIRLPNU</t>
        </is>
      </c>
      <c r="B186" s="13">
        <f>IFERROR(__xludf.DUMMYFUNCTION("GOOGLEFINANCE(""NSE:""&amp;A186,""PRICE"")"),"#N/A")</f>
        <v/>
      </c>
      <c r="C186" s="13">
        <f>IFERROR(__xludf.DUMMYFUNCTION("GOOGLEFINANCE(""NSE:""&amp;A186,""PRICEOPEN"")"),"#N/A")</f>
        <v/>
      </c>
      <c r="D186" s="13">
        <f>IFERROR(__xludf.DUMMYFUNCTION("GOOGLEFINANCE(""NSE:""&amp;A186,""HIGH"")"),"#N/A")</f>
        <v/>
      </c>
      <c r="E186" s="13">
        <f>IFERROR(__xludf.DUMMYFUNCTION("GOOGLEFINANCE(""NSE:""&amp;A186,""LOW"")"),"#N/A")</f>
        <v/>
      </c>
      <c r="F186" s="13">
        <f>IFERROR(__xludf.DUMMYFUNCTION("GOOGLEFINANCE(""NSE:""&amp;A186,""closeyest"")"),"#N/A")</f>
        <v/>
      </c>
      <c r="G186" s="14">
        <f>(B186-C186)/B186</f>
        <v/>
      </c>
      <c r="H186" s="13">
        <f>IFERROR(__xludf.DUMMYFUNCTION("GOOGLEFINANCE(""NSE:""&amp;A186,""VOLUME"")"),"#N/A")</f>
        <v/>
      </c>
      <c r="I186" s="13">
        <f>IFERROR(__xludf.DUMMYFUNCTION("AVERAGE(index(GOOGLEFINANCE(""NSE:""&amp;$A186, ""volume"", today()-21, today()-1), , 2))"),"#N/A")</f>
        <v/>
      </c>
      <c r="J186" s="14">
        <f>(H186-I186)/I186</f>
        <v/>
      </c>
      <c r="K186" s="13">
        <f>IFERROR(__xludf.DUMMYFUNCTION("AVERAGE(index(GOOGLEFINANCE(""NSE:""&amp;$A186, ""close"", today()-6, today()-1), , 2))"),"#N/A")</f>
        <v/>
      </c>
      <c r="L186" s="13">
        <f>IFERROR(__xludf.DUMMYFUNCTION("AVERAGE(index(GOOGLEFINANCE(""NSE:""&amp;$A186, ""close"", today()-14, today()-1), , 2))"),"#N/A")</f>
        <v/>
      </c>
      <c r="M186" s="13">
        <f>IFERROR(__xludf.DUMMYFUNCTION("AVERAGE(index(GOOGLEFINANCE(""NSE:""&amp;$A186, ""close"", today()-22, today()-1), , 2))"),"#N/A")</f>
        <v/>
      </c>
      <c r="N186" s="13">
        <f>AG186</f>
        <v/>
      </c>
      <c r="O186" s="13">
        <f>AI186</f>
        <v/>
      </c>
      <c r="P186" s="13">
        <f>W186</f>
        <v/>
      </c>
      <c r="Q186" s="13">
        <f>Y186</f>
        <v/>
      </c>
      <c r="R186" s="15" t="n"/>
      <c r="S186" s="15">
        <f>LEFT(W186,2)&amp;LEFT(Y186,2)</f>
        <v/>
      </c>
      <c r="T186" s="15" t="n"/>
      <c r="U186" s="15">
        <f>IF(K186&lt;L186,1,0)</f>
        <v/>
      </c>
      <c r="V186" s="15">
        <f>IF(H186&gt;I186,1,0)</f>
        <v/>
      </c>
      <c r="W186" s="15">
        <f>IF(SUM(U186:V186)=2,"Anticipatory_Sell","No_Action")</f>
        <v/>
      </c>
      <c r="X186" s="15" t="n"/>
      <c r="Y186" s="15">
        <f>IF(SUM(Z186:AA186)=2,"Confirm_Sell","No_Action")</f>
        <v/>
      </c>
      <c r="Z186" s="15">
        <f>IF(H186&gt;I186,1,0)</f>
        <v/>
      </c>
      <c r="AA186" s="15">
        <f>IF(K186&lt;M186,1,0)</f>
        <v/>
      </c>
      <c r="AB186" s="15" t="n"/>
      <c r="AC186" s="15">
        <f>LEFT(AG186,2)&amp;LEFT(AI186,2)</f>
        <v/>
      </c>
      <c r="AD186" s="15" t="n"/>
      <c r="AE186" s="15">
        <f>IF(K186&gt;L186,1,0)</f>
        <v/>
      </c>
      <c r="AF186" s="16">
        <f>IF(H186&gt;I186,1,0)</f>
        <v/>
      </c>
      <c r="AG186" s="16">
        <f>IF(SUM(AE186:AF186)=2,"Anticipatory_Buy","No_Action")</f>
        <v/>
      </c>
      <c r="AH186" s="15" t="n"/>
      <c r="AI186" s="15">
        <f>IF(SUM(AJ186:AK186)=2,"Confirm_Buy","No_Action")</f>
        <v/>
      </c>
      <c r="AJ186" s="15">
        <f>IF(H186&gt;I186,1,0)</f>
        <v/>
      </c>
      <c r="AK186" s="15">
        <f>IF(K186&gt;M186,1,0)</f>
        <v/>
      </c>
    </row>
    <row r="187" ht="14.5" customHeight="1">
      <c r="A187" s="12" t="inlineStr">
        <is>
          <t>KMEW</t>
        </is>
      </c>
      <c r="B187" s="13">
        <f>IFERROR(__xludf.DUMMYFUNCTION("GOOGLEFINANCE(""NSE:""&amp;A187,""PRICE"")"),2262)</f>
        <v/>
      </c>
      <c r="C187" s="13">
        <f>IFERROR(__xludf.DUMMYFUNCTION("GOOGLEFINANCE(""NSE:""&amp;A187,""PRICEOPEN"")"),2358.75)</f>
        <v/>
      </c>
      <c r="D187" s="13">
        <f>IFERROR(__xludf.DUMMYFUNCTION("GOOGLEFINANCE(""NSE:""&amp;A187,""HIGH"")"),2369.95)</f>
        <v/>
      </c>
      <c r="E187" s="13">
        <f>IFERROR(__xludf.DUMMYFUNCTION("GOOGLEFINANCE(""NSE:""&amp;A187,""LOW"")"),2250)</f>
        <v/>
      </c>
      <c r="F187" s="13">
        <f>IFERROR(__xludf.DUMMYFUNCTION("GOOGLEFINANCE(""NSE:""&amp;A187,""closeyest"")"),2338.1)</f>
        <v/>
      </c>
      <c r="G187" s="14">
        <f>(B187-C187)/B187</f>
        <v/>
      </c>
      <c r="H187" s="13">
        <f>IFERROR(__xludf.DUMMYFUNCTION("GOOGLEFINANCE(""NSE:""&amp;A187,""VOLUME"")"),28356)</f>
        <v/>
      </c>
      <c r="I187" s="13">
        <f>IFERROR(__xludf.DUMMYFUNCTION("AVERAGE(index(GOOGLEFINANCE(""NSE:""&amp;$A187, ""volume"", today()-21, today()-1), , 2))"),"#N/A")</f>
        <v/>
      </c>
      <c r="J187" s="14">
        <f>(H187-I187)/I187</f>
        <v/>
      </c>
      <c r="K187" s="13">
        <f>IFERROR(__xludf.DUMMYFUNCTION("AVERAGE(index(GOOGLEFINANCE(""NSE:""&amp;$A187, ""close"", today()-6, today()-1), , 2))"),"#N/A")</f>
        <v/>
      </c>
      <c r="L187" s="13">
        <f>IFERROR(__xludf.DUMMYFUNCTION("AVERAGE(index(GOOGLEFINANCE(""NSE:""&amp;$A187, ""close"", today()-14, today()-1), , 2))"),"#N/A")</f>
        <v/>
      </c>
      <c r="M187" s="13">
        <f>IFERROR(__xludf.DUMMYFUNCTION("AVERAGE(index(GOOGLEFINANCE(""NSE:""&amp;$A187, ""close"", today()-22, today()-1), , 2))"),"#N/A")</f>
        <v/>
      </c>
      <c r="N187" s="13">
        <f>AG187</f>
        <v/>
      </c>
      <c r="O187" s="13">
        <f>AI187</f>
        <v/>
      </c>
      <c r="P187" s="13">
        <f>W187</f>
        <v/>
      </c>
      <c r="Q187" s="13">
        <f>Y187</f>
        <v/>
      </c>
      <c r="R187" s="15" t="n"/>
      <c r="S187" s="15">
        <f>LEFT(W187,2)&amp;LEFT(Y187,2)</f>
        <v/>
      </c>
      <c r="T187" s="15" t="n"/>
      <c r="U187" s="15">
        <f>IF(K187&lt;L187,1,0)</f>
        <v/>
      </c>
      <c r="V187" s="15">
        <f>IF(H187&gt;I187,1,0)</f>
        <v/>
      </c>
      <c r="W187" s="15">
        <f>IF(SUM(U187:V187)=2,"Anticipatory_Sell","No_Action")</f>
        <v/>
      </c>
      <c r="X187" s="15" t="n"/>
      <c r="Y187" s="15">
        <f>IF(SUM(Z187:AA187)=2,"Confirm_Sell","No_Action")</f>
        <v/>
      </c>
      <c r="Z187" s="15">
        <f>IF(H187&gt;I187,1,0)</f>
        <v/>
      </c>
      <c r="AA187" s="15">
        <f>IF(K187&lt;M187,1,0)</f>
        <v/>
      </c>
      <c r="AB187" s="15" t="n"/>
      <c r="AC187" s="15">
        <f>LEFT(AG187,2)&amp;LEFT(AI187,2)</f>
        <v/>
      </c>
      <c r="AD187" s="15" t="n"/>
      <c r="AE187" s="15">
        <f>IF(K187&gt;L187,1,0)</f>
        <v/>
      </c>
      <c r="AF187" s="16">
        <f>IF(H187&gt;I187,1,0)</f>
        <v/>
      </c>
      <c r="AG187" s="16">
        <f>IF(SUM(AE187:AF187)=2,"Anticipatory_Buy","No_Action")</f>
        <v/>
      </c>
      <c r="AH187" s="15" t="n"/>
      <c r="AI187" s="15">
        <f>IF(SUM(AJ187:AK187)=2,"Confirm_Buy","No_Action")</f>
        <v/>
      </c>
      <c r="AJ187" s="15">
        <f>IF(H187&gt;I187,1,0)</f>
        <v/>
      </c>
      <c r="AK187" s="15">
        <f>IF(K187&gt;M187,1,0)</f>
        <v/>
      </c>
    </row>
    <row r="188" ht="14.5" customHeight="1">
      <c r="A188" s="12" t="inlineStr">
        <is>
          <t>KNRCON</t>
        </is>
      </c>
      <c r="B188" s="13">
        <f>IFERROR(__xludf.DUMMYFUNCTION("GOOGLEFINANCE(""NSE:""&amp;A188,""PRICE"")"),339)</f>
        <v/>
      </c>
      <c r="C188" s="13">
        <f>IFERROR(__xludf.DUMMYFUNCTION("GOOGLEFINANCE(""NSE:""&amp;A188,""PRICEOPEN"")"),340.4)</f>
        <v/>
      </c>
      <c r="D188" s="13">
        <f>IFERROR(__xludf.DUMMYFUNCTION("GOOGLEFINANCE(""NSE:""&amp;A188,""HIGH"")"),344.55)</f>
        <v/>
      </c>
      <c r="E188" s="13">
        <f>IFERROR(__xludf.DUMMYFUNCTION("GOOGLEFINANCE(""NSE:""&amp;A188,""LOW"")"),337.6)</f>
        <v/>
      </c>
      <c r="F188" s="13">
        <f>IFERROR(__xludf.DUMMYFUNCTION("GOOGLEFINANCE(""NSE:""&amp;A188,""closeyest"")"),338.85)</f>
        <v/>
      </c>
      <c r="G188" s="14">
        <f>(B188-C188)/B188</f>
        <v/>
      </c>
      <c r="H188" s="13">
        <f>IFERROR(__xludf.DUMMYFUNCTION("GOOGLEFINANCE(""NSE:""&amp;A188,""VOLUME"")"),687006)</f>
        <v/>
      </c>
      <c r="I188" s="13">
        <f>IFERROR(__xludf.DUMMYFUNCTION("AVERAGE(index(GOOGLEFINANCE(""NSE:""&amp;$A188, ""volume"", today()-21, today()-1), , 2))"),"#N/A")</f>
        <v/>
      </c>
      <c r="J188" s="14">
        <f>(H188-I188)/I188</f>
        <v/>
      </c>
      <c r="K188" s="13">
        <f>IFERROR(__xludf.DUMMYFUNCTION("AVERAGE(index(GOOGLEFINANCE(""NSE:""&amp;$A188, ""close"", today()-6, today()-1), , 2))"),"#N/A")</f>
        <v/>
      </c>
      <c r="L188" s="13">
        <f>IFERROR(__xludf.DUMMYFUNCTION("AVERAGE(index(GOOGLEFINANCE(""NSE:""&amp;$A188, ""close"", today()-14, today()-1), , 2))"),"#N/A")</f>
        <v/>
      </c>
      <c r="M188" s="13">
        <f>IFERROR(__xludf.DUMMYFUNCTION("AVERAGE(index(GOOGLEFINANCE(""NSE:""&amp;$A188, ""close"", today()-22, today()-1), , 2))"),"#N/A")</f>
        <v/>
      </c>
      <c r="N188" s="13">
        <f>AG188</f>
        <v/>
      </c>
      <c r="O188" s="13">
        <f>AI188</f>
        <v/>
      </c>
      <c r="P188" s="13">
        <f>W188</f>
        <v/>
      </c>
      <c r="Q188" s="13">
        <f>Y188</f>
        <v/>
      </c>
      <c r="R188" s="15" t="n"/>
      <c r="S188" s="15">
        <f>LEFT(W188,2)&amp;LEFT(Y188,2)</f>
        <v/>
      </c>
      <c r="T188" s="15" t="n"/>
      <c r="U188" s="15">
        <f>IF(K188&lt;L188,1,0)</f>
        <v/>
      </c>
      <c r="V188" s="15">
        <f>IF(H188&gt;I188,1,0)</f>
        <v/>
      </c>
      <c r="W188" s="15">
        <f>IF(SUM(U188:V188)=2,"Anticipatory_Sell","No_Action")</f>
        <v/>
      </c>
      <c r="X188" s="15" t="n"/>
      <c r="Y188" s="15">
        <f>IF(SUM(Z188:AA188)=2,"Confirm_Sell","No_Action")</f>
        <v/>
      </c>
      <c r="Z188" s="15">
        <f>IF(H188&gt;I188,1,0)</f>
        <v/>
      </c>
      <c r="AA188" s="15">
        <f>IF(K188&lt;M188,1,0)</f>
        <v/>
      </c>
      <c r="AB188" s="15" t="n"/>
      <c r="AC188" s="15">
        <f>LEFT(AG188,2)&amp;LEFT(AI188,2)</f>
        <v/>
      </c>
      <c r="AD188" s="15" t="n"/>
      <c r="AE188" s="15">
        <f>IF(K188&gt;L188,1,0)</f>
        <v/>
      </c>
      <c r="AF188" s="16">
        <f>IF(H188&gt;I188,1,0)</f>
        <v/>
      </c>
      <c r="AG188" s="16">
        <f>IF(SUM(AE188:AF188)=2,"Anticipatory_Buy","No_Action")</f>
        <v/>
      </c>
      <c r="AH188" s="15" t="n"/>
      <c r="AI188" s="15">
        <f>IF(SUM(AJ188:AK188)=2,"Confirm_Buy","No_Action")</f>
        <v/>
      </c>
      <c r="AJ188" s="15">
        <f>IF(H188&gt;I188,1,0)</f>
        <v/>
      </c>
      <c r="AK188" s="15">
        <f>IF(K188&gt;M188,1,0)</f>
        <v/>
      </c>
    </row>
    <row r="189" ht="14.5" customHeight="1">
      <c r="A189" s="12" t="inlineStr">
        <is>
          <t>KOTAKBANK</t>
        </is>
      </c>
      <c r="B189" s="13">
        <f>IFERROR(__xludf.DUMMYFUNCTION("GOOGLEFINANCE(""NSE:""&amp;A189,""PRICE"")"),1786.95)</f>
        <v/>
      </c>
      <c r="C189" s="13">
        <f>IFERROR(__xludf.DUMMYFUNCTION("GOOGLEFINANCE(""NSE:""&amp;A189,""PRICEOPEN"")"),1768.1)</f>
        <v/>
      </c>
      <c r="D189" s="13">
        <f>IFERROR(__xludf.DUMMYFUNCTION("GOOGLEFINANCE(""NSE:""&amp;A189,""HIGH"")"),1804.95)</f>
        <v/>
      </c>
      <c r="E189" s="13">
        <f>IFERROR(__xludf.DUMMYFUNCTION("GOOGLEFINANCE(""NSE:""&amp;A189,""LOW"")"),1768.1)</f>
        <v/>
      </c>
      <c r="F189" s="13">
        <f>IFERROR(__xludf.DUMMYFUNCTION("GOOGLEFINANCE(""NSE:""&amp;A189,""closeyest"")"),1776.95)</f>
        <v/>
      </c>
      <c r="G189" s="14">
        <f>(B189-C189)/B189</f>
        <v/>
      </c>
      <c r="H189" s="13">
        <f>IFERROR(__xludf.DUMMYFUNCTION("GOOGLEFINANCE(""NSE:""&amp;A189,""VOLUME"")"),2554023)</f>
        <v/>
      </c>
      <c r="I189" s="13">
        <f>IFERROR(__xludf.DUMMYFUNCTION("AVERAGE(index(GOOGLEFINANCE(""NSE:""&amp;$A189, ""volume"", today()-21, today()-1), , 2))"),"#N/A")</f>
        <v/>
      </c>
      <c r="J189" s="14">
        <f>(H189-I189)/I189</f>
        <v/>
      </c>
      <c r="K189" s="13">
        <f>IFERROR(__xludf.DUMMYFUNCTION("AVERAGE(index(GOOGLEFINANCE(""NSE:""&amp;$A189, ""close"", today()-6, today()-1), , 2))"),"#N/A")</f>
        <v/>
      </c>
      <c r="L189" s="13">
        <f>IFERROR(__xludf.DUMMYFUNCTION("AVERAGE(index(GOOGLEFINANCE(""NSE:""&amp;$A189, ""close"", today()-14, today()-1), , 2))"),"#N/A")</f>
        <v/>
      </c>
      <c r="M189" s="13">
        <f>IFERROR(__xludf.DUMMYFUNCTION("AVERAGE(index(GOOGLEFINANCE(""NSE:""&amp;$A189, ""close"", today()-22, today()-1), , 2))"),"#N/A")</f>
        <v/>
      </c>
      <c r="N189" s="13">
        <f>AG189</f>
        <v/>
      </c>
      <c r="O189" s="13">
        <f>AI189</f>
        <v/>
      </c>
      <c r="P189" s="13">
        <f>W189</f>
        <v/>
      </c>
      <c r="Q189" s="13">
        <f>Y189</f>
        <v/>
      </c>
      <c r="R189" s="15" t="n"/>
      <c r="S189" s="15">
        <f>LEFT(W189,2)&amp;LEFT(Y189,2)</f>
        <v/>
      </c>
      <c r="T189" s="15" t="n"/>
      <c r="U189" s="15">
        <f>IF(K189&lt;L189,1,0)</f>
        <v/>
      </c>
      <c r="V189" s="15">
        <f>IF(H189&gt;I189,1,0)</f>
        <v/>
      </c>
      <c r="W189" s="15">
        <f>IF(SUM(U189:V189)=2,"Anticipatory_Sell","No_Action")</f>
        <v/>
      </c>
      <c r="X189" s="15" t="n"/>
      <c r="Y189" s="15">
        <f>IF(SUM(Z189:AA189)=2,"Confirm_Sell","No_Action")</f>
        <v/>
      </c>
      <c r="Z189" s="15">
        <f>IF(H189&gt;I189,1,0)</f>
        <v/>
      </c>
      <c r="AA189" s="15">
        <f>IF(K189&lt;M189,1,0)</f>
        <v/>
      </c>
      <c r="AB189" s="15" t="n"/>
      <c r="AC189" s="15">
        <f>LEFT(AG189,2)&amp;LEFT(AI189,2)</f>
        <v/>
      </c>
      <c r="AD189" s="15" t="n"/>
      <c r="AE189" s="15">
        <f>IF(K189&gt;L189,1,0)</f>
        <v/>
      </c>
      <c r="AF189" s="16">
        <f>IF(H189&gt;I189,1,0)</f>
        <v/>
      </c>
      <c r="AG189" s="16">
        <f>IF(SUM(AE189:AF189)=2,"Anticipatory_Buy","No_Action")</f>
        <v/>
      </c>
      <c r="AH189" s="15" t="n"/>
      <c r="AI189" s="15">
        <f>IF(SUM(AJ189:AK189)=2,"Confirm_Buy","No_Action")</f>
        <v/>
      </c>
      <c r="AJ189" s="15">
        <f>IF(H189&gt;I189,1,0)</f>
        <v/>
      </c>
      <c r="AK189" s="15">
        <f>IF(K189&gt;M189,1,0)</f>
        <v/>
      </c>
    </row>
    <row r="190" ht="14.5" customHeight="1">
      <c r="A190" s="12" t="inlineStr">
        <is>
          <t>KOVAI</t>
        </is>
      </c>
      <c r="B190" s="13">
        <f>IFERROR(__xludf.DUMMYFUNCTION("GOOGLEFINANCE(""NSE:""&amp;A190,""PRICE"")"),"#N/A")</f>
        <v/>
      </c>
      <c r="C190" s="13">
        <f>IFERROR(__xludf.DUMMYFUNCTION("GOOGLEFINANCE(""NSE:""&amp;A190,""PRICEOPEN"")"),"#N/A")</f>
        <v/>
      </c>
      <c r="D190" s="13">
        <f>IFERROR(__xludf.DUMMYFUNCTION("GOOGLEFINANCE(""NSE:""&amp;A190,""HIGH"")"),"#N/A")</f>
        <v/>
      </c>
      <c r="E190" s="13">
        <f>IFERROR(__xludf.DUMMYFUNCTION("GOOGLEFINANCE(""NSE:""&amp;A190,""LOW"")"),"#N/A")</f>
        <v/>
      </c>
      <c r="F190" s="13">
        <f>IFERROR(__xludf.DUMMYFUNCTION("GOOGLEFINANCE(""NSE:""&amp;A190,""closeyest"")"),"#N/A")</f>
        <v/>
      </c>
      <c r="G190" s="14">
        <f>(B190-C190)/B190</f>
        <v/>
      </c>
      <c r="H190" s="13">
        <f>IFERROR(__xludf.DUMMYFUNCTION("GOOGLEFINANCE(""NSE:""&amp;A190,""VOLUME"")"),"#N/A")</f>
        <v/>
      </c>
      <c r="I190" s="13">
        <f>IFERROR(__xludf.DUMMYFUNCTION("AVERAGE(index(GOOGLEFINANCE(""NSE:""&amp;$A190, ""volume"", today()-21, today()-1), , 2))"),"#N/A")</f>
        <v/>
      </c>
      <c r="J190" s="14">
        <f>(H190-I190)/I190</f>
        <v/>
      </c>
      <c r="K190" s="13">
        <f>IFERROR(__xludf.DUMMYFUNCTION("AVERAGE(index(GOOGLEFINANCE(""NSE:""&amp;$A190, ""close"", today()-6, today()-1), , 2))"),"#N/A")</f>
        <v/>
      </c>
      <c r="L190" s="13">
        <f>IFERROR(__xludf.DUMMYFUNCTION("AVERAGE(index(GOOGLEFINANCE(""NSE:""&amp;$A190, ""close"", today()-14, today()-1), , 2))"),"#N/A")</f>
        <v/>
      </c>
      <c r="M190" s="13">
        <f>IFERROR(__xludf.DUMMYFUNCTION("AVERAGE(index(GOOGLEFINANCE(""NSE:""&amp;$A190, ""close"", today()-22, today()-1), , 2))"),"#N/A")</f>
        <v/>
      </c>
      <c r="N190" s="13">
        <f>AG190</f>
        <v/>
      </c>
      <c r="O190" s="13">
        <f>AI190</f>
        <v/>
      </c>
      <c r="P190" s="13">
        <f>W190</f>
        <v/>
      </c>
      <c r="Q190" s="13">
        <f>Y190</f>
        <v/>
      </c>
      <c r="R190" s="15" t="n"/>
      <c r="S190" s="15">
        <f>LEFT(W190,2)&amp;LEFT(Y190,2)</f>
        <v/>
      </c>
      <c r="T190" s="15" t="n"/>
      <c r="U190" s="15">
        <f>IF(K190&lt;L190,1,0)</f>
        <v/>
      </c>
      <c r="V190" s="15">
        <f>IF(H190&gt;I190,1,0)</f>
        <v/>
      </c>
      <c r="W190" s="15">
        <f>IF(SUM(U190:V190)=2,"Anticipatory_Sell","No_Action")</f>
        <v/>
      </c>
      <c r="X190" s="15" t="n"/>
      <c r="Y190" s="15">
        <f>IF(SUM(Z190:AA190)=2,"Confirm_Sell","No_Action")</f>
        <v/>
      </c>
      <c r="Z190" s="15">
        <f>IF(H190&gt;I190,1,0)</f>
        <v/>
      </c>
      <c r="AA190" s="15">
        <f>IF(K190&lt;M190,1,0)</f>
        <v/>
      </c>
      <c r="AB190" s="15" t="n"/>
      <c r="AC190" s="15">
        <f>LEFT(AG190,2)&amp;LEFT(AI190,2)</f>
        <v/>
      </c>
      <c r="AD190" s="15" t="n"/>
      <c r="AE190" s="15">
        <f>IF(K190&gt;L190,1,0)</f>
        <v/>
      </c>
      <c r="AF190" s="16">
        <f>IF(H190&gt;I190,1,0)</f>
        <v/>
      </c>
      <c r="AG190" s="16">
        <f>IF(SUM(AE190:AF190)=2,"Anticipatory_Buy","No_Action")</f>
        <v/>
      </c>
      <c r="AH190" s="15" t="n"/>
      <c r="AI190" s="15">
        <f>IF(SUM(AJ190:AK190)=2,"Confirm_Buy","No_Action")</f>
        <v/>
      </c>
      <c r="AJ190" s="15">
        <f>IF(H190&gt;I190,1,0)</f>
        <v/>
      </c>
      <c r="AK190" s="15">
        <f>IF(K190&gt;M190,1,0)</f>
        <v/>
      </c>
    </row>
    <row r="191" ht="14.5" customHeight="1">
      <c r="A191" s="12" t="inlineStr">
        <is>
          <t>KRBL</t>
        </is>
      </c>
      <c r="B191" s="13">
        <f>IFERROR(__xludf.DUMMYFUNCTION("GOOGLEFINANCE(""NSE:""&amp;A191,""PRICE"")"),312)</f>
        <v/>
      </c>
      <c r="C191" s="13">
        <f>IFERROR(__xludf.DUMMYFUNCTION("GOOGLEFINANCE(""NSE:""&amp;A191,""PRICEOPEN"")"),314.25)</f>
        <v/>
      </c>
      <c r="D191" s="13">
        <f>IFERROR(__xludf.DUMMYFUNCTION("GOOGLEFINANCE(""NSE:""&amp;A191,""HIGH"")"),318.8)</f>
        <v/>
      </c>
      <c r="E191" s="13">
        <f>IFERROR(__xludf.DUMMYFUNCTION("GOOGLEFINANCE(""NSE:""&amp;A191,""LOW"")"),310.2)</f>
        <v/>
      </c>
      <c r="F191" s="13">
        <f>IFERROR(__xludf.DUMMYFUNCTION("GOOGLEFINANCE(""NSE:""&amp;A191,""closeyest"")"),314.25)</f>
        <v/>
      </c>
      <c r="G191" s="14">
        <f>(B191-C191)/B191</f>
        <v/>
      </c>
      <c r="H191" s="13">
        <f>IFERROR(__xludf.DUMMYFUNCTION("GOOGLEFINANCE(""NSE:""&amp;A191,""VOLUME"")"),289868)</f>
        <v/>
      </c>
      <c r="I191" s="13">
        <f>IFERROR(__xludf.DUMMYFUNCTION("AVERAGE(index(GOOGLEFINANCE(""NSE:""&amp;$A191, ""volume"", today()-21, today()-1), , 2))"),"#N/A")</f>
        <v/>
      </c>
      <c r="J191" s="14">
        <f>(H191-I191)/I191</f>
        <v/>
      </c>
      <c r="K191" s="13">
        <f>IFERROR(__xludf.DUMMYFUNCTION("AVERAGE(index(GOOGLEFINANCE(""NSE:""&amp;$A191, ""close"", today()-6, today()-1), , 2))"),"#N/A")</f>
        <v/>
      </c>
      <c r="L191" s="13">
        <f>IFERROR(__xludf.DUMMYFUNCTION("AVERAGE(index(GOOGLEFINANCE(""NSE:""&amp;$A191, ""close"", today()-14, today()-1), , 2))"),"#N/A")</f>
        <v/>
      </c>
      <c r="M191" s="13">
        <f>IFERROR(__xludf.DUMMYFUNCTION("AVERAGE(index(GOOGLEFINANCE(""NSE:""&amp;$A191, ""close"", today()-22, today()-1), , 2))"),"#N/A")</f>
        <v/>
      </c>
      <c r="N191" s="13">
        <f>AG191</f>
        <v/>
      </c>
      <c r="O191" s="13">
        <f>AI191</f>
        <v/>
      </c>
      <c r="P191" s="13">
        <f>W191</f>
        <v/>
      </c>
      <c r="Q191" s="13">
        <f>Y191</f>
        <v/>
      </c>
      <c r="R191" s="15" t="n"/>
      <c r="S191" s="15">
        <f>LEFT(W191,2)&amp;LEFT(Y191,2)</f>
        <v/>
      </c>
      <c r="T191" s="15" t="n"/>
      <c r="U191" s="15">
        <f>IF(K191&lt;L191,1,0)</f>
        <v/>
      </c>
      <c r="V191" s="15">
        <f>IF(H191&gt;I191,1,0)</f>
        <v/>
      </c>
      <c r="W191" s="15">
        <f>IF(SUM(U191:V191)=2,"Anticipatory_Sell","No_Action")</f>
        <v/>
      </c>
      <c r="X191" s="15" t="n"/>
      <c r="Y191" s="15">
        <f>IF(SUM(Z191:AA191)=2,"Confirm_Sell","No_Action")</f>
        <v/>
      </c>
      <c r="Z191" s="15">
        <f>IF(H191&gt;I191,1,0)</f>
        <v/>
      </c>
      <c r="AA191" s="15">
        <f>IF(K191&lt;M191,1,0)</f>
        <v/>
      </c>
      <c r="AB191" s="15" t="n"/>
      <c r="AC191" s="15">
        <f>LEFT(AG191,2)&amp;LEFT(AI191,2)</f>
        <v/>
      </c>
      <c r="AD191" s="15" t="n"/>
      <c r="AE191" s="15">
        <f>IF(K191&gt;L191,1,0)</f>
        <v/>
      </c>
      <c r="AF191" s="16">
        <f>IF(H191&gt;I191,1,0)</f>
        <v/>
      </c>
      <c r="AG191" s="16">
        <f>IF(SUM(AE191:AF191)=2,"Anticipatory_Buy","No_Action")</f>
        <v/>
      </c>
      <c r="AH191" s="15" t="n"/>
      <c r="AI191" s="15">
        <f>IF(SUM(AJ191:AK191)=2,"Confirm_Buy","No_Action")</f>
        <v/>
      </c>
      <c r="AJ191" s="15">
        <f>IF(H191&gt;I191,1,0)</f>
        <v/>
      </c>
      <c r="AK191" s="15">
        <f>IF(K191&gt;M191,1,0)</f>
        <v/>
      </c>
    </row>
    <row r="192" ht="14.5" customHeight="1">
      <c r="A192" s="12" t="inlineStr">
        <is>
          <t>KIMS</t>
        </is>
      </c>
      <c r="B192" s="13">
        <f>IFERROR(__xludf.DUMMYFUNCTION("GOOGLEFINANCE(""NSE:""&amp;A192,""PRICE"")"),621)</f>
        <v/>
      </c>
      <c r="C192" s="13">
        <f>IFERROR(__xludf.DUMMYFUNCTION("GOOGLEFINANCE(""NSE:""&amp;A192,""PRICEOPEN"")"),614.7)</f>
        <v/>
      </c>
      <c r="D192" s="13">
        <f>IFERROR(__xludf.DUMMYFUNCTION("GOOGLEFINANCE(""NSE:""&amp;A192,""HIGH"")"),624.4)</f>
        <v/>
      </c>
      <c r="E192" s="13">
        <f>IFERROR(__xludf.DUMMYFUNCTION("GOOGLEFINANCE(""NSE:""&amp;A192,""LOW"")"),607.5)</f>
        <v/>
      </c>
      <c r="F192" s="13">
        <f>IFERROR(__xludf.DUMMYFUNCTION("GOOGLEFINANCE(""NSE:""&amp;A192,""closeyest"")"),611.4)</f>
        <v/>
      </c>
      <c r="G192" s="14">
        <f>(B192-C192)/B192</f>
        <v/>
      </c>
      <c r="H192" s="13">
        <f>IFERROR(__xludf.DUMMYFUNCTION("GOOGLEFINANCE(""NSE:""&amp;A192,""VOLUME"")"),630840)</f>
        <v/>
      </c>
      <c r="I192" s="13">
        <f>IFERROR(__xludf.DUMMYFUNCTION("AVERAGE(index(GOOGLEFINANCE(""NSE:""&amp;$A192, ""volume"", today()-21, today()-1), , 2))"),"#N/A")</f>
        <v/>
      </c>
      <c r="J192" s="14">
        <f>(H192-I192)/I192</f>
        <v/>
      </c>
      <c r="K192" s="13">
        <f>IFERROR(__xludf.DUMMYFUNCTION("AVERAGE(index(GOOGLEFINANCE(""NSE:""&amp;$A192, ""close"", today()-6, today()-1), , 2))"),"#N/A")</f>
        <v/>
      </c>
      <c r="L192" s="13">
        <f>IFERROR(__xludf.DUMMYFUNCTION("AVERAGE(index(GOOGLEFINANCE(""NSE:""&amp;$A192, ""close"", today()-14, today()-1), , 2))"),"#N/A")</f>
        <v/>
      </c>
      <c r="M192" s="13">
        <f>IFERROR(__xludf.DUMMYFUNCTION("AVERAGE(index(GOOGLEFINANCE(""NSE:""&amp;$A192, ""close"", today()-22, today()-1), , 2))"),"#N/A")</f>
        <v/>
      </c>
      <c r="N192" s="13">
        <f>AG192</f>
        <v/>
      </c>
      <c r="O192" s="13">
        <f>AI192</f>
        <v/>
      </c>
      <c r="P192" s="13">
        <f>W192</f>
        <v/>
      </c>
      <c r="Q192" s="13">
        <f>Y192</f>
        <v/>
      </c>
      <c r="R192" s="15" t="n"/>
      <c r="S192" s="15">
        <f>LEFT(W192,2)&amp;LEFT(Y192,2)</f>
        <v/>
      </c>
      <c r="T192" s="15" t="n"/>
      <c r="U192" s="15">
        <f>IF(K192&lt;L192,1,0)</f>
        <v/>
      </c>
      <c r="V192" s="15">
        <f>IF(H192&gt;I192,1,0)</f>
        <v/>
      </c>
      <c r="W192" s="15">
        <f>IF(SUM(U192:V192)=2,"Anticipatory_Sell","No_Action")</f>
        <v/>
      </c>
      <c r="X192" s="15" t="n"/>
      <c r="Y192" s="15">
        <f>IF(SUM(Z192:AA192)=2,"Confirm_Sell","No_Action")</f>
        <v/>
      </c>
      <c r="Z192" s="15">
        <f>IF(H192&gt;I192,1,0)</f>
        <v/>
      </c>
      <c r="AA192" s="15">
        <f>IF(K192&lt;M192,1,0)</f>
        <v/>
      </c>
      <c r="AB192" s="15" t="n"/>
      <c r="AC192" s="15">
        <f>LEFT(AG192,2)&amp;LEFT(AI192,2)</f>
        <v/>
      </c>
      <c r="AD192" s="15" t="n"/>
      <c r="AE192" s="15">
        <f>IF(K192&gt;L192,1,0)</f>
        <v/>
      </c>
      <c r="AF192" s="16">
        <f>IF(H192&gt;I192,1,0)</f>
        <v/>
      </c>
      <c r="AG192" s="16">
        <f>IF(SUM(AE192:AF192)=2,"Anticipatory_Buy","No_Action")</f>
        <v/>
      </c>
      <c r="AH192" s="15" t="n"/>
      <c r="AI192" s="15">
        <f>IF(SUM(AJ192:AK192)=2,"Confirm_Buy","No_Action")</f>
        <v/>
      </c>
      <c r="AJ192" s="15">
        <f>IF(H192&gt;I192,1,0)</f>
        <v/>
      </c>
      <c r="AK192" s="15">
        <f>IF(K192&gt;M192,1,0)</f>
        <v/>
      </c>
    </row>
    <row r="193" ht="14.5" customHeight="1">
      <c r="A193" s="12" t="inlineStr">
        <is>
          <t>KSB</t>
        </is>
      </c>
      <c r="B193" s="13">
        <f>IFERROR(__xludf.DUMMYFUNCTION("GOOGLEFINANCE(""NSE:""&amp;A193,""PRICE"")"),836)</f>
        <v/>
      </c>
      <c r="C193" s="13">
        <f>IFERROR(__xludf.DUMMYFUNCTION("GOOGLEFINANCE(""NSE:""&amp;A193,""PRICEOPEN"")"),832.5)</f>
        <v/>
      </c>
      <c r="D193" s="13">
        <f>IFERROR(__xludf.DUMMYFUNCTION("GOOGLEFINANCE(""NSE:""&amp;A193,""HIGH"")"),842.8)</f>
        <v/>
      </c>
      <c r="E193" s="13">
        <f>IFERROR(__xludf.DUMMYFUNCTION("GOOGLEFINANCE(""NSE:""&amp;A193,""LOW"")"),831.45)</f>
        <v/>
      </c>
      <c r="F193" s="13">
        <f>IFERROR(__xludf.DUMMYFUNCTION("GOOGLEFINANCE(""NSE:""&amp;A193,""closeyest"")"),834.75)</f>
        <v/>
      </c>
      <c r="G193" s="14">
        <f>(B193-C193)/B193</f>
        <v/>
      </c>
      <c r="H193" s="13">
        <f>IFERROR(__xludf.DUMMYFUNCTION("GOOGLEFINANCE(""NSE:""&amp;A193,""VOLUME"")"),31278)</f>
        <v/>
      </c>
      <c r="I193" s="13">
        <f>IFERROR(__xludf.DUMMYFUNCTION("AVERAGE(index(GOOGLEFINANCE(""NSE:""&amp;$A193, ""volume"", today()-21, today()-1), , 2))"),"#N/A")</f>
        <v/>
      </c>
      <c r="J193" s="14">
        <f>(H193-I193)/I193</f>
        <v/>
      </c>
      <c r="K193" s="13">
        <f>IFERROR(__xludf.DUMMYFUNCTION("AVERAGE(index(GOOGLEFINANCE(""NSE:""&amp;$A193, ""close"", today()-6, today()-1), , 2))"),"#N/A")</f>
        <v/>
      </c>
      <c r="L193" s="13">
        <f>IFERROR(__xludf.DUMMYFUNCTION("AVERAGE(index(GOOGLEFINANCE(""NSE:""&amp;$A193, ""close"", today()-14, today()-1), , 2))"),"#N/A")</f>
        <v/>
      </c>
      <c r="M193" s="13">
        <f>IFERROR(__xludf.DUMMYFUNCTION("AVERAGE(index(GOOGLEFINANCE(""NSE:""&amp;$A193, ""close"", today()-22, today()-1), , 2))"),"#N/A")</f>
        <v/>
      </c>
      <c r="N193" s="13">
        <f>AG193</f>
        <v/>
      </c>
      <c r="O193" s="13">
        <f>AI193</f>
        <v/>
      </c>
      <c r="P193" s="13">
        <f>W193</f>
        <v/>
      </c>
      <c r="Q193" s="13">
        <f>Y193</f>
        <v/>
      </c>
      <c r="R193" s="15" t="n"/>
      <c r="S193" s="15">
        <f>LEFT(W193,2)&amp;LEFT(Y193,2)</f>
        <v/>
      </c>
      <c r="T193" s="15" t="n"/>
      <c r="U193" s="15">
        <f>IF(K193&lt;L193,1,0)</f>
        <v/>
      </c>
      <c r="V193" s="15">
        <f>IF(H193&gt;I193,1,0)</f>
        <v/>
      </c>
      <c r="W193" s="15">
        <f>IF(SUM(U193:V193)=2,"Anticipatory_Sell","No_Action")</f>
        <v/>
      </c>
      <c r="X193" s="15" t="n"/>
      <c r="Y193" s="15">
        <f>IF(SUM(Z193:AA193)=2,"Confirm_Sell","No_Action")</f>
        <v/>
      </c>
      <c r="Z193" s="15">
        <f>IF(H193&gt;I193,1,0)</f>
        <v/>
      </c>
      <c r="AA193" s="15">
        <f>IF(K193&lt;M193,1,0)</f>
        <v/>
      </c>
      <c r="AB193" s="15" t="n"/>
      <c r="AC193" s="15">
        <f>LEFT(AG193,2)&amp;LEFT(AI193,2)</f>
        <v/>
      </c>
      <c r="AD193" s="15" t="n"/>
      <c r="AE193" s="15">
        <f>IF(K193&gt;L193,1,0)</f>
        <v/>
      </c>
      <c r="AF193" s="16">
        <f>IF(H193&gt;I193,1,0)</f>
        <v/>
      </c>
      <c r="AG193" s="16">
        <f>IF(SUM(AE193:AF193)=2,"Anticipatory_Buy","No_Action")</f>
        <v/>
      </c>
      <c r="AH193" s="15" t="n"/>
      <c r="AI193" s="15">
        <f>IF(SUM(AJ193:AK193)=2,"Confirm_Buy","No_Action")</f>
        <v/>
      </c>
      <c r="AJ193" s="15">
        <f>IF(H193&gt;I193,1,0)</f>
        <v/>
      </c>
      <c r="AK193" s="15">
        <f>IF(K193&gt;M193,1,0)</f>
        <v/>
      </c>
    </row>
    <row r="194" ht="14.5" customHeight="1">
      <c r="A194" s="12" t="inlineStr">
        <is>
          <t>LTFOODS</t>
        </is>
      </c>
      <c r="B194" s="13">
        <f>IFERROR(__xludf.DUMMYFUNCTION("GOOGLEFINANCE(""NSE:""&amp;A194,""PRICE"")"),439.4)</f>
        <v/>
      </c>
      <c r="C194" s="13">
        <f>IFERROR(__xludf.DUMMYFUNCTION("GOOGLEFINANCE(""NSE:""&amp;A194,""PRICEOPEN"")"),429.45)</f>
        <v/>
      </c>
      <c r="D194" s="13">
        <f>IFERROR(__xludf.DUMMYFUNCTION("GOOGLEFINANCE(""NSE:""&amp;A194,""HIGH"")"),442.8)</f>
        <v/>
      </c>
      <c r="E194" s="13">
        <f>IFERROR(__xludf.DUMMYFUNCTION("GOOGLEFINANCE(""NSE:""&amp;A194,""LOW"")"),428)</f>
        <v/>
      </c>
      <c r="F194" s="13">
        <f>IFERROR(__xludf.DUMMYFUNCTION("GOOGLEFINANCE(""NSE:""&amp;A194,""closeyest"")"),428.05)</f>
        <v/>
      </c>
      <c r="G194" s="14">
        <f>(B194-C194)/B194</f>
        <v/>
      </c>
      <c r="H194" s="13">
        <f>IFERROR(__xludf.DUMMYFUNCTION("GOOGLEFINANCE(""NSE:""&amp;A194,""VOLUME"")"),766165)</f>
        <v/>
      </c>
      <c r="I194" s="13">
        <f>IFERROR(__xludf.DUMMYFUNCTION("AVERAGE(index(GOOGLEFINANCE(""NSE:""&amp;$A194, ""volume"", today()-21, today()-1), , 2))"),"#N/A")</f>
        <v/>
      </c>
      <c r="J194" s="14">
        <f>(H194-I194)/I194</f>
        <v/>
      </c>
      <c r="K194" s="13">
        <f>IFERROR(__xludf.DUMMYFUNCTION("AVERAGE(index(GOOGLEFINANCE(""NSE:""&amp;$A194, ""close"", today()-6, today()-1), , 2))"),"#N/A")</f>
        <v/>
      </c>
      <c r="L194" s="13">
        <f>IFERROR(__xludf.DUMMYFUNCTION("AVERAGE(index(GOOGLEFINANCE(""NSE:""&amp;$A194, ""close"", today()-14, today()-1), , 2))"),"#N/A")</f>
        <v/>
      </c>
      <c r="M194" s="13">
        <f>IFERROR(__xludf.DUMMYFUNCTION("AVERAGE(index(GOOGLEFINANCE(""NSE:""&amp;$A194, ""close"", today()-22, today()-1), , 2))"),"#N/A")</f>
        <v/>
      </c>
      <c r="N194" s="13">
        <f>AG194</f>
        <v/>
      </c>
      <c r="O194" s="13">
        <f>AI194</f>
        <v/>
      </c>
      <c r="P194" s="13">
        <f>W194</f>
        <v/>
      </c>
      <c r="Q194" s="13">
        <f>Y194</f>
        <v/>
      </c>
      <c r="R194" s="15" t="n"/>
      <c r="S194" s="15">
        <f>LEFT(W194,2)&amp;LEFT(Y194,2)</f>
        <v/>
      </c>
      <c r="T194" s="15" t="n"/>
      <c r="U194" s="15">
        <f>IF(K194&lt;L194,1,0)</f>
        <v/>
      </c>
      <c r="V194" s="15">
        <f>IF(H194&gt;I194,1,0)</f>
        <v/>
      </c>
      <c r="W194" s="15">
        <f>IF(SUM(U194:V194)=2,"Anticipatory_Sell","No_Action")</f>
        <v/>
      </c>
      <c r="X194" s="15" t="n"/>
      <c r="Y194" s="15">
        <f>IF(SUM(Z194:AA194)=2,"Confirm_Sell","No_Action")</f>
        <v/>
      </c>
      <c r="Z194" s="15">
        <f>IF(H194&gt;I194,1,0)</f>
        <v/>
      </c>
      <c r="AA194" s="15">
        <f>IF(K194&lt;M194,1,0)</f>
        <v/>
      </c>
      <c r="AB194" s="15" t="n"/>
      <c r="AC194" s="15">
        <f>LEFT(AG194,2)&amp;LEFT(AI194,2)</f>
        <v/>
      </c>
      <c r="AD194" s="15" t="n"/>
      <c r="AE194" s="15">
        <f>IF(K194&gt;L194,1,0)</f>
        <v/>
      </c>
      <c r="AF194" s="16">
        <f>IF(H194&gt;I194,1,0)</f>
        <v/>
      </c>
      <c r="AG194" s="16">
        <f>IF(SUM(AE194:AF194)=2,"Anticipatory_Buy","No_Action")</f>
        <v/>
      </c>
      <c r="AH194" s="15" t="n"/>
      <c r="AI194" s="15">
        <f>IF(SUM(AJ194:AK194)=2,"Confirm_Buy","No_Action")</f>
        <v/>
      </c>
      <c r="AJ194" s="15">
        <f>IF(H194&gt;I194,1,0)</f>
        <v/>
      </c>
      <c r="AK194" s="15">
        <f>IF(K194&gt;M194,1,0)</f>
        <v/>
      </c>
    </row>
    <row r="195" ht="14.5" customHeight="1">
      <c r="A195" s="12" t="inlineStr">
        <is>
          <t>LTF</t>
        </is>
      </c>
      <c r="B195" s="13">
        <f>IFERROR(__xludf.DUMMYFUNCTION("GOOGLEFINANCE(""NSE:""&amp;A195,""PRICE"")"),148.1)</f>
        <v/>
      </c>
      <c r="C195" s="13">
        <f>IFERROR(__xludf.DUMMYFUNCTION("GOOGLEFINANCE(""NSE:""&amp;A195,""PRICEOPEN"")"),148.5)</f>
        <v/>
      </c>
      <c r="D195" s="13">
        <f>IFERROR(__xludf.DUMMYFUNCTION("GOOGLEFINANCE(""NSE:""&amp;A195,""HIGH"")"),150.34)</f>
        <v/>
      </c>
      <c r="E195" s="13">
        <f>IFERROR(__xludf.DUMMYFUNCTION("GOOGLEFINANCE(""NSE:""&amp;A195,""LOW"")"),147.6)</f>
        <v/>
      </c>
      <c r="F195" s="13">
        <f>IFERROR(__xludf.DUMMYFUNCTION("GOOGLEFINANCE(""NSE:""&amp;A195,""closeyest"")"),148.81)</f>
        <v/>
      </c>
      <c r="G195" s="14">
        <f>(B195-C195)/B195</f>
        <v/>
      </c>
      <c r="H195" s="13">
        <f>IFERROR(__xludf.DUMMYFUNCTION("GOOGLEFINANCE(""NSE:""&amp;A195,""VOLUME"")"),3736158)</f>
        <v/>
      </c>
      <c r="I195" s="13">
        <f>IFERROR(__xludf.DUMMYFUNCTION("AVERAGE(index(GOOGLEFINANCE(""NSE:""&amp;$A195, ""volume"", today()-21, today()-1), , 2))"),"#N/A")</f>
        <v/>
      </c>
      <c r="J195" s="14">
        <f>(H195-I195)/I195</f>
        <v/>
      </c>
      <c r="K195" s="13">
        <f>IFERROR(__xludf.DUMMYFUNCTION("AVERAGE(index(GOOGLEFINANCE(""NSE:""&amp;$A195, ""close"", today()-6, today()-1), , 2))"),"#N/A")</f>
        <v/>
      </c>
      <c r="L195" s="13">
        <f>IFERROR(__xludf.DUMMYFUNCTION("AVERAGE(index(GOOGLEFINANCE(""NSE:""&amp;$A195, ""close"", today()-14, today()-1), , 2))"),"#N/A")</f>
        <v/>
      </c>
      <c r="M195" s="13">
        <f>IFERROR(__xludf.DUMMYFUNCTION("AVERAGE(index(GOOGLEFINANCE(""NSE:""&amp;$A195, ""close"", today()-22, today()-1), , 2))"),"#N/A")</f>
        <v/>
      </c>
      <c r="N195" s="13">
        <f>AG195</f>
        <v/>
      </c>
      <c r="O195" s="13">
        <f>AI195</f>
        <v/>
      </c>
      <c r="P195" s="13">
        <f>W195</f>
        <v/>
      </c>
      <c r="Q195" s="13">
        <f>Y195</f>
        <v/>
      </c>
      <c r="R195" s="15" t="n"/>
      <c r="S195" s="15">
        <f>LEFT(W195,2)&amp;LEFT(Y195,2)</f>
        <v/>
      </c>
      <c r="T195" s="15" t="n"/>
      <c r="U195" s="15">
        <f>IF(K195&lt;L195,1,0)</f>
        <v/>
      </c>
      <c r="V195" s="15">
        <f>IF(H195&gt;I195,1,0)</f>
        <v/>
      </c>
      <c r="W195" s="15">
        <f>IF(SUM(U195:V195)=2,"Anticipatory_Sell","No_Action")</f>
        <v/>
      </c>
      <c r="X195" s="15" t="n"/>
      <c r="Y195" s="15">
        <f>IF(SUM(Z195:AA195)=2,"Confirm_Sell","No_Action")</f>
        <v/>
      </c>
      <c r="Z195" s="15">
        <f>IF(H195&gt;I195,1,0)</f>
        <v/>
      </c>
      <c r="AA195" s="15">
        <f>IF(K195&lt;M195,1,0)</f>
        <v/>
      </c>
      <c r="AB195" s="15" t="n"/>
      <c r="AC195" s="15">
        <f>LEFT(AG195,2)&amp;LEFT(AI195,2)</f>
        <v/>
      </c>
      <c r="AD195" s="15" t="n"/>
      <c r="AE195" s="15">
        <f>IF(K195&gt;L195,1,0)</f>
        <v/>
      </c>
      <c r="AF195" s="16">
        <f>IF(H195&gt;I195,1,0)</f>
        <v/>
      </c>
      <c r="AG195" s="16">
        <f>IF(SUM(AE195:AF195)=2,"Anticipatory_Buy","No_Action")</f>
        <v/>
      </c>
      <c r="AH195" s="15" t="n"/>
      <c r="AI195" s="15">
        <f>IF(SUM(AJ195:AK195)=2,"Confirm_Buy","No_Action")</f>
        <v/>
      </c>
      <c r="AJ195" s="15">
        <f>IF(H195&gt;I195,1,0)</f>
        <v/>
      </c>
      <c r="AK195" s="15">
        <f>IF(K195&gt;M195,1,0)</f>
        <v/>
      </c>
    </row>
    <row r="196" ht="14.5" customHeight="1">
      <c r="A196" s="12" t="inlineStr">
        <is>
          <t>LT</t>
        </is>
      </c>
      <c r="B196" s="13">
        <f>IFERROR(__xludf.DUMMYFUNCTION("GOOGLEFINANCE(""NSE:""&amp;A196,""PRICE"")"),3954.75)</f>
        <v/>
      </c>
      <c r="C196" s="13">
        <f>IFERROR(__xludf.DUMMYFUNCTION("GOOGLEFINANCE(""NSE:""&amp;A196,""PRICEOPEN"")"),3867.5)</f>
        <v/>
      </c>
      <c r="D196" s="13">
        <f>IFERROR(__xludf.DUMMYFUNCTION("GOOGLEFINANCE(""NSE:""&amp;A196,""HIGH"")"),3959)</f>
        <v/>
      </c>
      <c r="E196" s="13">
        <f>IFERROR(__xludf.DUMMYFUNCTION("GOOGLEFINANCE(""NSE:""&amp;A196,""LOW"")"),3867.5)</f>
        <v/>
      </c>
      <c r="F196" s="13">
        <f>IFERROR(__xludf.DUMMYFUNCTION("GOOGLEFINANCE(""NSE:""&amp;A196,""closeyest"")"),3866.7)</f>
        <v/>
      </c>
      <c r="G196" s="14">
        <f>(B196-C196)/B196</f>
        <v/>
      </c>
      <c r="H196" s="13">
        <f>IFERROR(__xludf.DUMMYFUNCTION("GOOGLEFINANCE(""NSE:""&amp;A196,""VOLUME"")"),3332753)</f>
        <v/>
      </c>
      <c r="I196" s="13">
        <f>IFERROR(__xludf.DUMMYFUNCTION("AVERAGE(index(GOOGLEFINANCE(""NSE:""&amp;$A196, ""volume"", today()-21, today()-1), , 2))"),"#N/A")</f>
        <v/>
      </c>
      <c r="J196" s="14">
        <f>(H196-I196)/I196</f>
        <v/>
      </c>
      <c r="K196" s="13">
        <f>IFERROR(__xludf.DUMMYFUNCTION("AVERAGE(index(GOOGLEFINANCE(""NSE:""&amp;$A196, ""close"", today()-6, today()-1), , 2))"),"#N/A")</f>
        <v/>
      </c>
      <c r="L196" s="13">
        <f>IFERROR(__xludf.DUMMYFUNCTION("AVERAGE(index(GOOGLEFINANCE(""NSE:""&amp;$A196, ""close"", today()-14, today()-1), , 2))"),"#N/A")</f>
        <v/>
      </c>
      <c r="M196" s="13">
        <f>IFERROR(__xludf.DUMMYFUNCTION("AVERAGE(index(GOOGLEFINANCE(""NSE:""&amp;$A196, ""close"", today()-22, today()-1), , 2))"),"#N/A")</f>
        <v/>
      </c>
      <c r="N196" s="13">
        <f>AG196</f>
        <v/>
      </c>
      <c r="O196" s="13">
        <f>AI196</f>
        <v/>
      </c>
      <c r="P196" s="13">
        <f>W196</f>
        <v/>
      </c>
      <c r="Q196" s="13">
        <f>Y196</f>
        <v/>
      </c>
      <c r="R196" s="15" t="n"/>
      <c r="S196" s="15">
        <f>LEFT(W196,2)&amp;LEFT(Y196,2)</f>
        <v/>
      </c>
      <c r="T196" s="15" t="n"/>
      <c r="U196" s="15">
        <f>IF(K196&lt;L196,1,0)</f>
        <v/>
      </c>
      <c r="V196" s="15">
        <f>IF(H196&gt;I196,1,0)</f>
        <v/>
      </c>
      <c r="W196" s="15">
        <f>IF(SUM(U196:V196)=2,"Anticipatory_Sell","No_Action")</f>
        <v/>
      </c>
      <c r="X196" s="15" t="n"/>
      <c r="Y196" s="15">
        <f>IF(SUM(Z196:AA196)=2,"Confirm_Sell","No_Action")</f>
        <v/>
      </c>
      <c r="Z196" s="15">
        <f>IF(H196&gt;I196,1,0)</f>
        <v/>
      </c>
      <c r="AA196" s="15">
        <f>IF(K196&lt;M196,1,0)</f>
        <v/>
      </c>
      <c r="AB196" s="15" t="n"/>
      <c r="AC196" s="15">
        <f>LEFT(AG196,2)&amp;LEFT(AI196,2)</f>
        <v/>
      </c>
      <c r="AD196" s="15" t="n"/>
      <c r="AE196" s="15">
        <f>IF(K196&gt;L196,1,0)</f>
        <v/>
      </c>
      <c r="AF196" s="16">
        <f>IF(H196&gt;I196,1,0)</f>
        <v/>
      </c>
      <c r="AG196" s="16">
        <f>IF(SUM(AE196:AF196)=2,"Anticipatory_Buy","No_Action")</f>
        <v/>
      </c>
      <c r="AH196" s="15" t="n"/>
      <c r="AI196" s="15">
        <f>IF(SUM(AJ196:AK196)=2,"Confirm_Buy","No_Action")</f>
        <v/>
      </c>
      <c r="AJ196" s="15">
        <f>IF(H196&gt;I196,1,0)</f>
        <v/>
      </c>
      <c r="AK196" s="15">
        <f>IF(K196&gt;M196,1,0)</f>
        <v/>
      </c>
    </row>
    <row r="197" ht="14.5" customHeight="1">
      <c r="A197" s="12" t="inlineStr">
        <is>
          <t>LATENTVIEW</t>
        </is>
      </c>
      <c r="B197" s="13">
        <f>IFERROR(__xludf.DUMMYFUNCTION("GOOGLEFINANCE(""NSE:""&amp;A197,""PRICE"")"),483)</f>
        <v/>
      </c>
      <c r="C197" s="13">
        <f>IFERROR(__xludf.DUMMYFUNCTION("GOOGLEFINANCE(""NSE:""&amp;A197,""PRICEOPEN"")"),472.1)</f>
        <v/>
      </c>
      <c r="D197" s="13">
        <f>IFERROR(__xludf.DUMMYFUNCTION("GOOGLEFINANCE(""NSE:""&amp;A197,""HIGH"")"),490)</f>
        <v/>
      </c>
      <c r="E197" s="13">
        <f>IFERROR(__xludf.DUMMYFUNCTION("GOOGLEFINANCE(""NSE:""&amp;A197,""LOW"")"),467)</f>
        <v/>
      </c>
      <c r="F197" s="13">
        <f>IFERROR(__xludf.DUMMYFUNCTION("GOOGLEFINANCE(""NSE:""&amp;A197,""closeyest"")"),471.8)</f>
        <v/>
      </c>
      <c r="G197" s="14">
        <f>(B197-C197)/B197</f>
        <v/>
      </c>
      <c r="H197" s="13">
        <f>IFERROR(__xludf.DUMMYFUNCTION("GOOGLEFINANCE(""NSE:""&amp;A197,""VOLUME"")"),674758)</f>
        <v/>
      </c>
      <c r="I197" s="13">
        <f>IFERROR(__xludf.DUMMYFUNCTION("AVERAGE(index(GOOGLEFINANCE(""NSE:""&amp;$A197, ""volume"", today()-21, today()-1), , 2))"),"#N/A")</f>
        <v/>
      </c>
      <c r="J197" s="14">
        <f>(H197-I197)/I197</f>
        <v/>
      </c>
      <c r="K197" s="13">
        <f>IFERROR(__xludf.DUMMYFUNCTION("AVERAGE(index(GOOGLEFINANCE(""NSE:""&amp;$A197, ""close"", today()-6, today()-1), , 2))"),"#N/A")</f>
        <v/>
      </c>
      <c r="L197" s="13">
        <f>IFERROR(__xludf.DUMMYFUNCTION("AVERAGE(index(GOOGLEFINANCE(""NSE:""&amp;$A197, ""close"", today()-14, today()-1), , 2))"),"#N/A")</f>
        <v/>
      </c>
      <c r="M197" s="13">
        <f>IFERROR(__xludf.DUMMYFUNCTION("AVERAGE(index(GOOGLEFINANCE(""NSE:""&amp;$A197, ""close"", today()-22, today()-1), , 2))"),"#N/A")</f>
        <v/>
      </c>
      <c r="N197" s="13">
        <f>AG197</f>
        <v/>
      </c>
      <c r="O197" s="13">
        <f>AI197</f>
        <v/>
      </c>
      <c r="P197" s="13">
        <f>W197</f>
        <v/>
      </c>
      <c r="Q197" s="13">
        <f>Y197</f>
        <v/>
      </c>
      <c r="R197" s="15" t="n"/>
      <c r="S197" s="15">
        <f>LEFT(W197,2)&amp;LEFT(Y197,2)</f>
        <v/>
      </c>
      <c r="T197" s="15" t="n"/>
      <c r="U197" s="15">
        <f>IF(K197&lt;L197,1,0)</f>
        <v/>
      </c>
      <c r="V197" s="15">
        <f>IF(H197&gt;I197,1,0)</f>
        <v/>
      </c>
      <c r="W197" s="15">
        <f>IF(SUM(U197:V197)=2,"Anticipatory_Sell","No_Action")</f>
        <v/>
      </c>
      <c r="X197" s="15" t="n"/>
      <c r="Y197" s="15">
        <f>IF(SUM(Z197:AA197)=2,"Confirm_Sell","No_Action")</f>
        <v/>
      </c>
      <c r="Z197" s="15">
        <f>IF(H197&gt;I197,1,0)</f>
        <v/>
      </c>
      <c r="AA197" s="15">
        <f>IF(K197&lt;M197,1,0)</f>
        <v/>
      </c>
      <c r="AB197" s="15" t="n"/>
      <c r="AC197" s="15">
        <f>LEFT(AG197,2)&amp;LEFT(AI197,2)</f>
        <v/>
      </c>
      <c r="AD197" s="15" t="n"/>
      <c r="AE197" s="15">
        <f>IF(K197&gt;L197,1,0)</f>
        <v/>
      </c>
      <c r="AF197" s="16">
        <f>IF(H197&gt;I197,1,0)</f>
        <v/>
      </c>
      <c r="AG197" s="16">
        <f>IF(SUM(AE197:AF197)=2,"Anticipatory_Buy","No_Action")</f>
        <v/>
      </c>
      <c r="AH197" s="15" t="n"/>
      <c r="AI197" s="15">
        <f>IF(SUM(AJ197:AK197)=2,"Confirm_Buy","No_Action")</f>
        <v/>
      </c>
      <c r="AJ197" s="15">
        <f>IF(H197&gt;I197,1,0)</f>
        <v/>
      </c>
      <c r="AK197" s="15">
        <f>IF(K197&gt;M197,1,0)</f>
        <v/>
      </c>
    </row>
    <row r="198" ht="14.5" customHeight="1">
      <c r="A198" s="12" t="inlineStr">
        <is>
          <t>LEMONTREE</t>
        </is>
      </c>
      <c r="B198" s="13">
        <f>IFERROR(__xludf.DUMMYFUNCTION("GOOGLEFINANCE(""NSE:""&amp;A198,""PRICE"")"),141.64)</f>
        <v/>
      </c>
      <c r="C198" s="13">
        <f>IFERROR(__xludf.DUMMYFUNCTION("GOOGLEFINANCE(""NSE:""&amp;A198,""PRICEOPEN"")"),138.55)</f>
        <v/>
      </c>
      <c r="D198" s="13">
        <f>IFERROR(__xludf.DUMMYFUNCTION("GOOGLEFINANCE(""NSE:""&amp;A198,""HIGH"")"),144.1)</f>
        <v/>
      </c>
      <c r="E198" s="13">
        <f>IFERROR(__xludf.DUMMYFUNCTION("GOOGLEFINANCE(""NSE:""&amp;A198,""LOW"")"),138.05)</f>
        <v/>
      </c>
      <c r="F198" s="13">
        <f>IFERROR(__xludf.DUMMYFUNCTION("GOOGLEFINANCE(""NSE:""&amp;A198,""closeyest"")"),137.82)</f>
        <v/>
      </c>
      <c r="G198" s="14">
        <f>(B198-C198)/B198</f>
        <v/>
      </c>
      <c r="H198" s="13">
        <f>IFERROR(__xludf.DUMMYFUNCTION("GOOGLEFINANCE(""NSE:""&amp;A198,""VOLUME"")"),10959490)</f>
        <v/>
      </c>
      <c r="I198" s="13">
        <f>IFERROR(__xludf.DUMMYFUNCTION("AVERAGE(index(GOOGLEFINANCE(""NSE:""&amp;$A198, ""volume"", today()-21, today()-1), , 2))"),"#N/A")</f>
        <v/>
      </c>
      <c r="J198" s="14">
        <f>(H198-I198)/I198</f>
        <v/>
      </c>
      <c r="K198" s="13">
        <f>IFERROR(__xludf.DUMMYFUNCTION("AVERAGE(index(GOOGLEFINANCE(""NSE:""&amp;$A198, ""close"", today()-6, today()-1), , 2))"),"#N/A")</f>
        <v/>
      </c>
      <c r="L198" s="13">
        <f>IFERROR(__xludf.DUMMYFUNCTION("AVERAGE(index(GOOGLEFINANCE(""NSE:""&amp;$A198, ""close"", today()-14, today()-1), , 2))"),"#N/A")</f>
        <v/>
      </c>
      <c r="M198" s="13">
        <f>IFERROR(__xludf.DUMMYFUNCTION("AVERAGE(index(GOOGLEFINANCE(""NSE:""&amp;$A198, ""close"", today()-22, today()-1), , 2))"),"#N/A")</f>
        <v/>
      </c>
      <c r="N198" s="13">
        <f>AG198</f>
        <v/>
      </c>
      <c r="O198" s="13">
        <f>AI198</f>
        <v/>
      </c>
      <c r="P198" s="13">
        <f>W198</f>
        <v/>
      </c>
      <c r="Q198" s="13">
        <f>Y198</f>
        <v/>
      </c>
      <c r="R198" s="15" t="n"/>
      <c r="S198" s="15">
        <f>LEFT(W198,2)&amp;LEFT(Y198,2)</f>
        <v/>
      </c>
      <c r="T198" s="15" t="n"/>
      <c r="U198" s="15">
        <f>IF(K198&lt;L198,1,0)</f>
        <v/>
      </c>
      <c r="V198" s="15">
        <f>IF(H198&gt;I198,1,0)</f>
        <v/>
      </c>
      <c r="W198" s="15">
        <f>IF(SUM(U198:V198)=2,"Anticipatory_Sell","No_Action")</f>
        <v/>
      </c>
      <c r="X198" s="15" t="n"/>
      <c r="Y198" s="15">
        <f>IF(SUM(Z198:AA198)=2,"Confirm_Sell","No_Action")</f>
        <v/>
      </c>
      <c r="Z198" s="15">
        <f>IF(H198&gt;I198,1,0)</f>
        <v/>
      </c>
      <c r="AA198" s="15">
        <f>IF(K198&lt;M198,1,0)</f>
        <v/>
      </c>
      <c r="AB198" s="15" t="n"/>
      <c r="AC198" s="15">
        <f>LEFT(AG198,2)&amp;LEFT(AI198,2)</f>
        <v/>
      </c>
      <c r="AD198" s="15" t="n"/>
      <c r="AE198" s="15">
        <f>IF(K198&gt;L198,1,0)</f>
        <v/>
      </c>
      <c r="AF198" s="16">
        <f>IF(H198&gt;I198,1,0)</f>
        <v/>
      </c>
      <c r="AG198" s="16">
        <f>IF(SUM(AE198:AF198)=2,"Anticipatory_Buy","No_Action")</f>
        <v/>
      </c>
      <c r="AH198" s="15" t="n"/>
      <c r="AI198" s="15">
        <f>IF(SUM(AJ198:AK198)=2,"Confirm_Buy","No_Action")</f>
        <v/>
      </c>
      <c r="AJ198" s="15">
        <f>IF(H198&gt;I198,1,0)</f>
        <v/>
      </c>
      <c r="AK198" s="15">
        <f>IF(K198&gt;M198,1,0)</f>
        <v/>
      </c>
    </row>
    <row r="199" ht="14.5" customHeight="1">
      <c r="A199" s="12" t="inlineStr">
        <is>
          <t>LICHSGFIN</t>
        </is>
      </c>
      <c r="B199" s="13">
        <f>IFERROR(__xludf.DUMMYFUNCTION("GOOGLEFINANCE(""NSE:""&amp;A199,""PRICE"")"),630.45)</f>
        <v/>
      </c>
      <c r="C199" s="13">
        <f>IFERROR(__xludf.DUMMYFUNCTION("GOOGLEFINANCE(""NSE:""&amp;A199,""PRICEOPEN"")"),641.25)</f>
        <v/>
      </c>
      <c r="D199" s="13">
        <f>IFERROR(__xludf.DUMMYFUNCTION("GOOGLEFINANCE(""NSE:""&amp;A199,""HIGH"")"),643.9)</f>
        <v/>
      </c>
      <c r="E199" s="13">
        <f>IFERROR(__xludf.DUMMYFUNCTION("GOOGLEFINANCE(""NSE:""&amp;A199,""LOW"")"),628.95)</f>
        <v/>
      </c>
      <c r="F199" s="13">
        <f>IFERROR(__xludf.DUMMYFUNCTION("GOOGLEFINANCE(""NSE:""&amp;A199,""closeyest"")"),641.25)</f>
        <v/>
      </c>
      <c r="G199" s="14">
        <f>(B199-C199)/B199</f>
        <v/>
      </c>
      <c r="H199" s="13">
        <f>IFERROR(__xludf.DUMMYFUNCTION("GOOGLEFINANCE(""NSE:""&amp;A199,""VOLUME"")"),824080)</f>
        <v/>
      </c>
      <c r="I199" s="13">
        <f>IFERROR(__xludf.DUMMYFUNCTION("AVERAGE(index(GOOGLEFINANCE(""NSE:""&amp;$A199, ""volume"", today()-21, today()-1), , 2))"),"#N/A")</f>
        <v/>
      </c>
      <c r="J199" s="14">
        <f>(H199-I199)/I199</f>
        <v/>
      </c>
      <c r="K199" s="13">
        <f>IFERROR(__xludf.DUMMYFUNCTION("AVERAGE(index(GOOGLEFINANCE(""NSE:""&amp;$A199, ""close"", today()-6, today()-1), , 2))"),"#N/A")</f>
        <v/>
      </c>
      <c r="L199" s="13">
        <f>IFERROR(__xludf.DUMMYFUNCTION("AVERAGE(index(GOOGLEFINANCE(""NSE:""&amp;$A199, ""close"", today()-14, today()-1), , 2))"),"#N/A")</f>
        <v/>
      </c>
      <c r="M199" s="13">
        <f>IFERROR(__xludf.DUMMYFUNCTION("AVERAGE(index(GOOGLEFINANCE(""NSE:""&amp;$A199, ""close"", today()-22, today()-1), , 2))"),"#N/A")</f>
        <v/>
      </c>
      <c r="N199" s="13">
        <f>AG199</f>
        <v/>
      </c>
      <c r="O199" s="13">
        <f>AI199</f>
        <v/>
      </c>
      <c r="P199" s="13">
        <f>W199</f>
        <v/>
      </c>
      <c r="Q199" s="13">
        <f>Y199</f>
        <v/>
      </c>
      <c r="R199" s="15" t="n"/>
      <c r="S199" s="15">
        <f>LEFT(W199,2)&amp;LEFT(Y199,2)</f>
        <v/>
      </c>
      <c r="T199" s="15" t="n"/>
      <c r="U199" s="15">
        <f>IF(K199&lt;L199,1,0)</f>
        <v/>
      </c>
      <c r="V199" s="15">
        <f>IF(H199&gt;I199,1,0)</f>
        <v/>
      </c>
      <c r="W199" s="15">
        <f>IF(SUM(U199:V199)=2,"Anticipatory_Sell","No_Action")</f>
        <v/>
      </c>
      <c r="X199" s="15" t="n"/>
      <c r="Y199" s="15">
        <f>IF(SUM(Z199:AA199)=2,"Confirm_Sell","No_Action")</f>
        <v/>
      </c>
      <c r="Z199" s="15">
        <f>IF(H199&gt;I199,1,0)</f>
        <v/>
      </c>
      <c r="AA199" s="15">
        <f>IF(K199&lt;M199,1,0)</f>
        <v/>
      </c>
      <c r="AB199" s="15" t="n"/>
      <c r="AC199" s="15">
        <f>LEFT(AG199,2)&amp;LEFT(AI199,2)</f>
        <v/>
      </c>
      <c r="AD199" s="15" t="n"/>
      <c r="AE199" s="15">
        <f>IF(K199&gt;L199,1,0)</f>
        <v/>
      </c>
      <c r="AF199" s="16">
        <f>IF(H199&gt;I199,1,0)</f>
        <v/>
      </c>
      <c r="AG199" s="16">
        <f>IF(SUM(AE199:AF199)=2,"Anticipatory_Buy","No_Action")</f>
        <v/>
      </c>
      <c r="AH199" s="15" t="n"/>
      <c r="AI199" s="15">
        <f>IF(SUM(AJ199:AK199)=2,"Confirm_Buy","No_Action")</f>
        <v/>
      </c>
      <c r="AJ199" s="15">
        <f>IF(H199&gt;I199,1,0)</f>
        <v/>
      </c>
      <c r="AK199" s="15">
        <f>IF(K199&gt;M199,1,0)</f>
        <v/>
      </c>
    </row>
    <row r="200" ht="14.5" customHeight="1">
      <c r="A200" s="12" t="inlineStr">
        <is>
          <t>LIKHITHA</t>
        </is>
      </c>
      <c r="B200" s="13">
        <f>IFERROR(__xludf.DUMMYFUNCTION("GOOGLEFINANCE(""NSE:""&amp;A200,""PRICE"")"),391.6)</f>
        <v/>
      </c>
      <c r="C200" s="13">
        <f>IFERROR(__xludf.DUMMYFUNCTION("GOOGLEFINANCE(""NSE:""&amp;A200,""PRICEOPEN"")"),399.05)</f>
        <v/>
      </c>
      <c r="D200" s="13">
        <f>IFERROR(__xludf.DUMMYFUNCTION("GOOGLEFINANCE(""NSE:""&amp;A200,""HIGH"")"),399.05)</f>
        <v/>
      </c>
      <c r="E200" s="13">
        <f>IFERROR(__xludf.DUMMYFUNCTION("GOOGLEFINANCE(""NSE:""&amp;A200,""LOW"")"),386.1)</f>
        <v/>
      </c>
      <c r="F200" s="13">
        <f>IFERROR(__xludf.DUMMYFUNCTION("GOOGLEFINANCE(""NSE:""&amp;A200,""closeyest"")"),400.7)</f>
        <v/>
      </c>
      <c r="G200" s="14">
        <f>(B200-C200)/B200</f>
        <v/>
      </c>
      <c r="H200" s="13">
        <f>IFERROR(__xludf.DUMMYFUNCTION("GOOGLEFINANCE(""NSE:""&amp;A200,""VOLUME"")"),134690)</f>
        <v/>
      </c>
      <c r="I200" s="13">
        <f>IFERROR(__xludf.DUMMYFUNCTION("AVERAGE(index(GOOGLEFINANCE(""NSE:""&amp;$A200, ""volume"", today()-21, today()-1), , 2))"),"#N/A")</f>
        <v/>
      </c>
      <c r="J200" s="14">
        <f>(H200-I200)/I200</f>
        <v/>
      </c>
      <c r="K200" s="13">
        <f>IFERROR(__xludf.DUMMYFUNCTION("AVERAGE(index(GOOGLEFINANCE(""NSE:""&amp;$A200, ""close"", today()-6, today()-1), , 2))"),"#N/A")</f>
        <v/>
      </c>
      <c r="L200" s="13">
        <f>IFERROR(__xludf.DUMMYFUNCTION("AVERAGE(index(GOOGLEFINANCE(""NSE:""&amp;$A200, ""close"", today()-14, today()-1), , 2))"),"#N/A")</f>
        <v/>
      </c>
      <c r="M200" s="13">
        <f>IFERROR(__xludf.DUMMYFUNCTION("AVERAGE(index(GOOGLEFINANCE(""NSE:""&amp;$A200, ""close"", today()-22, today()-1), , 2))"),"#N/A")</f>
        <v/>
      </c>
      <c r="N200" s="13">
        <f>AG200</f>
        <v/>
      </c>
      <c r="O200" s="13">
        <f>AI200</f>
        <v/>
      </c>
      <c r="P200" s="13">
        <f>W200</f>
        <v/>
      </c>
      <c r="Q200" s="13">
        <f>Y200</f>
        <v/>
      </c>
      <c r="R200" s="15" t="n"/>
      <c r="S200" s="15">
        <f>LEFT(W200,2)&amp;LEFT(Y200,2)</f>
        <v/>
      </c>
      <c r="T200" s="15" t="n"/>
      <c r="U200" s="15">
        <f>IF(K200&lt;L200,1,0)</f>
        <v/>
      </c>
      <c r="V200" s="15">
        <f>IF(H200&gt;I200,1,0)</f>
        <v/>
      </c>
      <c r="W200" s="15">
        <f>IF(SUM(U200:V200)=2,"Anticipatory_Sell","No_Action")</f>
        <v/>
      </c>
      <c r="X200" s="15" t="n"/>
      <c r="Y200" s="15">
        <f>IF(SUM(Z200:AA200)=2,"Confirm_Sell","No_Action")</f>
        <v/>
      </c>
      <c r="Z200" s="15">
        <f>IF(H200&gt;I200,1,0)</f>
        <v/>
      </c>
      <c r="AA200" s="15">
        <f>IF(K200&lt;M200,1,0)</f>
        <v/>
      </c>
      <c r="AB200" s="15" t="n"/>
      <c r="AC200" s="15">
        <f>LEFT(AG200,2)&amp;LEFT(AI200,2)</f>
        <v/>
      </c>
      <c r="AD200" s="15" t="n"/>
      <c r="AE200" s="15">
        <f>IF(K200&gt;L200,1,0)</f>
        <v/>
      </c>
      <c r="AF200" s="16">
        <f>IF(H200&gt;I200,1,0)</f>
        <v/>
      </c>
      <c r="AG200" s="16">
        <f>IF(SUM(AE200:AF200)=2,"Anticipatory_Buy","No_Action")</f>
        <v/>
      </c>
      <c r="AH200" s="15" t="n"/>
      <c r="AI200" s="15">
        <f>IF(SUM(AJ200:AK200)=2,"Confirm_Buy","No_Action")</f>
        <v/>
      </c>
      <c r="AJ200" s="15">
        <f>IF(H200&gt;I200,1,0)</f>
        <v/>
      </c>
      <c r="AK200" s="15">
        <f>IF(K200&gt;M200,1,0)</f>
        <v/>
      </c>
    </row>
    <row r="201" ht="14.5" customHeight="1">
      <c r="A201" s="12" t="inlineStr">
        <is>
          <t>LINCOLN</t>
        </is>
      </c>
      <c r="B201" s="13">
        <f>IFERROR(__xludf.DUMMYFUNCTION("GOOGLEFINANCE(""NSE:""&amp;A201,""PRICE"")"),957)</f>
        <v/>
      </c>
      <c r="C201" s="13">
        <f>IFERROR(__xludf.DUMMYFUNCTION("GOOGLEFINANCE(""NSE:""&amp;A201,""PRICEOPEN"")"),929.95)</f>
        <v/>
      </c>
      <c r="D201" s="13">
        <f>IFERROR(__xludf.DUMMYFUNCTION("GOOGLEFINANCE(""NSE:""&amp;A201,""HIGH"")"),979.5)</f>
        <v/>
      </c>
      <c r="E201" s="13">
        <f>IFERROR(__xludf.DUMMYFUNCTION("GOOGLEFINANCE(""NSE:""&amp;A201,""LOW"")"),921.15)</f>
        <v/>
      </c>
      <c r="F201" s="13">
        <f>IFERROR(__xludf.DUMMYFUNCTION("GOOGLEFINANCE(""NSE:""&amp;A201,""closeyest"")"),919.35)</f>
        <v/>
      </c>
      <c r="G201" s="14">
        <f>(B201-C201)/B201</f>
        <v/>
      </c>
      <c r="H201" s="13">
        <f>IFERROR(__xludf.DUMMYFUNCTION("GOOGLEFINANCE(""NSE:""&amp;A201,""VOLUME"")"),460555)</f>
        <v/>
      </c>
      <c r="I201" s="13">
        <f>IFERROR(__xludf.DUMMYFUNCTION("AVERAGE(index(GOOGLEFINANCE(""NSE:""&amp;$A201, ""volume"", today()-21, today()-1), , 2))"),"#N/A")</f>
        <v/>
      </c>
      <c r="J201" s="14">
        <f>(H201-I201)/I201</f>
        <v/>
      </c>
      <c r="K201" s="13">
        <f>IFERROR(__xludf.DUMMYFUNCTION("AVERAGE(index(GOOGLEFINANCE(""NSE:""&amp;$A201, ""close"", today()-6, today()-1), , 2))"),"#N/A")</f>
        <v/>
      </c>
      <c r="L201" s="13">
        <f>IFERROR(__xludf.DUMMYFUNCTION("AVERAGE(index(GOOGLEFINANCE(""NSE:""&amp;$A201, ""close"", today()-14, today()-1), , 2))"),"#N/A")</f>
        <v/>
      </c>
      <c r="M201" s="13">
        <f>IFERROR(__xludf.DUMMYFUNCTION("AVERAGE(index(GOOGLEFINANCE(""NSE:""&amp;$A201, ""close"", today()-22, today()-1), , 2))"),"#N/A")</f>
        <v/>
      </c>
      <c r="N201" s="13">
        <f>AG201</f>
        <v/>
      </c>
      <c r="O201" s="13">
        <f>AI201</f>
        <v/>
      </c>
      <c r="P201" s="13">
        <f>W201</f>
        <v/>
      </c>
      <c r="Q201" s="13">
        <f>Y201</f>
        <v/>
      </c>
      <c r="R201" s="15" t="n"/>
      <c r="S201" s="15">
        <f>LEFT(W201,2)&amp;LEFT(Y201,2)</f>
        <v/>
      </c>
      <c r="T201" s="15" t="n"/>
      <c r="U201" s="15">
        <f>IF(K201&lt;L201,1,0)</f>
        <v/>
      </c>
      <c r="V201" s="15">
        <f>IF(H201&gt;I201,1,0)</f>
        <v/>
      </c>
      <c r="W201" s="15">
        <f>IF(SUM(U201:V201)=2,"Anticipatory_Sell","No_Action")</f>
        <v/>
      </c>
      <c r="X201" s="15" t="n"/>
      <c r="Y201" s="15">
        <f>IF(SUM(Z201:AA201)=2,"Confirm_Sell","No_Action")</f>
        <v/>
      </c>
      <c r="Z201" s="15">
        <f>IF(H201&gt;I201,1,0)</f>
        <v/>
      </c>
      <c r="AA201" s="15">
        <f>IF(K201&lt;M201,1,0)</f>
        <v/>
      </c>
      <c r="AB201" s="15" t="n"/>
      <c r="AC201" s="15">
        <f>LEFT(AG201,2)&amp;LEFT(AI201,2)</f>
        <v/>
      </c>
      <c r="AD201" s="15" t="n"/>
      <c r="AE201" s="15">
        <f>IF(K201&gt;L201,1,0)</f>
        <v/>
      </c>
      <c r="AF201" s="16">
        <f>IF(H201&gt;I201,1,0)</f>
        <v/>
      </c>
      <c r="AG201" s="16">
        <f>IF(SUM(AE201:AF201)=2,"Anticipatory_Buy","No_Action")</f>
        <v/>
      </c>
      <c r="AH201" s="15" t="n"/>
      <c r="AI201" s="15">
        <f>IF(SUM(AJ201:AK201)=2,"Confirm_Buy","No_Action")</f>
        <v/>
      </c>
      <c r="AJ201" s="15">
        <f>IF(H201&gt;I201,1,0)</f>
        <v/>
      </c>
      <c r="AK201" s="15">
        <f>IF(K201&gt;M201,1,0)</f>
        <v/>
      </c>
    </row>
    <row r="202" ht="14.5" customHeight="1">
      <c r="A202" s="12" t="inlineStr">
        <is>
          <t>LUPIN</t>
        </is>
      </c>
      <c r="B202" s="13">
        <f>IFERROR(__xludf.DUMMYFUNCTION("GOOGLEFINANCE(""NSE:""&amp;A202,""PRICE"")"),2110)</f>
        <v/>
      </c>
      <c r="C202" s="13">
        <f>IFERROR(__xludf.DUMMYFUNCTION("GOOGLEFINANCE(""NSE:""&amp;A202,""PRICEOPEN"")"),2136)</f>
        <v/>
      </c>
      <c r="D202" s="13">
        <f>IFERROR(__xludf.DUMMYFUNCTION("GOOGLEFINANCE(""NSE:""&amp;A202,""HIGH"")"),2142)</f>
        <v/>
      </c>
      <c r="E202" s="13">
        <f>IFERROR(__xludf.DUMMYFUNCTION("GOOGLEFINANCE(""NSE:""&amp;A202,""LOW"")"),2097.45)</f>
        <v/>
      </c>
      <c r="F202" s="13">
        <f>IFERROR(__xludf.DUMMYFUNCTION("GOOGLEFINANCE(""NSE:""&amp;A202,""closeyest"")"),2133.55)</f>
        <v/>
      </c>
      <c r="G202" s="14">
        <f>(B202-C202)/B202</f>
        <v/>
      </c>
      <c r="H202" s="13">
        <f>IFERROR(__xludf.DUMMYFUNCTION("GOOGLEFINANCE(""NSE:""&amp;A202,""VOLUME"")"),599944)</f>
        <v/>
      </c>
      <c r="I202" s="13">
        <f>IFERROR(__xludf.DUMMYFUNCTION("AVERAGE(index(GOOGLEFINANCE(""NSE:""&amp;$A202, ""volume"", today()-21, today()-1), , 2))"),"#N/A")</f>
        <v/>
      </c>
      <c r="J202" s="14">
        <f>(H202-I202)/I202</f>
        <v/>
      </c>
      <c r="K202" s="13">
        <f>IFERROR(__xludf.DUMMYFUNCTION("AVERAGE(index(GOOGLEFINANCE(""NSE:""&amp;$A202, ""close"", today()-6, today()-1), , 2))"),"#N/A")</f>
        <v/>
      </c>
      <c r="L202" s="13">
        <f>IFERROR(__xludf.DUMMYFUNCTION("AVERAGE(index(GOOGLEFINANCE(""NSE:""&amp;$A202, ""close"", today()-14, today()-1), , 2))"),"#N/A")</f>
        <v/>
      </c>
      <c r="M202" s="13">
        <f>IFERROR(__xludf.DUMMYFUNCTION("AVERAGE(index(GOOGLEFINANCE(""NSE:""&amp;$A202, ""close"", today()-22, today()-1), , 2))"),"#N/A")</f>
        <v/>
      </c>
      <c r="N202" s="13">
        <f>AG202</f>
        <v/>
      </c>
      <c r="O202" s="13">
        <f>AI202</f>
        <v/>
      </c>
      <c r="P202" s="13">
        <f>W202</f>
        <v/>
      </c>
      <c r="Q202" s="13">
        <f>Y202</f>
        <v/>
      </c>
      <c r="R202" s="15" t="n"/>
      <c r="S202" s="15">
        <f>LEFT(W202,2)&amp;LEFT(Y202,2)</f>
        <v/>
      </c>
      <c r="T202" s="15" t="n"/>
      <c r="U202" s="15">
        <f>IF(K202&lt;L202,1,0)</f>
        <v/>
      </c>
      <c r="V202" s="15">
        <f>IF(H202&gt;I202,1,0)</f>
        <v/>
      </c>
      <c r="W202" s="15">
        <f>IF(SUM(U202:V202)=2,"Anticipatory_Sell","No_Action")</f>
        <v/>
      </c>
      <c r="X202" s="15" t="n"/>
      <c r="Y202" s="15">
        <f>IF(SUM(Z202:AA202)=2,"Confirm_Sell","No_Action")</f>
        <v/>
      </c>
      <c r="Z202" s="15">
        <f>IF(H202&gt;I202,1,0)</f>
        <v/>
      </c>
      <c r="AA202" s="15">
        <f>IF(K202&lt;M202,1,0)</f>
        <v/>
      </c>
      <c r="AB202" s="15" t="n"/>
      <c r="AC202" s="15">
        <f>LEFT(AG202,2)&amp;LEFT(AI202,2)</f>
        <v/>
      </c>
      <c r="AD202" s="15" t="n"/>
      <c r="AE202" s="15">
        <f>IF(K202&gt;L202,1,0)</f>
        <v/>
      </c>
      <c r="AF202" s="16">
        <f>IF(H202&gt;I202,1,0)</f>
        <v/>
      </c>
      <c r="AG202" s="16">
        <f>IF(SUM(AE202:AF202)=2,"Anticipatory_Buy","No_Action")</f>
        <v/>
      </c>
      <c r="AH202" s="15" t="n"/>
      <c r="AI202" s="15">
        <f>IF(SUM(AJ202:AK202)=2,"Confirm_Buy","No_Action")</f>
        <v/>
      </c>
      <c r="AJ202" s="15">
        <f>IF(H202&gt;I202,1,0)</f>
        <v/>
      </c>
      <c r="AK202" s="15">
        <f>IF(K202&gt;M202,1,0)</f>
        <v/>
      </c>
    </row>
    <row r="203" ht="14.5" customHeight="1">
      <c r="A203" s="12" t="inlineStr">
        <is>
          <t>M&amp;M</t>
        </is>
      </c>
      <c r="B203" s="13">
        <f>IFERROR(__xludf.DUMMYFUNCTION("GOOGLEFINANCE(""NSE:""&amp;A203,""PRICE"")"),3048)</f>
        <v/>
      </c>
      <c r="C203" s="13">
        <f>IFERROR(__xludf.DUMMYFUNCTION("GOOGLEFINANCE(""NSE:""&amp;A203,""PRICEOPEN"")"),3063.4)</f>
        <v/>
      </c>
      <c r="D203" s="13">
        <f>IFERROR(__xludf.DUMMYFUNCTION("GOOGLEFINANCE(""NSE:""&amp;A203,""HIGH"")"),3073)</f>
        <v/>
      </c>
      <c r="E203" s="13">
        <f>IFERROR(__xludf.DUMMYFUNCTION("GOOGLEFINANCE(""NSE:""&amp;A203,""LOW"")"),3040)</f>
        <v/>
      </c>
      <c r="F203" s="13">
        <f>IFERROR(__xludf.DUMMYFUNCTION("GOOGLEFINANCE(""NSE:""&amp;A203,""closeyest"")"),3073)</f>
        <v/>
      </c>
      <c r="G203" s="14">
        <f>(B203-C203)/B203</f>
        <v/>
      </c>
      <c r="H203" s="13">
        <f>IFERROR(__xludf.DUMMYFUNCTION("GOOGLEFINANCE(""NSE:""&amp;A203,""VOLUME"")"),1879542)</f>
        <v/>
      </c>
      <c r="I203" s="13">
        <f>IFERROR(__xludf.DUMMYFUNCTION("AVERAGE(index(GOOGLEFINANCE(""NSE:""&amp;$A203, ""volume"", today()-21, today()-1), , 2))"),"#N/A")</f>
        <v/>
      </c>
      <c r="J203" s="14">
        <f>(H203-I203)/I203</f>
        <v/>
      </c>
      <c r="K203" s="13">
        <f>IFERROR(__xludf.DUMMYFUNCTION("AVERAGE(index(GOOGLEFINANCE(""NSE:""&amp;$A203, ""close"", today()-6, today()-1), , 2))"),"#N/A")</f>
        <v/>
      </c>
      <c r="L203" s="13">
        <f>IFERROR(__xludf.DUMMYFUNCTION("AVERAGE(index(GOOGLEFINANCE(""NSE:""&amp;$A203, ""close"", today()-14, today()-1), , 2))"),"#N/A")</f>
        <v/>
      </c>
      <c r="M203" s="13">
        <f>IFERROR(__xludf.DUMMYFUNCTION("AVERAGE(index(GOOGLEFINANCE(""NSE:""&amp;$A203, ""close"", today()-22, today()-1), , 2))"),"#N/A")</f>
        <v/>
      </c>
      <c r="N203" s="13">
        <f>AG203</f>
        <v/>
      </c>
      <c r="O203" s="13">
        <f>AI203</f>
        <v/>
      </c>
      <c r="P203" s="13">
        <f>W203</f>
        <v/>
      </c>
      <c r="Q203" s="13">
        <f>Y203</f>
        <v/>
      </c>
      <c r="R203" s="15" t="n"/>
      <c r="S203" s="15">
        <f>LEFT(W203,2)&amp;LEFT(Y203,2)</f>
        <v/>
      </c>
      <c r="T203" s="15" t="n"/>
      <c r="U203" s="15">
        <f>IF(K203&lt;L203,1,0)</f>
        <v/>
      </c>
      <c r="V203" s="15">
        <f>IF(H203&gt;I203,1,0)</f>
        <v/>
      </c>
      <c r="W203" s="15">
        <f>IF(SUM(U203:V203)=2,"Anticipatory_Sell","No_Action")</f>
        <v/>
      </c>
      <c r="X203" s="15" t="n"/>
      <c r="Y203" s="15">
        <f>IF(SUM(Z203:AA203)=2,"Confirm_Sell","No_Action")</f>
        <v/>
      </c>
      <c r="Z203" s="15">
        <f>IF(H203&gt;I203,1,0)</f>
        <v/>
      </c>
      <c r="AA203" s="15">
        <f>IF(K203&lt;M203,1,0)</f>
        <v/>
      </c>
      <c r="AB203" s="15" t="n"/>
      <c r="AC203" s="15">
        <f>LEFT(AG203,2)&amp;LEFT(AI203,2)</f>
        <v/>
      </c>
      <c r="AD203" s="15" t="n"/>
      <c r="AE203" s="15">
        <f>IF(K203&gt;L203,1,0)</f>
        <v/>
      </c>
      <c r="AF203" s="16">
        <f>IF(H203&gt;I203,1,0)</f>
        <v/>
      </c>
      <c r="AG203" s="16">
        <f>IF(SUM(AE203:AF203)=2,"Anticipatory_Buy","No_Action")</f>
        <v/>
      </c>
      <c r="AH203" s="15" t="n"/>
      <c r="AI203" s="15">
        <f>IF(SUM(AJ203:AK203)=2,"Confirm_Buy","No_Action")</f>
        <v/>
      </c>
      <c r="AJ203" s="15">
        <f>IF(H203&gt;I203,1,0)</f>
        <v/>
      </c>
      <c r="AK203" s="15">
        <f>IF(K203&gt;M203,1,0)</f>
        <v/>
      </c>
    </row>
    <row r="204" ht="14.5" customHeight="1">
      <c r="A204" s="12" t="inlineStr">
        <is>
          <t>MMFL</t>
        </is>
      </c>
      <c r="B204" s="13">
        <f>IFERROR(__xludf.DUMMYFUNCTION("GOOGLEFINANCE(""NSE:""&amp;A204,""PRICE"")"),532)</f>
        <v/>
      </c>
      <c r="C204" s="13">
        <f>IFERROR(__xludf.DUMMYFUNCTION("GOOGLEFINANCE(""NSE:""&amp;A204,""PRICEOPEN"")"),540)</f>
        <v/>
      </c>
      <c r="D204" s="13">
        <f>IFERROR(__xludf.DUMMYFUNCTION("GOOGLEFINANCE(""NSE:""&amp;A204,""HIGH"")"),544.75)</f>
        <v/>
      </c>
      <c r="E204" s="13">
        <f>IFERROR(__xludf.DUMMYFUNCTION("GOOGLEFINANCE(""NSE:""&amp;A204,""LOW"")"),531.25)</f>
        <v/>
      </c>
      <c r="F204" s="13">
        <f>IFERROR(__xludf.DUMMYFUNCTION("GOOGLEFINANCE(""NSE:""&amp;A204,""closeyest"")"),542.35)</f>
        <v/>
      </c>
      <c r="G204" s="14">
        <f>(B204-C204)/B204</f>
        <v/>
      </c>
      <c r="H204" s="13">
        <f>IFERROR(__xludf.DUMMYFUNCTION("GOOGLEFINANCE(""NSE:""&amp;A204,""VOLUME"")"),31872)</f>
        <v/>
      </c>
      <c r="I204" s="13">
        <f>IFERROR(__xludf.DUMMYFUNCTION("AVERAGE(index(GOOGLEFINANCE(""NSE:""&amp;$A204, ""volume"", today()-21, today()-1), , 2))"),"#N/A")</f>
        <v/>
      </c>
      <c r="J204" s="14">
        <f>(H204-I204)/I204</f>
        <v/>
      </c>
      <c r="K204" s="13">
        <f>IFERROR(__xludf.DUMMYFUNCTION("AVERAGE(index(GOOGLEFINANCE(""NSE:""&amp;$A204, ""close"", today()-6, today()-1), , 2))"),"#N/A")</f>
        <v/>
      </c>
      <c r="L204" s="13">
        <f>IFERROR(__xludf.DUMMYFUNCTION("AVERAGE(index(GOOGLEFINANCE(""NSE:""&amp;$A204, ""close"", today()-14, today()-1), , 2))"),"#N/A")</f>
        <v/>
      </c>
      <c r="M204" s="13">
        <f>IFERROR(__xludf.DUMMYFUNCTION("AVERAGE(index(GOOGLEFINANCE(""NSE:""&amp;$A204, ""close"", today()-22, today()-1), , 2))"),"#N/A")</f>
        <v/>
      </c>
      <c r="N204" s="13">
        <f>AG204</f>
        <v/>
      </c>
      <c r="O204" s="13">
        <f>AI204</f>
        <v/>
      </c>
      <c r="P204" s="13">
        <f>W204</f>
        <v/>
      </c>
      <c r="Q204" s="13">
        <f>Y204</f>
        <v/>
      </c>
      <c r="R204" s="15" t="n"/>
      <c r="S204" s="15">
        <f>LEFT(W204,2)&amp;LEFT(Y204,2)</f>
        <v/>
      </c>
      <c r="T204" s="15" t="n"/>
      <c r="U204" s="15">
        <f>IF(K204&lt;L204,1,0)</f>
        <v/>
      </c>
      <c r="V204" s="15">
        <f>IF(H204&gt;I204,1,0)</f>
        <v/>
      </c>
      <c r="W204" s="15">
        <f>IF(SUM(U204:V204)=2,"Anticipatory_Sell","No_Action")</f>
        <v/>
      </c>
      <c r="X204" s="15" t="n"/>
      <c r="Y204" s="15">
        <f>IF(SUM(Z204:AA204)=2,"Confirm_Sell","No_Action")</f>
        <v/>
      </c>
      <c r="Z204" s="15">
        <f>IF(H204&gt;I204,1,0)</f>
        <v/>
      </c>
      <c r="AA204" s="15">
        <f>IF(K204&lt;M204,1,0)</f>
        <v/>
      </c>
      <c r="AB204" s="15" t="n"/>
      <c r="AC204" s="15">
        <f>LEFT(AG204,2)&amp;LEFT(AI204,2)</f>
        <v/>
      </c>
      <c r="AD204" s="15" t="n"/>
      <c r="AE204" s="15">
        <f>IF(K204&gt;L204,1,0)</f>
        <v/>
      </c>
      <c r="AF204" s="16">
        <f>IF(H204&gt;I204,1,0)</f>
        <v/>
      </c>
      <c r="AG204" s="16">
        <f>IF(SUM(AE204:AF204)=2,"Anticipatory_Buy","No_Action")</f>
        <v/>
      </c>
      <c r="AH204" s="15" t="n"/>
      <c r="AI204" s="15">
        <f>IF(SUM(AJ204:AK204)=2,"Confirm_Buy","No_Action")</f>
        <v/>
      </c>
      <c r="AJ204" s="15">
        <f>IF(H204&gt;I204,1,0)</f>
        <v/>
      </c>
      <c r="AK204" s="15">
        <f>IF(K204&gt;M204,1,0)</f>
        <v/>
      </c>
    </row>
    <row r="205" ht="14.5" customHeight="1">
      <c r="A205" s="12" t="inlineStr">
        <is>
          <t>MAHSEAMLES</t>
        </is>
      </c>
      <c r="B205" s="13">
        <f>IFERROR(__xludf.DUMMYFUNCTION("GOOGLEFINANCE(""NSE:""&amp;A205,""PRICE"")"),758)</f>
        <v/>
      </c>
      <c r="C205" s="13">
        <f>IFERROR(__xludf.DUMMYFUNCTION("GOOGLEFINANCE(""NSE:""&amp;A205,""PRICEOPEN"")"),762)</f>
        <v/>
      </c>
      <c r="D205" s="13">
        <f>IFERROR(__xludf.DUMMYFUNCTION("GOOGLEFINANCE(""NSE:""&amp;A205,""HIGH"")"),765.45)</f>
        <v/>
      </c>
      <c r="E205" s="13">
        <f>IFERROR(__xludf.DUMMYFUNCTION("GOOGLEFINANCE(""NSE:""&amp;A205,""LOW"")"),745.3)</f>
        <v/>
      </c>
      <c r="F205" s="13">
        <f>IFERROR(__xludf.DUMMYFUNCTION("GOOGLEFINANCE(""NSE:""&amp;A205,""closeyest"")"),768.1)</f>
        <v/>
      </c>
      <c r="G205" s="14">
        <f>(B205-C205)/B205</f>
        <v/>
      </c>
      <c r="H205" s="13">
        <f>IFERROR(__xludf.DUMMYFUNCTION("GOOGLEFINANCE(""NSE:""&amp;A205,""VOLUME"")"),864130)</f>
        <v/>
      </c>
      <c r="I205" s="13">
        <f>IFERROR(__xludf.DUMMYFUNCTION("AVERAGE(index(GOOGLEFINANCE(""NSE:""&amp;$A205, ""volume"", today()-21, today()-1), , 2))"),"#N/A")</f>
        <v/>
      </c>
      <c r="J205" s="14">
        <f>(H205-I205)/I205</f>
        <v/>
      </c>
      <c r="K205" s="13">
        <f>IFERROR(__xludf.DUMMYFUNCTION("AVERAGE(index(GOOGLEFINANCE(""NSE:""&amp;$A205, ""close"", today()-6, today()-1), , 2))"),"#N/A")</f>
        <v/>
      </c>
      <c r="L205" s="13">
        <f>IFERROR(__xludf.DUMMYFUNCTION("AVERAGE(index(GOOGLEFINANCE(""NSE:""&amp;$A205, ""close"", today()-14, today()-1), , 2))"),"#N/A")</f>
        <v/>
      </c>
      <c r="M205" s="13">
        <f>IFERROR(__xludf.DUMMYFUNCTION("AVERAGE(index(GOOGLEFINANCE(""NSE:""&amp;$A205, ""close"", today()-22, today()-1), , 2))"),"#N/A")</f>
        <v/>
      </c>
      <c r="N205" s="13">
        <f>AG205</f>
        <v/>
      </c>
      <c r="O205" s="13">
        <f>AI205</f>
        <v/>
      </c>
      <c r="P205" s="13">
        <f>W205</f>
        <v/>
      </c>
      <c r="Q205" s="13">
        <f>Y205</f>
        <v/>
      </c>
      <c r="R205" s="15" t="n"/>
      <c r="S205" s="15">
        <f>LEFT(W205,2)&amp;LEFT(Y205,2)</f>
        <v/>
      </c>
      <c r="T205" s="15" t="n"/>
      <c r="U205" s="15">
        <f>IF(K205&lt;L205,1,0)</f>
        <v/>
      </c>
      <c r="V205" s="15">
        <f>IF(H205&gt;I205,1,0)</f>
        <v/>
      </c>
      <c r="W205" s="15">
        <f>IF(SUM(U205:V205)=2,"Anticipatory_Sell","No_Action")</f>
        <v/>
      </c>
      <c r="X205" s="15" t="n"/>
      <c r="Y205" s="15">
        <f>IF(SUM(Z205:AA205)=2,"Confirm_Sell","No_Action")</f>
        <v/>
      </c>
      <c r="Z205" s="15">
        <f>IF(H205&gt;I205,1,0)</f>
        <v/>
      </c>
      <c r="AA205" s="15">
        <f>IF(K205&lt;M205,1,0)</f>
        <v/>
      </c>
      <c r="AB205" s="15" t="n"/>
      <c r="AC205" s="15">
        <f>LEFT(AG205,2)&amp;LEFT(AI205,2)</f>
        <v/>
      </c>
      <c r="AD205" s="15" t="n"/>
      <c r="AE205" s="15">
        <f>IF(K205&gt;L205,1,0)</f>
        <v/>
      </c>
      <c r="AF205" s="16">
        <f>IF(H205&gt;I205,1,0)</f>
        <v/>
      </c>
      <c r="AG205" s="16">
        <f>IF(SUM(AE205:AF205)=2,"Anticipatory_Buy","No_Action")</f>
        <v/>
      </c>
      <c r="AH205" s="15" t="n"/>
      <c r="AI205" s="15">
        <f>IF(SUM(AJ205:AK205)=2,"Confirm_Buy","No_Action")</f>
        <v/>
      </c>
      <c r="AJ205" s="15">
        <f>IF(H205&gt;I205,1,0)</f>
        <v/>
      </c>
      <c r="AK205" s="15">
        <f>IF(K205&gt;M205,1,0)</f>
        <v/>
      </c>
    </row>
    <row r="206" ht="14.5" customHeight="1">
      <c r="A206" s="12" t="inlineStr">
        <is>
          <t>MAITHANALL</t>
        </is>
      </c>
      <c r="B206" s="13">
        <f>IFERROR(__xludf.DUMMYFUNCTION("GOOGLEFINANCE(""NSE:""&amp;A206,""PRICE"")"),1205)</f>
        <v/>
      </c>
      <c r="C206" s="13">
        <f>IFERROR(__xludf.DUMMYFUNCTION("GOOGLEFINANCE(""NSE:""&amp;A206,""PRICEOPEN"")"),1197)</f>
        <v/>
      </c>
      <c r="D206" s="13">
        <f>IFERROR(__xludf.DUMMYFUNCTION("GOOGLEFINANCE(""NSE:""&amp;A206,""HIGH"")"),1220.8)</f>
        <v/>
      </c>
      <c r="E206" s="13">
        <f>IFERROR(__xludf.DUMMYFUNCTION("GOOGLEFINANCE(""NSE:""&amp;A206,""LOW"")"),1190)</f>
        <v/>
      </c>
      <c r="F206" s="13">
        <f>IFERROR(__xludf.DUMMYFUNCTION("GOOGLEFINANCE(""NSE:""&amp;A206,""closeyest"")"),1187)</f>
        <v/>
      </c>
      <c r="G206" s="14">
        <f>(B206-C206)/B206</f>
        <v/>
      </c>
      <c r="H206" s="13">
        <f>IFERROR(__xludf.DUMMYFUNCTION("GOOGLEFINANCE(""NSE:""&amp;A206,""VOLUME"")"),80910)</f>
        <v/>
      </c>
      <c r="I206" s="13">
        <f>IFERROR(__xludf.DUMMYFUNCTION("AVERAGE(index(GOOGLEFINANCE(""NSE:""&amp;$A206, ""volume"", today()-21, today()-1), , 2))"),"#N/A")</f>
        <v/>
      </c>
      <c r="J206" s="14">
        <f>(H206-I206)/I206</f>
        <v/>
      </c>
      <c r="K206" s="13">
        <f>IFERROR(__xludf.DUMMYFUNCTION("AVERAGE(index(GOOGLEFINANCE(""NSE:""&amp;$A206, ""close"", today()-6, today()-1), , 2))"),"#N/A")</f>
        <v/>
      </c>
      <c r="L206" s="13">
        <f>IFERROR(__xludf.DUMMYFUNCTION("AVERAGE(index(GOOGLEFINANCE(""NSE:""&amp;$A206, ""close"", today()-14, today()-1), , 2))"),"#N/A")</f>
        <v/>
      </c>
      <c r="M206" s="13">
        <f>IFERROR(__xludf.DUMMYFUNCTION("AVERAGE(index(GOOGLEFINANCE(""NSE:""&amp;$A206, ""close"", today()-22, today()-1), , 2))"),"#N/A")</f>
        <v/>
      </c>
      <c r="N206" s="13">
        <f>AG206</f>
        <v/>
      </c>
      <c r="O206" s="13">
        <f>AI206</f>
        <v/>
      </c>
      <c r="P206" s="13">
        <f>W206</f>
        <v/>
      </c>
      <c r="Q206" s="13">
        <f>Y206</f>
        <v/>
      </c>
      <c r="R206" s="15" t="n"/>
      <c r="S206" s="15">
        <f>LEFT(W206,2)&amp;LEFT(Y206,2)</f>
        <v/>
      </c>
      <c r="T206" s="15" t="n"/>
      <c r="U206" s="15">
        <f>IF(K206&lt;L206,1,0)</f>
        <v/>
      </c>
      <c r="V206" s="15">
        <f>IF(H206&gt;I206,1,0)</f>
        <v/>
      </c>
      <c r="W206" s="15">
        <f>IF(SUM(U206:V206)=2,"Anticipatory_Sell","No_Action")</f>
        <v/>
      </c>
      <c r="X206" s="15" t="n"/>
      <c r="Y206" s="15">
        <f>IF(SUM(Z206:AA206)=2,"Confirm_Sell","No_Action")</f>
        <v/>
      </c>
      <c r="Z206" s="15">
        <f>IF(H206&gt;I206,1,0)</f>
        <v/>
      </c>
      <c r="AA206" s="15">
        <f>IF(K206&lt;M206,1,0)</f>
        <v/>
      </c>
      <c r="AB206" s="15" t="n"/>
      <c r="AC206" s="15">
        <f>LEFT(AG206,2)&amp;LEFT(AI206,2)</f>
        <v/>
      </c>
      <c r="AD206" s="15" t="n"/>
      <c r="AE206" s="15">
        <f>IF(K206&gt;L206,1,0)</f>
        <v/>
      </c>
      <c r="AF206" s="16">
        <f>IF(H206&gt;I206,1,0)</f>
        <v/>
      </c>
      <c r="AG206" s="16">
        <f>IF(SUM(AE206:AF206)=2,"Anticipatory_Buy","No_Action")</f>
        <v/>
      </c>
      <c r="AH206" s="15" t="n"/>
      <c r="AI206" s="15">
        <f>IF(SUM(AJ206:AK206)=2,"Confirm_Buy","No_Action")</f>
        <v/>
      </c>
      <c r="AJ206" s="15">
        <f>IF(H206&gt;I206,1,0)</f>
        <v/>
      </c>
      <c r="AK206" s="15">
        <f>IF(K206&gt;M206,1,0)</f>
        <v/>
      </c>
    </row>
    <row r="207" ht="14.5" customHeight="1">
      <c r="A207" s="12" t="inlineStr">
        <is>
          <t>MANINFRA</t>
        </is>
      </c>
      <c r="B207" s="13">
        <f>IFERROR(__xludf.DUMMYFUNCTION("GOOGLEFINANCE(""NSE:""&amp;A207,""PRICE"")"),241.9)</f>
        <v/>
      </c>
      <c r="C207" s="13">
        <f>IFERROR(__xludf.DUMMYFUNCTION("GOOGLEFINANCE(""NSE:""&amp;A207,""PRICEOPEN"")"),245.76)</f>
        <v/>
      </c>
      <c r="D207" s="13">
        <f>IFERROR(__xludf.DUMMYFUNCTION("GOOGLEFINANCE(""NSE:""&amp;A207,""HIGH"")"),249.4)</f>
        <v/>
      </c>
      <c r="E207" s="13">
        <f>IFERROR(__xludf.DUMMYFUNCTION("GOOGLEFINANCE(""NSE:""&amp;A207,""LOW"")"),239.21)</f>
        <v/>
      </c>
      <c r="F207" s="13">
        <f>IFERROR(__xludf.DUMMYFUNCTION("GOOGLEFINANCE(""NSE:""&amp;A207,""closeyest"")"),243.51)</f>
        <v/>
      </c>
      <c r="G207" s="14">
        <f>(B207-C207)/B207</f>
        <v/>
      </c>
      <c r="H207" s="13">
        <f>IFERROR(__xludf.DUMMYFUNCTION("GOOGLEFINANCE(""NSE:""&amp;A207,""VOLUME"")"),1654142)</f>
        <v/>
      </c>
      <c r="I207" s="13">
        <f>IFERROR(__xludf.DUMMYFUNCTION("AVERAGE(index(GOOGLEFINANCE(""NSE:""&amp;$A207, ""volume"", today()-21, today()-1), , 2))"),"#N/A")</f>
        <v/>
      </c>
      <c r="J207" s="14">
        <f>(H207-I207)/I207</f>
        <v/>
      </c>
      <c r="K207" s="13">
        <f>IFERROR(__xludf.DUMMYFUNCTION("AVERAGE(index(GOOGLEFINANCE(""NSE:""&amp;$A207, ""close"", today()-6, today()-1), , 2))"),"#N/A")</f>
        <v/>
      </c>
      <c r="L207" s="13">
        <f>IFERROR(__xludf.DUMMYFUNCTION("AVERAGE(index(GOOGLEFINANCE(""NSE:""&amp;$A207, ""close"", today()-14, today()-1), , 2))"),"#N/A")</f>
        <v/>
      </c>
      <c r="M207" s="13">
        <f>IFERROR(__xludf.DUMMYFUNCTION("AVERAGE(index(GOOGLEFINANCE(""NSE:""&amp;$A207, ""close"", today()-22, today()-1), , 2))"),"#N/A")</f>
        <v/>
      </c>
      <c r="N207" s="13">
        <f>AG207</f>
        <v/>
      </c>
      <c r="O207" s="13">
        <f>AI207</f>
        <v/>
      </c>
      <c r="P207" s="13">
        <f>W207</f>
        <v/>
      </c>
      <c r="Q207" s="13">
        <f>Y207</f>
        <v/>
      </c>
      <c r="R207" s="15" t="n"/>
      <c r="S207" s="15">
        <f>LEFT(W207,2)&amp;LEFT(Y207,2)</f>
        <v/>
      </c>
      <c r="T207" s="15" t="n"/>
      <c r="U207" s="15">
        <f>IF(K207&lt;L207,1,0)</f>
        <v/>
      </c>
      <c r="V207" s="15">
        <f>IF(H207&gt;I207,1,0)</f>
        <v/>
      </c>
      <c r="W207" s="15">
        <f>IF(SUM(U207:V207)=2,"Anticipatory_Sell","No_Action")</f>
        <v/>
      </c>
      <c r="X207" s="15" t="n"/>
      <c r="Y207" s="15">
        <f>IF(SUM(Z207:AA207)=2,"Confirm_Sell","No_Action")</f>
        <v/>
      </c>
      <c r="Z207" s="15">
        <f>IF(H207&gt;I207,1,0)</f>
        <v/>
      </c>
      <c r="AA207" s="15">
        <f>IF(K207&lt;M207,1,0)</f>
        <v/>
      </c>
      <c r="AB207" s="15" t="n"/>
      <c r="AC207" s="15">
        <f>LEFT(AG207,2)&amp;LEFT(AI207,2)</f>
        <v/>
      </c>
      <c r="AD207" s="15" t="n"/>
      <c r="AE207" s="15">
        <f>IF(K207&gt;L207,1,0)</f>
        <v/>
      </c>
      <c r="AF207" s="16">
        <f>IF(H207&gt;I207,1,0)</f>
        <v/>
      </c>
      <c r="AG207" s="16">
        <f>IF(SUM(AE207:AF207)=2,"Anticipatory_Buy","No_Action")</f>
        <v/>
      </c>
      <c r="AH207" s="15" t="n"/>
      <c r="AI207" s="15">
        <f>IF(SUM(AJ207:AK207)=2,"Confirm_Buy","No_Action")</f>
        <v/>
      </c>
      <c r="AJ207" s="15">
        <f>IF(H207&gt;I207,1,0)</f>
        <v/>
      </c>
      <c r="AK207" s="15">
        <f>IF(K207&gt;M207,1,0)</f>
        <v/>
      </c>
    </row>
    <row r="208" ht="14.5" customHeight="1">
      <c r="A208" s="12" t="inlineStr">
        <is>
          <t>MANAPPURAM</t>
        </is>
      </c>
      <c r="B208" s="13">
        <f>IFERROR(__xludf.DUMMYFUNCTION("GOOGLEFINANCE(""NSE:""&amp;A208,""PRICE"")"),172)</f>
        <v/>
      </c>
      <c r="C208" s="13">
        <f>IFERROR(__xludf.DUMMYFUNCTION("GOOGLEFINANCE(""NSE:""&amp;A208,""PRICEOPEN"")"),167.84)</f>
        <v/>
      </c>
      <c r="D208" s="13">
        <f>IFERROR(__xludf.DUMMYFUNCTION("GOOGLEFINANCE(""NSE:""&amp;A208,""HIGH"")"),172.82)</f>
        <v/>
      </c>
      <c r="E208" s="13">
        <f>IFERROR(__xludf.DUMMYFUNCTION("GOOGLEFINANCE(""NSE:""&amp;A208,""LOW"")"),167.06)</f>
        <v/>
      </c>
      <c r="F208" s="13">
        <f>IFERROR(__xludf.DUMMYFUNCTION("GOOGLEFINANCE(""NSE:""&amp;A208,""closeyest"")"),167.85)</f>
        <v/>
      </c>
      <c r="G208" s="14">
        <f>(B208-C208)/B208</f>
        <v/>
      </c>
      <c r="H208" s="13">
        <f>IFERROR(__xludf.DUMMYFUNCTION("GOOGLEFINANCE(""NSE:""&amp;A208,""VOLUME"")"),8864865)</f>
        <v/>
      </c>
      <c r="I208" s="13">
        <f>IFERROR(__xludf.DUMMYFUNCTION("AVERAGE(index(GOOGLEFINANCE(""NSE:""&amp;$A208, ""volume"", today()-21, today()-1), , 2))"),"#N/A")</f>
        <v/>
      </c>
      <c r="J208" s="14">
        <f>(H208-I208)/I208</f>
        <v/>
      </c>
      <c r="K208" s="13">
        <f>IFERROR(__xludf.DUMMYFUNCTION("AVERAGE(index(GOOGLEFINANCE(""NSE:""&amp;$A208, ""close"", today()-6, today()-1), , 2))"),"#N/A")</f>
        <v/>
      </c>
      <c r="L208" s="13">
        <f>IFERROR(__xludf.DUMMYFUNCTION("AVERAGE(index(GOOGLEFINANCE(""NSE:""&amp;$A208, ""close"", today()-14, today()-1), , 2))"),"#N/A")</f>
        <v/>
      </c>
      <c r="M208" s="13">
        <f>IFERROR(__xludf.DUMMYFUNCTION("AVERAGE(index(GOOGLEFINANCE(""NSE:""&amp;$A208, ""close"", today()-22, today()-1), , 2))"),"#N/A")</f>
        <v/>
      </c>
      <c r="N208" s="13">
        <f>AG208</f>
        <v/>
      </c>
      <c r="O208" s="13">
        <f>AI208</f>
        <v/>
      </c>
      <c r="P208" s="13">
        <f>W208</f>
        <v/>
      </c>
      <c r="Q208" s="13">
        <f>Y208</f>
        <v/>
      </c>
      <c r="R208" s="15" t="n"/>
      <c r="S208" s="15">
        <f>LEFT(W208,2)&amp;LEFT(Y208,2)</f>
        <v/>
      </c>
      <c r="T208" s="15" t="n"/>
      <c r="U208" s="15">
        <f>IF(K208&lt;L208,1,0)</f>
        <v/>
      </c>
      <c r="V208" s="15">
        <f>IF(H208&gt;I208,1,0)</f>
        <v/>
      </c>
      <c r="W208" s="15">
        <f>IF(SUM(U208:V208)=2,"Anticipatory_Sell","No_Action")</f>
        <v/>
      </c>
      <c r="X208" s="15" t="n"/>
      <c r="Y208" s="15">
        <f>IF(SUM(Z208:AA208)=2,"Confirm_Sell","No_Action")</f>
        <v/>
      </c>
      <c r="Z208" s="15">
        <f>IF(H208&gt;I208,1,0)</f>
        <v/>
      </c>
      <c r="AA208" s="15">
        <f>IF(K208&lt;M208,1,0)</f>
        <v/>
      </c>
      <c r="AB208" s="15" t="n"/>
      <c r="AC208" s="15">
        <f>LEFT(AG208,2)&amp;LEFT(AI208,2)</f>
        <v/>
      </c>
      <c r="AD208" s="15" t="n"/>
      <c r="AE208" s="15">
        <f>IF(K208&gt;L208,1,0)</f>
        <v/>
      </c>
      <c r="AF208" s="16">
        <f>IF(H208&gt;I208,1,0)</f>
        <v/>
      </c>
      <c r="AG208" s="16">
        <f>IF(SUM(AE208:AF208)=2,"Anticipatory_Buy","No_Action")</f>
        <v/>
      </c>
      <c r="AH208" s="15" t="n"/>
      <c r="AI208" s="15">
        <f>IF(SUM(AJ208:AK208)=2,"Confirm_Buy","No_Action")</f>
        <v/>
      </c>
      <c r="AJ208" s="15">
        <f>IF(H208&gt;I208,1,0)</f>
        <v/>
      </c>
      <c r="AK208" s="15">
        <f>IF(K208&gt;M208,1,0)</f>
        <v/>
      </c>
    </row>
    <row r="209" ht="14.5" customHeight="1">
      <c r="A209" s="12" t="inlineStr">
        <is>
          <t>MARATHON</t>
        </is>
      </c>
      <c r="B209" s="13">
        <f>IFERROR(__xludf.DUMMYFUNCTION("GOOGLEFINANCE(""NSE:""&amp;A209,""PRICE"")"),630)</f>
        <v/>
      </c>
      <c r="C209" s="13">
        <f>IFERROR(__xludf.DUMMYFUNCTION("GOOGLEFINANCE(""NSE:""&amp;A209,""PRICEOPEN"")"),638.45)</f>
        <v/>
      </c>
      <c r="D209" s="13">
        <f>IFERROR(__xludf.DUMMYFUNCTION("GOOGLEFINANCE(""NSE:""&amp;A209,""HIGH"")"),638.65)</f>
        <v/>
      </c>
      <c r="E209" s="13">
        <f>IFERROR(__xludf.DUMMYFUNCTION("GOOGLEFINANCE(""NSE:""&amp;A209,""LOW"")"),617)</f>
        <v/>
      </c>
      <c r="F209" s="13">
        <f>IFERROR(__xludf.DUMMYFUNCTION("GOOGLEFINANCE(""NSE:""&amp;A209,""closeyest"")"),636.05)</f>
        <v/>
      </c>
      <c r="G209" s="14">
        <f>(B209-C209)/B209</f>
        <v/>
      </c>
      <c r="H209" s="13">
        <f>IFERROR(__xludf.DUMMYFUNCTION("GOOGLEFINANCE(""NSE:""&amp;A209,""VOLUME"")"),51379)</f>
        <v/>
      </c>
      <c r="I209" s="13">
        <f>IFERROR(__xludf.DUMMYFUNCTION("AVERAGE(index(GOOGLEFINANCE(""NSE:""&amp;$A209, ""volume"", today()-21, today()-1), , 2))"),"#N/A")</f>
        <v/>
      </c>
      <c r="J209" s="14">
        <f>(H209-I209)/I209</f>
        <v/>
      </c>
      <c r="K209" s="13">
        <f>IFERROR(__xludf.DUMMYFUNCTION("AVERAGE(index(GOOGLEFINANCE(""NSE:""&amp;$A209, ""close"", today()-6, today()-1), , 2))"),"#N/A")</f>
        <v/>
      </c>
      <c r="L209" s="13">
        <f>IFERROR(__xludf.DUMMYFUNCTION("AVERAGE(index(GOOGLEFINANCE(""NSE:""&amp;$A209, ""close"", today()-14, today()-1), , 2))"),"#N/A")</f>
        <v/>
      </c>
      <c r="M209" s="13">
        <f>IFERROR(__xludf.DUMMYFUNCTION("AVERAGE(index(GOOGLEFINANCE(""NSE:""&amp;$A209, ""close"", today()-22, today()-1), , 2))"),"#N/A")</f>
        <v/>
      </c>
      <c r="N209" s="13">
        <f>AG209</f>
        <v/>
      </c>
      <c r="O209" s="13">
        <f>AI209</f>
        <v/>
      </c>
      <c r="P209" s="13">
        <f>W209</f>
        <v/>
      </c>
      <c r="Q209" s="13">
        <f>Y209</f>
        <v/>
      </c>
      <c r="R209" s="15" t="n"/>
      <c r="S209" s="15">
        <f>LEFT(W209,2)&amp;LEFT(Y209,2)</f>
        <v/>
      </c>
      <c r="T209" s="15" t="n"/>
      <c r="U209" s="15">
        <f>IF(K209&lt;L209,1,0)</f>
        <v/>
      </c>
      <c r="V209" s="15">
        <f>IF(H209&gt;I209,1,0)</f>
        <v/>
      </c>
      <c r="W209" s="15">
        <f>IF(SUM(U209:V209)=2,"Anticipatory_Sell","No_Action")</f>
        <v/>
      </c>
      <c r="X209" s="15" t="n"/>
      <c r="Y209" s="15">
        <f>IF(SUM(Z209:AA209)=2,"Confirm_Sell","No_Action")</f>
        <v/>
      </c>
      <c r="Z209" s="15">
        <f>IF(H209&gt;I209,1,0)</f>
        <v/>
      </c>
      <c r="AA209" s="15">
        <f>IF(K209&lt;M209,1,0)</f>
        <v/>
      </c>
      <c r="AB209" s="15" t="n"/>
      <c r="AC209" s="15">
        <f>LEFT(AG209,2)&amp;LEFT(AI209,2)</f>
        <v/>
      </c>
      <c r="AD209" s="15" t="n"/>
      <c r="AE209" s="15">
        <f>IF(K209&gt;L209,1,0)</f>
        <v/>
      </c>
      <c r="AF209" s="16">
        <f>IF(H209&gt;I209,1,0)</f>
        <v/>
      </c>
      <c r="AG209" s="16">
        <f>IF(SUM(AE209:AF209)=2,"Anticipatory_Buy","No_Action")</f>
        <v/>
      </c>
      <c r="AH209" s="15" t="n"/>
      <c r="AI209" s="15">
        <f>IF(SUM(AJ209:AK209)=2,"Confirm_Buy","No_Action")</f>
        <v/>
      </c>
      <c r="AJ209" s="15">
        <f>IF(H209&gt;I209,1,0)</f>
        <v/>
      </c>
      <c r="AK209" s="15">
        <f>IF(K209&gt;M209,1,0)</f>
        <v/>
      </c>
    </row>
    <row r="210" ht="14.5" customHeight="1">
      <c r="A210" s="12" t="inlineStr">
        <is>
          <t>MARICO</t>
        </is>
      </c>
      <c r="B210" s="13">
        <f>IFERROR(__xludf.DUMMYFUNCTION("GOOGLEFINANCE(""NSE:""&amp;A210,""PRICE"")"),610.35)</f>
        <v/>
      </c>
      <c r="C210" s="13">
        <f>IFERROR(__xludf.DUMMYFUNCTION("GOOGLEFINANCE(""NSE:""&amp;A210,""PRICEOPEN"")"),621.1)</f>
        <v/>
      </c>
      <c r="D210" s="13">
        <f>IFERROR(__xludf.DUMMYFUNCTION("GOOGLEFINANCE(""NSE:""&amp;A210,""HIGH"")"),628.35)</f>
        <v/>
      </c>
      <c r="E210" s="13">
        <f>IFERROR(__xludf.DUMMYFUNCTION("GOOGLEFINANCE(""NSE:""&amp;A210,""LOW"")"),600.55)</f>
        <v/>
      </c>
      <c r="F210" s="13">
        <f>IFERROR(__xludf.DUMMYFUNCTION("GOOGLEFINANCE(""NSE:""&amp;A210,""closeyest"")"),633.65)</f>
        <v/>
      </c>
      <c r="G210" s="14">
        <f>(B210-C210)/B210</f>
        <v/>
      </c>
      <c r="H210" s="13">
        <f>IFERROR(__xludf.DUMMYFUNCTION("GOOGLEFINANCE(""NSE:""&amp;A210,""VOLUME"")"),4029912)</f>
        <v/>
      </c>
      <c r="I210" s="13">
        <f>IFERROR(__xludf.DUMMYFUNCTION("AVERAGE(index(GOOGLEFINANCE(""NSE:""&amp;$A210, ""volume"", today()-21, today()-1), , 2))"),"#N/A")</f>
        <v/>
      </c>
      <c r="J210" s="14">
        <f>(H210-I210)/I210</f>
        <v/>
      </c>
      <c r="K210" s="13">
        <f>IFERROR(__xludf.DUMMYFUNCTION("AVERAGE(index(GOOGLEFINANCE(""NSE:""&amp;$A210, ""close"", today()-6, today()-1), , 2))"),"#N/A")</f>
        <v/>
      </c>
      <c r="L210" s="13">
        <f>IFERROR(__xludf.DUMMYFUNCTION("AVERAGE(index(GOOGLEFINANCE(""NSE:""&amp;$A210, ""close"", today()-14, today()-1), , 2))"),"#N/A")</f>
        <v/>
      </c>
      <c r="M210" s="13">
        <f>IFERROR(__xludf.DUMMYFUNCTION("AVERAGE(index(GOOGLEFINANCE(""NSE:""&amp;$A210, ""close"", today()-22, today()-1), , 2))"),"#N/A")</f>
        <v/>
      </c>
      <c r="N210" s="13">
        <f>AG210</f>
        <v/>
      </c>
      <c r="O210" s="13">
        <f>AI210</f>
        <v/>
      </c>
      <c r="P210" s="13">
        <f>W210</f>
        <v/>
      </c>
      <c r="Q210" s="13">
        <f>Y210</f>
        <v/>
      </c>
      <c r="R210" s="15" t="n"/>
      <c r="S210" s="15">
        <f>LEFT(W210,2)&amp;LEFT(Y210,2)</f>
        <v/>
      </c>
      <c r="T210" s="15" t="n"/>
      <c r="U210" s="15">
        <f>IF(K210&lt;L210,1,0)</f>
        <v/>
      </c>
      <c r="V210" s="15">
        <f>IF(H210&gt;I210,1,0)</f>
        <v/>
      </c>
      <c r="W210" s="15">
        <f>IF(SUM(U210:V210)=2,"Anticipatory_Sell","No_Action")</f>
        <v/>
      </c>
      <c r="X210" s="15" t="n"/>
      <c r="Y210" s="15">
        <f>IF(SUM(Z210:AA210)=2,"Confirm_Sell","No_Action")</f>
        <v/>
      </c>
      <c r="Z210" s="15">
        <f>IF(H210&gt;I210,1,0)</f>
        <v/>
      </c>
      <c r="AA210" s="15">
        <f>IF(K210&lt;M210,1,0)</f>
        <v/>
      </c>
      <c r="AB210" s="15" t="n"/>
      <c r="AC210" s="15">
        <f>LEFT(AG210,2)&amp;LEFT(AI210,2)</f>
        <v/>
      </c>
      <c r="AD210" s="15" t="n"/>
      <c r="AE210" s="15">
        <f>IF(K210&gt;L210,1,0)</f>
        <v/>
      </c>
      <c r="AF210" s="16">
        <f>IF(H210&gt;I210,1,0)</f>
        <v/>
      </c>
      <c r="AG210" s="16">
        <f>IF(SUM(AE210:AF210)=2,"Anticipatory_Buy","No_Action")</f>
        <v/>
      </c>
      <c r="AH210" s="15" t="n"/>
      <c r="AI210" s="15">
        <f>IF(SUM(AJ210:AK210)=2,"Confirm_Buy","No_Action")</f>
        <v/>
      </c>
      <c r="AJ210" s="15">
        <f>IF(H210&gt;I210,1,0)</f>
        <v/>
      </c>
      <c r="AK210" s="15">
        <f>IF(K210&gt;M210,1,0)</f>
        <v/>
      </c>
    </row>
    <row r="211" ht="14.5" customHeight="1">
      <c r="A211" s="12" t="inlineStr">
        <is>
          <t>MATRIMONY</t>
        </is>
      </c>
      <c r="B211" s="13">
        <f>IFERROR(__xludf.DUMMYFUNCTION("GOOGLEFINANCE(""NSE:""&amp;A211,""PRICE"")"),697)</f>
        <v/>
      </c>
      <c r="C211" s="13">
        <f>IFERROR(__xludf.DUMMYFUNCTION("GOOGLEFINANCE(""NSE:""&amp;A211,""PRICEOPEN"")"),643.6)</f>
        <v/>
      </c>
      <c r="D211" s="13">
        <f>IFERROR(__xludf.DUMMYFUNCTION("GOOGLEFINANCE(""NSE:""&amp;A211,""HIGH"")"),710)</f>
        <v/>
      </c>
      <c r="E211" s="13">
        <f>IFERROR(__xludf.DUMMYFUNCTION("GOOGLEFINANCE(""NSE:""&amp;A211,""LOW"")"),643.6)</f>
        <v/>
      </c>
      <c r="F211" s="13">
        <f>IFERROR(__xludf.DUMMYFUNCTION("GOOGLEFINANCE(""NSE:""&amp;A211,""closeyest"")"),642.85)</f>
        <v/>
      </c>
      <c r="G211" s="14">
        <f>(B211-C211)/B211</f>
        <v/>
      </c>
      <c r="H211" s="13">
        <f>IFERROR(__xludf.DUMMYFUNCTION("GOOGLEFINANCE(""NSE:""&amp;A211,""VOLUME"")"),100809)</f>
        <v/>
      </c>
      <c r="I211" s="13">
        <f>IFERROR(__xludf.DUMMYFUNCTION("AVERAGE(index(GOOGLEFINANCE(""NSE:""&amp;$A211, ""volume"", today()-21, today()-1), , 2))"),"#N/A")</f>
        <v/>
      </c>
      <c r="J211" s="14">
        <f>(H211-I211)/I211</f>
        <v/>
      </c>
      <c r="K211" s="13">
        <f>IFERROR(__xludf.DUMMYFUNCTION("AVERAGE(index(GOOGLEFINANCE(""NSE:""&amp;$A211, ""close"", today()-6, today()-1), , 2))"),"#N/A")</f>
        <v/>
      </c>
      <c r="L211" s="13">
        <f>IFERROR(__xludf.DUMMYFUNCTION("AVERAGE(index(GOOGLEFINANCE(""NSE:""&amp;$A211, ""close"", today()-14, today()-1), , 2))"),"#N/A")</f>
        <v/>
      </c>
      <c r="M211" s="13">
        <f>IFERROR(__xludf.DUMMYFUNCTION("AVERAGE(index(GOOGLEFINANCE(""NSE:""&amp;$A211, ""close"", today()-22, today()-1), , 2))"),"#N/A")</f>
        <v/>
      </c>
      <c r="N211" s="13">
        <f>AG211</f>
        <v/>
      </c>
      <c r="O211" s="13">
        <f>AI211</f>
        <v/>
      </c>
      <c r="P211" s="13">
        <f>W211</f>
        <v/>
      </c>
      <c r="Q211" s="13">
        <f>Y211</f>
        <v/>
      </c>
      <c r="R211" s="15" t="n"/>
      <c r="S211" s="15">
        <f>LEFT(W211,2)&amp;LEFT(Y211,2)</f>
        <v/>
      </c>
      <c r="T211" s="15" t="n"/>
      <c r="U211" s="15">
        <f>IF(K211&lt;L211,1,0)</f>
        <v/>
      </c>
      <c r="V211" s="15">
        <f>IF(H211&gt;I211,1,0)</f>
        <v/>
      </c>
      <c r="W211" s="15">
        <f>IF(SUM(U211:V211)=2,"Anticipatory_Sell","No_Action")</f>
        <v/>
      </c>
      <c r="X211" s="15" t="n"/>
      <c r="Y211" s="15">
        <f>IF(SUM(Z211:AA211)=2,"Confirm_Sell","No_Action")</f>
        <v/>
      </c>
      <c r="Z211" s="15">
        <f>IF(H211&gt;I211,1,0)</f>
        <v/>
      </c>
      <c r="AA211" s="15">
        <f>IF(K211&lt;M211,1,0)</f>
        <v/>
      </c>
      <c r="AB211" s="15" t="n"/>
      <c r="AC211" s="15">
        <f>LEFT(AG211,2)&amp;LEFT(AI211,2)</f>
        <v/>
      </c>
      <c r="AD211" s="15" t="n"/>
      <c r="AE211" s="15">
        <f>IF(K211&gt;L211,1,0)</f>
        <v/>
      </c>
      <c r="AF211" s="16">
        <f>IF(H211&gt;I211,1,0)</f>
        <v/>
      </c>
      <c r="AG211" s="16">
        <f>IF(SUM(AE211:AF211)=2,"Anticipatory_Buy","No_Action")</f>
        <v/>
      </c>
      <c r="AH211" s="15" t="n"/>
      <c r="AI211" s="15">
        <f>IF(SUM(AJ211:AK211)=2,"Confirm_Buy","No_Action")</f>
        <v/>
      </c>
      <c r="AJ211" s="15">
        <f>IF(H211&gt;I211,1,0)</f>
        <v/>
      </c>
      <c r="AK211" s="15">
        <f>IF(K211&gt;M211,1,0)</f>
        <v/>
      </c>
    </row>
    <row r="212" ht="14.5" customHeight="1">
      <c r="A212" s="12" t="inlineStr">
        <is>
          <t>MAXHEALTH</t>
        </is>
      </c>
      <c r="B212" s="13">
        <f>IFERROR(__xludf.DUMMYFUNCTION("GOOGLEFINANCE(""NSE:""&amp;A212,""PRICE"")"),1119.5)</f>
        <v/>
      </c>
      <c r="C212" s="13">
        <f>IFERROR(__xludf.DUMMYFUNCTION("GOOGLEFINANCE(""NSE:""&amp;A212,""PRICEOPEN"")"),1062.05)</f>
        <v/>
      </c>
      <c r="D212" s="13">
        <f>IFERROR(__xludf.DUMMYFUNCTION("GOOGLEFINANCE(""NSE:""&amp;A212,""HIGH"")"),1122.45)</f>
        <v/>
      </c>
      <c r="E212" s="13">
        <f>IFERROR(__xludf.DUMMYFUNCTION("GOOGLEFINANCE(""NSE:""&amp;A212,""LOW"")"),1062.05)</f>
        <v/>
      </c>
      <c r="F212" s="13">
        <f>IFERROR(__xludf.DUMMYFUNCTION("GOOGLEFINANCE(""NSE:""&amp;A212,""closeyest"")"),1096.15)</f>
        <v/>
      </c>
      <c r="G212" s="14">
        <f>(B212-C212)/B212</f>
        <v/>
      </c>
      <c r="H212" s="13">
        <f>IFERROR(__xludf.DUMMYFUNCTION("GOOGLEFINANCE(""NSE:""&amp;A212,""VOLUME"")"),1499766)</f>
        <v/>
      </c>
      <c r="I212" s="13">
        <f>IFERROR(__xludf.DUMMYFUNCTION("AVERAGE(index(GOOGLEFINANCE(""NSE:""&amp;$A212, ""volume"", today()-21, today()-1), , 2))"),"#N/A")</f>
        <v/>
      </c>
      <c r="J212" s="14">
        <f>(H212-I212)/I212</f>
        <v/>
      </c>
      <c r="K212" s="13">
        <f>IFERROR(__xludf.DUMMYFUNCTION("AVERAGE(index(GOOGLEFINANCE(""NSE:""&amp;$A212, ""close"", today()-6, today()-1), , 2))"),"#N/A")</f>
        <v/>
      </c>
      <c r="L212" s="13">
        <f>IFERROR(__xludf.DUMMYFUNCTION("AVERAGE(index(GOOGLEFINANCE(""NSE:""&amp;$A212, ""close"", today()-14, today()-1), , 2))"),"#N/A")</f>
        <v/>
      </c>
      <c r="M212" s="13">
        <f>IFERROR(__xludf.DUMMYFUNCTION("AVERAGE(index(GOOGLEFINANCE(""NSE:""&amp;$A212, ""close"", today()-22, today()-1), , 2))"),"#N/A")</f>
        <v/>
      </c>
      <c r="N212" s="13">
        <f>AG212</f>
        <v/>
      </c>
      <c r="O212" s="13">
        <f>AI212</f>
        <v/>
      </c>
      <c r="P212" s="13">
        <f>W212</f>
        <v/>
      </c>
      <c r="Q212" s="13">
        <f>Y212</f>
        <v/>
      </c>
      <c r="R212" s="15" t="n"/>
      <c r="S212" s="15">
        <f>LEFT(W212,2)&amp;LEFT(Y212,2)</f>
        <v/>
      </c>
      <c r="T212" s="15" t="n"/>
      <c r="U212" s="15">
        <f>IF(K212&lt;L212,1,0)</f>
        <v/>
      </c>
      <c r="V212" s="15">
        <f>IF(H212&gt;I212,1,0)</f>
        <v/>
      </c>
      <c r="W212" s="15">
        <f>IF(SUM(U212:V212)=2,"Anticipatory_Sell","No_Action")</f>
        <v/>
      </c>
      <c r="X212" s="15" t="n"/>
      <c r="Y212" s="15">
        <f>IF(SUM(Z212:AA212)=2,"Confirm_Sell","No_Action")</f>
        <v/>
      </c>
      <c r="Z212" s="15">
        <f>IF(H212&gt;I212,1,0)</f>
        <v/>
      </c>
      <c r="AA212" s="15">
        <f>IF(K212&lt;M212,1,0)</f>
        <v/>
      </c>
      <c r="AB212" s="15" t="n"/>
      <c r="AC212" s="15">
        <f>LEFT(AG212,2)&amp;LEFT(AI212,2)</f>
        <v/>
      </c>
      <c r="AD212" s="15" t="n"/>
      <c r="AE212" s="15">
        <f>IF(K212&gt;L212,1,0)</f>
        <v/>
      </c>
      <c r="AF212" s="16">
        <f>IF(H212&gt;I212,1,0)</f>
        <v/>
      </c>
      <c r="AG212" s="16">
        <f>IF(SUM(AE212:AF212)=2,"Anticipatory_Buy","No_Action")</f>
        <v/>
      </c>
      <c r="AH212" s="15" t="n"/>
      <c r="AI212" s="15">
        <f>IF(SUM(AJ212:AK212)=2,"Confirm_Buy","No_Action")</f>
        <v/>
      </c>
      <c r="AJ212" s="15">
        <f>IF(H212&gt;I212,1,0)</f>
        <v/>
      </c>
      <c r="AK212" s="15">
        <f>IF(K212&gt;M212,1,0)</f>
        <v/>
      </c>
    </row>
    <row r="213" ht="14.5" customHeight="1">
      <c r="A213" s="12" t="inlineStr">
        <is>
          <t>MAYURUNIQ</t>
        </is>
      </c>
      <c r="B213" s="13">
        <f>IFERROR(__xludf.DUMMYFUNCTION("GOOGLEFINANCE(""NSE:""&amp;A213,""PRICE"")"),576.35)</f>
        <v/>
      </c>
      <c r="C213" s="13">
        <f>IFERROR(__xludf.DUMMYFUNCTION("GOOGLEFINANCE(""NSE:""&amp;A213,""PRICEOPEN"")"),580)</f>
        <v/>
      </c>
      <c r="D213" s="13">
        <f>IFERROR(__xludf.DUMMYFUNCTION("GOOGLEFINANCE(""NSE:""&amp;A213,""HIGH"")"),582.5)</f>
        <v/>
      </c>
      <c r="E213" s="13">
        <f>IFERROR(__xludf.DUMMYFUNCTION("GOOGLEFINANCE(""NSE:""&amp;A213,""LOW"")"),570.85)</f>
        <v/>
      </c>
      <c r="F213" s="13">
        <f>IFERROR(__xludf.DUMMYFUNCTION("GOOGLEFINANCE(""NSE:""&amp;A213,""closeyest"")"),580)</f>
        <v/>
      </c>
      <c r="G213" s="14">
        <f>(B213-C213)/B213</f>
        <v/>
      </c>
      <c r="H213" s="13">
        <f>IFERROR(__xludf.DUMMYFUNCTION("GOOGLEFINANCE(""NSE:""&amp;A213,""VOLUME"")"),75576)</f>
        <v/>
      </c>
      <c r="I213" s="13">
        <f>IFERROR(__xludf.DUMMYFUNCTION("AVERAGE(index(GOOGLEFINANCE(""NSE:""&amp;$A213, ""volume"", today()-21, today()-1), , 2))"),"#N/A")</f>
        <v/>
      </c>
      <c r="J213" s="14">
        <f>(H213-I213)/I213</f>
        <v/>
      </c>
      <c r="K213" s="13">
        <f>IFERROR(__xludf.DUMMYFUNCTION("AVERAGE(index(GOOGLEFINANCE(""NSE:""&amp;$A213, ""close"", today()-6, today()-1), , 2))"),"#N/A")</f>
        <v/>
      </c>
      <c r="L213" s="13">
        <f>IFERROR(__xludf.DUMMYFUNCTION("AVERAGE(index(GOOGLEFINANCE(""NSE:""&amp;$A213, ""close"", today()-14, today()-1), , 2))"),"#N/A")</f>
        <v/>
      </c>
      <c r="M213" s="13">
        <f>IFERROR(__xludf.DUMMYFUNCTION("AVERAGE(index(GOOGLEFINANCE(""NSE:""&amp;$A213, ""close"", today()-22, today()-1), , 2))"),"#N/A")</f>
        <v/>
      </c>
      <c r="N213" s="13">
        <f>AG213</f>
        <v/>
      </c>
      <c r="O213" s="13">
        <f>AI213</f>
        <v/>
      </c>
      <c r="P213" s="13">
        <f>W213</f>
        <v/>
      </c>
      <c r="Q213" s="13">
        <f>Y213</f>
        <v/>
      </c>
      <c r="R213" s="15" t="n"/>
      <c r="S213" s="15">
        <f>LEFT(W213,2)&amp;LEFT(Y213,2)</f>
        <v/>
      </c>
      <c r="T213" s="15" t="n"/>
      <c r="U213" s="15">
        <f>IF(K213&lt;L213,1,0)</f>
        <v/>
      </c>
      <c r="V213" s="15">
        <f>IF(H213&gt;I213,1,0)</f>
        <v/>
      </c>
      <c r="W213" s="15">
        <f>IF(SUM(U213:V213)=2,"Anticipatory_Sell","No_Action")</f>
        <v/>
      </c>
      <c r="X213" s="15" t="n"/>
      <c r="Y213" s="15">
        <f>IF(SUM(Z213:AA213)=2,"Confirm_Sell","No_Action")</f>
        <v/>
      </c>
      <c r="Z213" s="15">
        <f>IF(H213&gt;I213,1,0)</f>
        <v/>
      </c>
      <c r="AA213" s="15">
        <f>IF(K213&lt;M213,1,0)</f>
        <v/>
      </c>
      <c r="AB213" s="15" t="n"/>
      <c r="AC213" s="15">
        <f>LEFT(AG213,2)&amp;LEFT(AI213,2)</f>
        <v/>
      </c>
      <c r="AD213" s="15" t="n"/>
      <c r="AE213" s="15">
        <f>IF(K213&gt;L213,1,0)</f>
        <v/>
      </c>
      <c r="AF213" s="16">
        <f>IF(H213&gt;I213,1,0)</f>
        <v/>
      </c>
      <c r="AG213" s="16">
        <f>IF(SUM(AE213:AF213)=2,"Anticipatory_Buy","No_Action")</f>
        <v/>
      </c>
      <c r="AH213" s="15" t="n"/>
      <c r="AI213" s="15">
        <f>IF(SUM(AJ213:AK213)=2,"Confirm_Buy","No_Action")</f>
        <v/>
      </c>
      <c r="AJ213" s="15">
        <f>IF(H213&gt;I213,1,0)</f>
        <v/>
      </c>
      <c r="AK213" s="15">
        <f>IF(K213&gt;M213,1,0)</f>
        <v/>
      </c>
    </row>
    <row r="214" ht="14.5" customHeight="1">
      <c r="A214" s="12" t="inlineStr">
        <is>
          <t>METROBRAND</t>
        </is>
      </c>
      <c r="B214" s="13">
        <f>IFERROR(__xludf.DUMMYFUNCTION("GOOGLEFINANCE(""NSE:""&amp;A214,""PRICE"")"),1279.75)</f>
        <v/>
      </c>
      <c r="C214" s="13">
        <f>IFERROR(__xludf.DUMMYFUNCTION("GOOGLEFINANCE(""NSE:""&amp;A214,""PRICEOPEN"")"),1247.8)</f>
        <v/>
      </c>
      <c r="D214" s="13">
        <f>IFERROR(__xludf.DUMMYFUNCTION("GOOGLEFINANCE(""NSE:""&amp;A214,""HIGH"")"),1284.5)</f>
        <v/>
      </c>
      <c r="E214" s="13">
        <f>IFERROR(__xludf.DUMMYFUNCTION("GOOGLEFINANCE(""NSE:""&amp;A214,""LOW"")"),1242.95)</f>
        <v/>
      </c>
      <c r="F214" s="13">
        <f>IFERROR(__xludf.DUMMYFUNCTION("GOOGLEFINANCE(""NSE:""&amp;A214,""closeyest"")"),1253.1)</f>
        <v/>
      </c>
      <c r="G214" s="14">
        <f>(B214-C214)/B214</f>
        <v/>
      </c>
      <c r="H214" s="13">
        <f>IFERROR(__xludf.DUMMYFUNCTION("GOOGLEFINANCE(""NSE:""&amp;A214,""VOLUME"")"),93681)</f>
        <v/>
      </c>
      <c r="I214" s="13">
        <f>IFERROR(__xludf.DUMMYFUNCTION("AVERAGE(index(GOOGLEFINANCE(""NSE:""&amp;$A214, ""volume"", today()-21, today()-1), , 2))"),"#N/A")</f>
        <v/>
      </c>
      <c r="J214" s="14">
        <f>(H214-I214)/I214</f>
        <v/>
      </c>
      <c r="K214" s="13">
        <f>IFERROR(__xludf.DUMMYFUNCTION("AVERAGE(index(GOOGLEFINANCE(""NSE:""&amp;$A214, ""close"", today()-6, today()-1), , 2))"),"#N/A")</f>
        <v/>
      </c>
      <c r="L214" s="13">
        <f>IFERROR(__xludf.DUMMYFUNCTION("AVERAGE(index(GOOGLEFINANCE(""NSE:""&amp;$A214, ""close"", today()-14, today()-1), , 2))"),"#N/A")</f>
        <v/>
      </c>
      <c r="M214" s="13">
        <f>IFERROR(__xludf.DUMMYFUNCTION("AVERAGE(index(GOOGLEFINANCE(""NSE:""&amp;$A214, ""close"", today()-22, today()-1), , 2))"),"#N/A")</f>
        <v/>
      </c>
      <c r="N214" s="13">
        <f>AG214</f>
        <v/>
      </c>
      <c r="O214" s="13">
        <f>AI214</f>
        <v/>
      </c>
      <c r="P214" s="13">
        <f>W214</f>
        <v/>
      </c>
      <c r="Q214" s="13">
        <f>Y214</f>
        <v/>
      </c>
      <c r="R214" s="15" t="n"/>
      <c r="S214" s="15">
        <f>LEFT(W214,2)&amp;LEFT(Y214,2)</f>
        <v/>
      </c>
      <c r="T214" s="15" t="n"/>
      <c r="U214" s="15">
        <f>IF(K214&lt;L214,1,0)</f>
        <v/>
      </c>
      <c r="V214" s="15">
        <f>IF(H214&gt;I214,1,0)</f>
        <v/>
      </c>
      <c r="W214" s="15">
        <f>IF(SUM(U214:V214)=2,"Anticipatory_Sell","No_Action")</f>
        <v/>
      </c>
      <c r="X214" s="15" t="n"/>
      <c r="Y214" s="15">
        <f>IF(SUM(Z214:AA214)=2,"Confirm_Sell","No_Action")</f>
        <v/>
      </c>
      <c r="Z214" s="15">
        <f>IF(H214&gt;I214,1,0)</f>
        <v/>
      </c>
      <c r="AA214" s="15">
        <f>IF(K214&lt;M214,1,0)</f>
        <v/>
      </c>
      <c r="AB214" s="15" t="n"/>
      <c r="AC214" s="15">
        <f>LEFT(AG214,2)&amp;LEFT(AI214,2)</f>
        <v/>
      </c>
      <c r="AD214" s="15" t="n"/>
      <c r="AE214" s="15">
        <f>IF(K214&gt;L214,1,0)</f>
        <v/>
      </c>
      <c r="AF214" s="16">
        <f>IF(H214&gt;I214,1,0)</f>
        <v/>
      </c>
      <c r="AG214" s="16">
        <f>IF(SUM(AE214:AF214)=2,"Anticipatory_Buy","No_Action")</f>
        <v/>
      </c>
      <c r="AH214" s="15" t="n"/>
      <c r="AI214" s="15">
        <f>IF(SUM(AJ214:AK214)=2,"Confirm_Buy","No_Action")</f>
        <v/>
      </c>
      <c r="AJ214" s="15">
        <f>IF(H214&gt;I214,1,0)</f>
        <v/>
      </c>
      <c r="AK214" s="15">
        <f>IF(K214&gt;M214,1,0)</f>
        <v/>
      </c>
    </row>
    <row r="215" ht="14.5" customHeight="1">
      <c r="A215" s="12" t="inlineStr">
        <is>
          <t>METROPOLIS</t>
        </is>
      </c>
      <c r="B215" s="13">
        <f>IFERROR(__xludf.DUMMYFUNCTION("GOOGLEFINANCE(""NSE:""&amp;A215,""PRICE"")"),2210.1)</f>
        <v/>
      </c>
      <c r="C215" s="13">
        <f>IFERROR(__xludf.DUMMYFUNCTION("GOOGLEFINANCE(""NSE:""&amp;A215,""PRICEOPEN"")"),2125)</f>
        <v/>
      </c>
      <c r="D215" s="13">
        <f>IFERROR(__xludf.DUMMYFUNCTION("GOOGLEFINANCE(""NSE:""&amp;A215,""HIGH"")"),2212)</f>
        <v/>
      </c>
      <c r="E215" s="13">
        <f>IFERROR(__xludf.DUMMYFUNCTION("GOOGLEFINANCE(""NSE:""&amp;A215,""LOW"")"),2091.5)</f>
        <v/>
      </c>
      <c r="F215" s="13">
        <f>IFERROR(__xludf.DUMMYFUNCTION("GOOGLEFINANCE(""NSE:""&amp;A215,""closeyest"")"),2135.5)</f>
        <v/>
      </c>
      <c r="G215" s="14">
        <f>(B215-C215)/B215</f>
        <v/>
      </c>
      <c r="H215" s="13">
        <f>IFERROR(__xludf.DUMMYFUNCTION("GOOGLEFINANCE(""NSE:""&amp;A215,""VOLUME"")"),553459)</f>
        <v/>
      </c>
      <c r="I215" s="13">
        <f>IFERROR(__xludf.DUMMYFUNCTION("AVERAGE(index(GOOGLEFINANCE(""NSE:""&amp;$A215, ""volume"", today()-21, today()-1), , 2))"),"#N/A")</f>
        <v/>
      </c>
      <c r="J215" s="14">
        <f>(H215-I215)/I215</f>
        <v/>
      </c>
      <c r="K215" s="13">
        <f>IFERROR(__xludf.DUMMYFUNCTION("AVERAGE(index(GOOGLEFINANCE(""NSE:""&amp;$A215, ""close"", today()-6, today()-1), , 2))"),"#N/A")</f>
        <v/>
      </c>
      <c r="L215" s="13">
        <f>IFERROR(__xludf.DUMMYFUNCTION("AVERAGE(index(GOOGLEFINANCE(""NSE:""&amp;$A215, ""close"", today()-14, today()-1), , 2))"),"#N/A")</f>
        <v/>
      </c>
      <c r="M215" s="13">
        <f>IFERROR(__xludf.DUMMYFUNCTION("AVERAGE(index(GOOGLEFINANCE(""NSE:""&amp;$A215, ""close"", today()-22, today()-1), , 2))"),"#N/A")</f>
        <v/>
      </c>
      <c r="N215" s="13">
        <f>AG215</f>
        <v/>
      </c>
      <c r="O215" s="13">
        <f>AI215</f>
        <v/>
      </c>
      <c r="P215" s="13">
        <f>W215</f>
        <v/>
      </c>
      <c r="Q215" s="13">
        <f>Y215</f>
        <v/>
      </c>
      <c r="R215" s="15" t="n"/>
      <c r="S215" s="15">
        <f>LEFT(W215,2)&amp;LEFT(Y215,2)</f>
        <v/>
      </c>
      <c r="T215" s="15" t="n"/>
      <c r="U215" s="15">
        <f>IF(K215&lt;L215,1,0)</f>
        <v/>
      </c>
      <c r="V215" s="15">
        <f>IF(H215&gt;I215,1,0)</f>
        <v/>
      </c>
      <c r="W215" s="15">
        <f>IF(SUM(U215:V215)=2,"Anticipatory_Sell","No_Action")</f>
        <v/>
      </c>
      <c r="X215" s="15" t="n"/>
      <c r="Y215" s="15">
        <f>IF(SUM(Z215:AA215)=2,"Confirm_Sell","No_Action")</f>
        <v/>
      </c>
      <c r="Z215" s="15">
        <f>IF(H215&gt;I215,1,0)</f>
        <v/>
      </c>
      <c r="AA215" s="15">
        <f>IF(K215&lt;M215,1,0)</f>
        <v/>
      </c>
      <c r="AB215" s="15" t="n"/>
      <c r="AC215" s="15">
        <f>LEFT(AG215,2)&amp;LEFT(AI215,2)</f>
        <v/>
      </c>
      <c r="AD215" s="15" t="n"/>
      <c r="AE215" s="15">
        <f>IF(K215&gt;L215,1,0)</f>
        <v/>
      </c>
      <c r="AF215" s="16">
        <f>IF(H215&gt;I215,1,0)</f>
        <v/>
      </c>
      <c r="AG215" s="16">
        <f>IF(SUM(AE215:AF215)=2,"Anticipatory_Buy","No_Action")</f>
        <v/>
      </c>
      <c r="AH215" s="15" t="n"/>
      <c r="AI215" s="15">
        <f>IF(SUM(AJ215:AK215)=2,"Confirm_Buy","No_Action")</f>
        <v/>
      </c>
      <c r="AJ215" s="15">
        <f>IF(H215&gt;I215,1,0)</f>
        <v/>
      </c>
      <c r="AK215" s="15">
        <f>IF(K215&gt;M215,1,0)</f>
        <v/>
      </c>
    </row>
    <row r="216" ht="14.5" customHeight="1">
      <c r="A216" s="12" t="inlineStr">
        <is>
          <t>MOIL</t>
        </is>
      </c>
      <c r="B216" s="13">
        <f>IFERROR(__xludf.DUMMYFUNCTION("GOOGLEFINANCE(""NSE:""&amp;A216,""PRICE"")"),354.8)</f>
        <v/>
      </c>
      <c r="C216" s="13">
        <f>IFERROR(__xludf.DUMMYFUNCTION("GOOGLEFINANCE(""NSE:""&amp;A216,""PRICEOPEN"")"),357.05)</f>
        <v/>
      </c>
      <c r="D216" s="13">
        <f>IFERROR(__xludf.DUMMYFUNCTION("GOOGLEFINANCE(""NSE:""&amp;A216,""HIGH"")"),361.55)</f>
        <v/>
      </c>
      <c r="E216" s="13">
        <f>IFERROR(__xludf.DUMMYFUNCTION("GOOGLEFINANCE(""NSE:""&amp;A216,""LOW"")"),352.55)</f>
        <v/>
      </c>
      <c r="F216" s="13">
        <f>IFERROR(__xludf.DUMMYFUNCTION("GOOGLEFINANCE(""NSE:""&amp;A216,""closeyest"")"),355.35)</f>
        <v/>
      </c>
      <c r="G216" s="14">
        <f>(B216-C216)/B216</f>
        <v/>
      </c>
      <c r="H216" s="13">
        <f>IFERROR(__xludf.DUMMYFUNCTION("GOOGLEFINANCE(""NSE:""&amp;A216,""VOLUME"")"),962784)</f>
        <v/>
      </c>
      <c r="I216" s="13">
        <f>IFERROR(__xludf.DUMMYFUNCTION("AVERAGE(index(GOOGLEFINANCE(""NSE:""&amp;$A216, ""volume"", today()-21, today()-1), , 2))"),"#N/A")</f>
        <v/>
      </c>
      <c r="J216" s="14">
        <f>(H216-I216)/I216</f>
        <v/>
      </c>
      <c r="K216" s="13">
        <f>IFERROR(__xludf.DUMMYFUNCTION("AVERAGE(index(GOOGLEFINANCE(""NSE:""&amp;$A216, ""close"", today()-6, today()-1), , 2))"),"#N/A")</f>
        <v/>
      </c>
      <c r="L216" s="13">
        <f>IFERROR(__xludf.DUMMYFUNCTION("AVERAGE(index(GOOGLEFINANCE(""NSE:""&amp;$A216, ""close"", today()-14, today()-1), , 2))"),"#N/A")</f>
        <v/>
      </c>
      <c r="M216" s="13">
        <f>IFERROR(__xludf.DUMMYFUNCTION("AVERAGE(index(GOOGLEFINANCE(""NSE:""&amp;$A216, ""close"", today()-22, today()-1), , 2))"),"#N/A")</f>
        <v/>
      </c>
      <c r="N216" s="13">
        <f>AG216</f>
        <v/>
      </c>
      <c r="O216" s="13">
        <f>AI216</f>
        <v/>
      </c>
      <c r="P216" s="13">
        <f>W216</f>
        <v/>
      </c>
      <c r="Q216" s="13">
        <f>Y216</f>
        <v/>
      </c>
      <c r="R216" s="15" t="n"/>
      <c r="S216" s="15">
        <f>LEFT(W216,2)&amp;LEFT(Y216,2)</f>
        <v/>
      </c>
      <c r="T216" s="15" t="n"/>
      <c r="U216" s="15">
        <f>IF(K216&lt;L216,1,0)</f>
        <v/>
      </c>
      <c r="V216" s="15">
        <f>IF(H216&gt;I216,1,0)</f>
        <v/>
      </c>
      <c r="W216" s="15">
        <f>IF(SUM(U216:V216)=2,"Anticipatory_Sell","No_Action")</f>
        <v/>
      </c>
      <c r="X216" s="15" t="n"/>
      <c r="Y216" s="15">
        <f>IF(SUM(Z216:AA216)=2,"Confirm_Sell","No_Action")</f>
        <v/>
      </c>
      <c r="Z216" s="15">
        <f>IF(H216&gt;I216,1,0)</f>
        <v/>
      </c>
      <c r="AA216" s="15">
        <f>IF(K216&lt;M216,1,0)</f>
        <v/>
      </c>
      <c r="AB216" s="15" t="n"/>
      <c r="AC216" s="15">
        <f>LEFT(AG216,2)&amp;LEFT(AI216,2)</f>
        <v/>
      </c>
      <c r="AD216" s="15" t="n"/>
      <c r="AE216" s="15">
        <f>IF(K216&gt;L216,1,0)</f>
        <v/>
      </c>
      <c r="AF216" s="16">
        <f>IF(H216&gt;I216,1,0)</f>
        <v/>
      </c>
      <c r="AG216" s="16">
        <f>IF(SUM(AE216:AF216)=2,"Anticipatory_Buy","No_Action")</f>
        <v/>
      </c>
      <c r="AH216" s="15" t="n"/>
      <c r="AI216" s="15">
        <f>IF(SUM(AJ216:AK216)=2,"Confirm_Buy","No_Action")</f>
        <v/>
      </c>
      <c r="AJ216" s="15">
        <f>IF(H216&gt;I216,1,0)</f>
        <v/>
      </c>
      <c r="AK216" s="15">
        <f>IF(K216&gt;M216,1,0)</f>
        <v/>
      </c>
    </row>
    <row r="217" ht="14.5" customHeight="1">
      <c r="A217" s="12" t="inlineStr">
        <is>
          <t>MOLDTECH</t>
        </is>
      </c>
      <c r="B217" s="13">
        <f>IFERROR(__xludf.DUMMYFUNCTION("GOOGLEFINANCE(""NSE:""&amp;A217,""PRICE"")"),216.85)</f>
        <v/>
      </c>
      <c r="C217" s="13">
        <f>IFERROR(__xludf.DUMMYFUNCTION("GOOGLEFINANCE(""NSE:""&amp;A217,""PRICEOPEN"")"),217.4)</f>
        <v/>
      </c>
      <c r="D217" s="13">
        <f>IFERROR(__xludf.DUMMYFUNCTION("GOOGLEFINANCE(""NSE:""&amp;A217,""HIGH"")"),224.49)</f>
        <v/>
      </c>
      <c r="E217" s="13">
        <f>IFERROR(__xludf.DUMMYFUNCTION("GOOGLEFINANCE(""NSE:""&amp;A217,""LOW"")"),216.1)</f>
        <v/>
      </c>
      <c r="F217" s="13">
        <f>IFERROR(__xludf.DUMMYFUNCTION("GOOGLEFINANCE(""NSE:""&amp;A217,""closeyest"")"),215.46)</f>
        <v/>
      </c>
      <c r="G217" s="14">
        <f>(B217-C217)/B217</f>
        <v/>
      </c>
      <c r="H217" s="13">
        <f>IFERROR(__xludf.DUMMYFUNCTION("GOOGLEFINANCE(""NSE:""&amp;A217,""VOLUME"")"),70810)</f>
        <v/>
      </c>
      <c r="I217" s="13">
        <f>IFERROR(__xludf.DUMMYFUNCTION("AVERAGE(index(GOOGLEFINANCE(""NSE:""&amp;$A217, ""volume"", today()-21, today()-1), , 2))"),"#N/A")</f>
        <v/>
      </c>
      <c r="J217" s="14">
        <f>(H217-I217)/I217</f>
        <v/>
      </c>
      <c r="K217" s="13">
        <f>IFERROR(__xludf.DUMMYFUNCTION("AVERAGE(index(GOOGLEFINANCE(""NSE:""&amp;$A217, ""close"", today()-6, today()-1), , 2))"),"#N/A")</f>
        <v/>
      </c>
      <c r="L217" s="13">
        <f>IFERROR(__xludf.DUMMYFUNCTION("AVERAGE(index(GOOGLEFINANCE(""NSE:""&amp;$A217, ""close"", today()-14, today()-1), , 2))"),"#N/A")</f>
        <v/>
      </c>
      <c r="M217" s="13">
        <f>IFERROR(__xludf.DUMMYFUNCTION("AVERAGE(index(GOOGLEFINANCE(""NSE:""&amp;$A217, ""close"", today()-22, today()-1), , 2))"),"#N/A")</f>
        <v/>
      </c>
      <c r="N217" s="13">
        <f>AG217</f>
        <v/>
      </c>
      <c r="O217" s="13">
        <f>AI217</f>
        <v/>
      </c>
      <c r="P217" s="13">
        <f>W217</f>
        <v/>
      </c>
      <c r="Q217" s="13">
        <f>Y217</f>
        <v/>
      </c>
      <c r="R217" s="15" t="n"/>
      <c r="S217" s="15">
        <f>LEFT(W217,2)&amp;LEFT(Y217,2)</f>
        <v/>
      </c>
      <c r="T217" s="15" t="n"/>
      <c r="U217" s="15">
        <f>IF(K217&lt;L217,1,0)</f>
        <v/>
      </c>
      <c r="V217" s="15">
        <f>IF(H217&gt;I217,1,0)</f>
        <v/>
      </c>
      <c r="W217" s="15">
        <f>IF(SUM(U217:V217)=2,"Anticipatory_Sell","No_Action")</f>
        <v/>
      </c>
      <c r="X217" s="15" t="n"/>
      <c r="Y217" s="15">
        <f>IF(SUM(Z217:AA217)=2,"Confirm_Sell","No_Action")</f>
        <v/>
      </c>
      <c r="Z217" s="15">
        <f>IF(H217&gt;I217,1,0)</f>
        <v/>
      </c>
      <c r="AA217" s="15">
        <f>IF(K217&lt;M217,1,0)</f>
        <v/>
      </c>
      <c r="AB217" s="15" t="n"/>
      <c r="AC217" s="15">
        <f>LEFT(AG217,2)&amp;LEFT(AI217,2)</f>
        <v/>
      </c>
      <c r="AD217" s="15" t="n"/>
      <c r="AE217" s="15">
        <f>IF(K217&gt;L217,1,0)</f>
        <v/>
      </c>
      <c r="AF217" s="16">
        <f>IF(H217&gt;I217,1,0)</f>
        <v/>
      </c>
      <c r="AG217" s="16">
        <f>IF(SUM(AE217:AF217)=2,"Anticipatory_Buy","No_Action")</f>
        <v/>
      </c>
      <c r="AH217" s="15" t="n"/>
      <c r="AI217" s="15">
        <f>IF(SUM(AJ217:AK217)=2,"Confirm_Buy","No_Action")</f>
        <v/>
      </c>
      <c r="AJ217" s="15">
        <f>IF(H217&gt;I217,1,0)</f>
        <v/>
      </c>
      <c r="AK217" s="15">
        <f>IF(K217&gt;M217,1,0)</f>
        <v/>
      </c>
    </row>
    <row r="218" ht="14.5" customHeight="1">
      <c r="A218" s="12" t="inlineStr">
        <is>
          <t>MPSLTD</t>
        </is>
      </c>
      <c r="B218" s="13">
        <f>IFERROR(__xludf.DUMMYFUNCTION("GOOGLEFINANCE(""NSE:""&amp;A218,""PRICE"")"),2194.6)</f>
        <v/>
      </c>
      <c r="C218" s="13">
        <f>IFERROR(__xludf.DUMMYFUNCTION("GOOGLEFINANCE(""NSE:""&amp;A218,""PRICEOPEN"")"),2199.4)</f>
        <v/>
      </c>
      <c r="D218" s="13">
        <f>IFERROR(__xludf.DUMMYFUNCTION("GOOGLEFINANCE(""NSE:""&amp;A218,""HIGH"")"),2267)</f>
        <v/>
      </c>
      <c r="E218" s="13">
        <f>IFERROR(__xludf.DUMMYFUNCTION("GOOGLEFINANCE(""NSE:""&amp;A218,""LOW"")"),2183.6)</f>
        <v/>
      </c>
      <c r="F218" s="13">
        <f>IFERROR(__xludf.DUMMYFUNCTION("GOOGLEFINANCE(""NSE:""&amp;A218,""closeyest"")"),2182.15)</f>
        <v/>
      </c>
      <c r="G218" s="14">
        <f>(B218-C218)/B218</f>
        <v/>
      </c>
      <c r="H218" s="13">
        <f>IFERROR(__xludf.DUMMYFUNCTION("GOOGLEFINANCE(""NSE:""&amp;A218,""VOLUME"")"),15864)</f>
        <v/>
      </c>
      <c r="I218" s="13">
        <f>IFERROR(__xludf.DUMMYFUNCTION("AVERAGE(index(GOOGLEFINANCE(""NSE:""&amp;$A218, ""volume"", today()-21, today()-1), , 2))"),"#N/A")</f>
        <v/>
      </c>
      <c r="J218" s="14">
        <f>(H218-I218)/I218</f>
        <v/>
      </c>
      <c r="K218" s="13">
        <f>IFERROR(__xludf.DUMMYFUNCTION("AVERAGE(index(GOOGLEFINANCE(""NSE:""&amp;$A218, ""close"", today()-6, today()-1), , 2))"),"#N/A")</f>
        <v/>
      </c>
      <c r="L218" s="13">
        <f>IFERROR(__xludf.DUMMYFUNCTION("AVERAGE(index(GOOGLEFINANCE(""NSE:""&amp;$A218, ""close"", today()-14, today()-1), , 2))"),"#N/A")</f>
        <v/>
      </c>
      <c r="M218" s="13">
        <f>IFERROR(__xludf.DUMMYFUNCTION("AVERAGE(index(GOOGLEFINANCE(""NSE:""&amp;$A218, ""close"", today()-22, today()-1), , 2))"),"#N/A")</f>
        <v/>
      </c>
      <c r="N218" s="13">
        <f>AG218</f>
        <v/>
      </c>
      <c r="O218" s="13">
        <f>AI218</f>
        <v/>
      </c>
      <c r="P218" s="13">
        <f>W218</f>
        <v/>
      </c>
      <c r="Q218" s="13">
        <f>Y218</f>
        <v/>
      </c>
      <c r="R218" s="15" t="n"/>
      <c r="S218" s="15">
        <f>LEFT(W218,2)&amp;LEFT(Y218,2)</f>
        <v/>
      </c>
      <c r="T218" s="15" t="n"/>
      <c r="U218" s="15">
        <f>IF(K218&lt;L218,1,0)</f>
        <v/>
      </c>
      <c r="V218" s="15">
        <f>IF(H218&gt;I218,1,0)</f>
        <v/>
      </c>
      <c r="W218" s="15">
        <f>IF(SUM(U218:V218)=2,"Anticipatory_Sell","No_Action")</f>
        <v/>
      </c>
      <c r="X218" s="15" t="n"/>
      <c r="Y218" s="15">
        <f>IF(SUM(Z218:AA218)=2,"Confirm_Sell","No_Action")</f>
        <v/>
      </c>
      <c r="Z218" s="15">
        <f>IF(H218&gt;I218,1,0)</f>
        <v/>
      </c>
      <c r="AA218" s="15">
        <f>IF(K218&lt;M218,1,0)</f>
        <v/>
      </c>
      <c r="AB218" s="15" t="n"/>
      <c r="AC218" s="15">
        <f>LEFT(AG218,2)&amp;LEFT(AI218,2)</f>
        <v/>
      </c>
      <c r="AD218" s="15" t="n"/>
      <c r="AE218" s="15">
        <f>IF(K218&gt;L218,1,0)</f>
        <v/>
      </c>
      <c r="AF218" s="16">
        <f>IF(H218&gt;I218,1,0)</f>
        <v/>
      </c>
      <c r="AG218" s="16">
        <f>IF(SUM(AE218:AF218)=2,"Anticipatory_Buy","No_Action")</f>
        <v/>
      </c>
      <c r="AH218" s="15" t="n"/>
      <c r="AI218" s="15">
        <f>IF(SUM(AJ218:AK218)=2,"Confirm_Buy","No_Action")</f>
        <v/>
      </c>
      <c r="AJ218" s="15">
        <f>IF(H218&gt;I218,1,0)</f>
        <v/>
      </c>
      <c r="AK218" s="15">
        <f>IF(K218&gt;M218,1,0)</f>
        <v/>
      </c>
    </row>
    <row r="219" ht="14.5" customHeight="1">
      <c r="A219" s="12" t="inlineStr">
        <is>
          <t>MRF</t>
        </is>
      </c>
      <c r="B219" s="13">
        <f>IFERROR(__xludf.DUMMYFUNCTION("GOOGLEFINANCE(""NSE:""&amp;A219,""PRICE"")"),132433.6)</f>
        <v/>
      </c>
      <c r="C219" s="13">
        <f>IFERROR(__xludf.DUMMYFUNCTION("GOOGLEFINANCE(""NSE:""&amp;A219,""PRICEOPEN"")"),131240)</f>
        <v/>
      </c>
      <c r="D219" s="13">
        <f>IFERROR(__xludf.DUMMYFUNCTION("GOOGLEFINANCE(""NSE:""&amp;A219,""HIGH"")"),133172.5)</f>
        <v/>
      </c>
      <c r="E219" s="13">
        <f>IFERROR(__xludf.DUMMYFUNCTION("GOOGLEFINANCE(""NSE:""&amp;A219,""LOW"")"),130800.55)</f>
        <v/>
      </c>
      <c r="F219" s="13">
        <f>IFERROR(__xludf.DUMMYFUNCTION("GOOGLEFINANCE(""NSE:""&amp;A219,""closeyest"")"),130635.55)</f>
        <v/>
      </c>
      <c r="G219" s="14">
        <f>(B219-C219)/B219</f>
        <v/>
      </c>
      <c r="H219" s="13">
        <f>IFERROR(__xludf.DUMMYFUNCTION("GOOGLEFINANCE(""NSE:""&amp;A219,""VOLUME"")"),7413)</f>
        <v/>
      </c>
      <c r="I219" s="13">
        <f>IFERROR(__xludf.DUMMYFUNCTION("AVERAGE(index(GOOGLEFINANCE(""NSE:""&amp;$A219, ""volume"", today()-21, today()-1), , 2))"),"#N/A")</f>
        <v/>
      </c>
      <c r="J219" s="14">
        <f>(H219-I219)/I219</f>
        <v/>
      </c>
      <c r="K219" s="13">
        <f>IFERROR(__xludf.DUMMYFUNCTION("AVERAGE(index(GOOGLEFINANCE(""NSE:""&amp;$A219, ""close"", today()-6, today()-1), , 2))"),"#N/A")</f>
        <v/>
      </c>
      <c r="L219" s="13">
        <f>IFERROR(__xludf.DUMMYFUNCTION("AVERAGE(index(GOOGLEFINANCE(""NSE:""&amp;$A219, ""close"", today()-14, today()-1), , 2))"),"#N/A")</f>
        <v/>
      </c>
      <c r="M219" s="13">
        <f>IFERROR(__xludf.DUMMYFUNCTION("AVERAGE(index(GOOGLEFINANCE(""NSE:""&amp;$A219, ""close"", today()-22, today()-1), , 2))"),"#N/A")</f>
        <v/>
      </c>
      <c r="N219" s="13">
        <f>AG219</f>
        <v/>
      </c>
      <c r="O219" s="13">
        <f>AI219</f>
        <v/>
      </c>
      <c r="P219" s="13">
        <f>W219</f>
        <v/>
      </c>
      <c r="Q219" s="13">
        <f>Y219</f>
        <v/>
      </c>
      <c r="R219" s="15" t="n"/>
      <c r="S219" s="15">
        <f>LEFT(W219,2)&amp;LEFT(Y219,2)</f>
        <v/>
      </c>
      <c r="T219" s="15" t="n"/>
      <c r="U219" s="15">
        <f>IF(K219&lt;L219,1,0)</f>
        <v/>
      </c>
      <c r="V219" s="15">
        <f>IF(H219&gt;I219,1,0)</f>
        <v/>
      </c>
      <c r="W219" s="15">
        <f>IF(SUM(U219:V219)=2,"Anticipatory_Sell","No_Action")</f>
        <v/>
      </c>
      <c r="X219" s="15" t="n"/>
      <c r="Y219" s="15">
        <f>IF(SUM(Z219:AA219)=2,"Confirm_Sell","No_Action")</f>
        <v/>
      </c>
      <c r="Z219" s="15">
        <f>IF(H219&gt;I219,1,0)</f>
        <v/>
      </c>
      <c r="AA219" s="15">
        <f>IF(K219&lt;M219,1,0)</f>
        <v/>
      </c>
      <c r="AB219" s="15" t="n"/>
      <c r="AC219" s="15">
        <f>LEFT(AG219,2)&amp;LEFT(AI219,2)</f>
        <v/>
      </c>
      <c r="AD219" s="15" t="n"/>
      <c r="AE219" s="15">
        <f>IF(K219&gt;L219,1,0)</f>
        <v/>
      </c>
      <c r="AF219" s="16">
        <f>IF(H219&gt;I219,1,0)</f>
        <v/>
      </c>
      <c r="AG219" s="16">
        <f>IF(SUM(AE219:AF219)=2,"Anticipatory_Buy","No_Action")</f>
        <v/>
      </c>
      <c r="AH219" s="15" t="n"/>
      <c r="AI219" s="15">
        <f>IF(SUM(AJ219:AK219)=2,"Confirm_Buy","No_Action")</f>
        <v/>
      </c>
      <c r="AJ219" s="15">
        <f>IF(H219&gt;I219,1,0)</f>
        <v/>
      </c>
      <c r="AK219" s="15">
        <f>IF(K219&gt;M219,1,0)</f>
        <v/>
      </c>
    </row>
    <row r="220" ht="14.5" customHeight="1">
      <c r="A220" s="12" t="inlineStr">
        <is>
          <t>MSTCLTD</t>
        </is>
      </c>
      <c r="B220" s="13">
        <f>IFERROR(__xludf.DUMMYFUNCTION("GOOGLEFINANCE(""NSE:""&amp;A220,""PRICE"")"),787.9)</f>
        <v/>
      </c>
      <c r="C220" s="13">
        <f>IFERROR(__xludf.DUMMYFUNCTION("GOOGLEFINANCE(""NSE:""&amp;A220,""PRICEOPEN"")"),791.95)</f>
        <v/>
      </c>
      <c r="D220" s="13">
        <f>IFERROR(__xludf.DUMMYFUNCTION("GOOGLEFINANCE(""NSE:""&amp;A220,""HIGH"")"),809.75)</f>
        <v/>
      </c>
      <c r="E220" s="13">
        <f>IFERROR(__xludf.DUMMYFUNCTION("GOOGLEFINANCE(""NSE:""&amp;A220,""LOW"")"),786)</f>
        <v/>
      </c>
      <c r="F220" s="13">
        <f>IFERROR(__xludf.DUMMYFUNCTION("GOOGLEFINANCE(""NSE:""&amp;A220,""closeyest"")"),780.8)</f>
        <v/>
      </c>
      <c r="G220" s="14">
        <f>(B220-C220)/B220</f>
        <v/>
      </c>
      <c r="H220" s="13">
        <f>IFERROR(__xludf.DUMMYFUNCTION("GOOGLEFINANCE(""NSE:""&amp;A220,""VOLUME"")"),721495)</f>
        <v/>
      </c>
      <c r="I220" s="13">
        <f>IFERROR(__xludf.DUMMYFUNCTION("AVERAGE(index(GOOGLEFINANCE(""NSE:""&amp;$A220, ""volume"", today()-21, today()-1), , 2))"),"#N/A")</f>
        <v/>
      </c>
      <c r="J220" s="14">
        <f>(H220-I220)/I220</f>
        <v/>
      </c>
      <c r="K220" s="13">
        <f>IFERROR(__xludf.DUMMYFUNCTION("AVERAGE(index(GOOGLEFINANCE(""NSE:""&amp;$A220, ""close"", today()-6, today()-1), , 2))"),"#N/A")</f>
        <v/>
      </c>
      <c r="L220" s="13">
        <f>IFERROR(__xludf.DUMMYFUNCTION("AVERAGE(index(GOOGLEFINANCE(""NSE:""&amp;$A220, ""close"", today()-14, today()-1), , 2))"),"#N/A")</f>
        <v/>
      </c>
      <c r="M220" s="13">
        <f>IFERROR(__xludf.DUMMYFUNCTION("AVERAGE(index(GOOGLEFINANCE(""NSE:""&amp;$A220, ""close"", today()-22, today()-1), , 2))"),"#N/A")</f>
        <v/>
      </c>
      <c r="N220" s="13">
        <f>AG220</f>
        <v/>
      </c>
      <c r="O220" s="13">
        <f>AI220</f>
        <v/>
      </c>
      <c r="P220" s="13">
        <f>W220</f>
        <v/>
      </c>
      <c r="Q220" s="13">
        <f>Y220</f>
        <v/>
      </c>
      <c r="R220" s="15" t="n"/>
      <c r="S220" s="15">
        <f>LEFT(W220,2)&amp;LEFT(Y220,2)</f>
        <v/>
      </c>
      <c r="T220" s="15" t="n"/>
      <c r="U220" s="15">
        <f>IF(K220&lt;L220,1,0)</f>
        <v/>
      </c>
      <c r="V220" s="15">
        <f>IF(H220&gt;I220,1,0)</f>
        <v/>
      </c>
      <c r="W220" s="15">
        <f>IF(SUM(U220:V220)=2,"Anticipatory_Sell","No_Action")</f>
        <v/>
      </c>
      <c r="X220" s="15" t="n"/>
      <c r="Y220" s="15">
        <f>IF(SUM(Z220:AA220)=2,"Confirm_Sell","No_Action")</f>
        <v/>
      </c>
      <c r="Z220" s="15">
        <f>IF(H220&gt;I220,1,0)</f>
        <v/>
      </c>
      <c r="AA220" s="15">
        <f>IF(K220&lt;M220,1,0)</f>
        <v/>
      </c>
      <c r="AB220" s="15" t="n"/>
      <c r="AC220" s="15">
        <f>LEFT(AG220,2)&amp;LEFT(AI220,2)</f>
        <v/>
      </c>
      <c r="AD220" s="15" t="n"/>
      <c r="AE220" s="15">
        <f>IF(K220&gt;L220,1,0)</f>
        <v/>
      </c>
      <c r="AF220" s="16">
        <f>IF(H220&gt;I220,1,0)</f>
        <v/>
      </c>
      <c r="AG220" s="16">
        <f>IF(SUM(AE220:AF220)=2,"Anticipatory_Buy","No_Action")</f>
        <v/>
      </c>
      <c r="AH220" s="15" t="n"/>
      <c r="AI220" s="15">
        <f>IF(SUM(AJ220:AK220)=2,"Confirm_Buy","No_Action")</f>
        <v/>
      </c>
      <c r="AJ220" s="15">
        <f>IF(H220&gt;I220,1,0)</f>
        <v/>
      </c>
      <c r="AK220" s="15">
        <f>IF(K220&gt;M220,1,0)</f>
        <v/>
      </c>
    </row>
    <row r="221" ht="14.5" customHeight="1">
      <c r="A221" s="12" t="inlineStr">
        <is>
          <t>MUTHOOTFIN</t>
        </is>
      </c>
      <c r="B221" s="13">
        <f>IFERROR(__xludf.DUMMYFUNCTION("GOOGLEFINANCE(""NSE:""&amp;A221,""PRICE"")"),1990.2)</f>
        <v/>
      </c>
      <c r="C221" s="13">
        <f>IFERROR(__xludf.DUMMYFUNCTION("GOOGLEFINANCE(""NSE:""&amp;A221,""PRICEOPEN"")"),1939.95)</f>
        <v/>
      </c>
      <c r="D221" s="13">
        <f>IFERROR(__xludf.DUMMYFUNCTION("GOOGLEFINANCE(""NSE:""&amp;A221,""HIGH"")"),2000.15)</f>
        <v/>
      </c>
      <c r="E221" s="13">
        <f>IFERROR(__xludf.DUMMYFUNCTION("GOOGLEFINANCE(""NSE:""&amp;A221,""LOW"")"),1936)</f>
        <v/>
      </c>
      <c r="F221" s="13">
        <f>IFERROR(__xludf.DUMMYFUNCTION("GOOGLEFINANCE(""NSE:""&amp;A221,""closeyest"")"),1951.55)</f>
        <v/>
      </c>
      <c r="G221" s="14">
        <f>(B221-C221)/B221</f>
        <v/>
      </c>
      <c r="H221" s="13">
        <f>IFERROR(__xludf.DUMMYFUNCTION("GOOGLEFINANCE(""NSE:""&amp;A221,""VOLUME"")"),1030309)</f>
        <v/>
      </c>
      <c r="I221" s="13">
        <f>IFERROR(__xludf.DUMMYFUNCTION("AVERAGE(index(GOOGLEFINANCE(""NSE:""&amp;$A221, ""volume"", today()-21, today()-1), , 2))"),"#N/A")</f>
        <v/>
      </c>
      <c r="J221" s="14">
        <f>(H221-I221)/I221</f>
        <v/>
      </c>
      <c r="K221" s="13">
        <f>IFERROR(__xludf.DUMMYFUNCTION("AVERAGE(index(GOOGLEFINANCE(""NSE:""&amp;$A221, ""close"", today()-6, today()-1), , 2))"),"#N/A")</f>
        <v/>
      </c>
      <c r="L221" s="13">
        <f>IFERROR(__xludf.DUMMYFUNCTION("AVERAGE(index(GOOGLEFINANCE(""NSE:""&amp;$A221, ""close"", today()-14, today()-1), , 2))"),"#N/A")</f>
        <v/>
      </c>
      <c r="M221" s="13">
        <f>IFERROR(__xludf.DUMMYFUNCTION("AVERAGE(index(GOOGLEFINANCE(""NSE:""&amp;$A221, ""close"", today()-22, today()-1), , 2))"),"#N/A")</f>
        <v/>
      </c>
      <c r="N221" s="13">
        <f>AG221</f>
        <v/>
      </c>
      <c r="O221" s="13">
        <f>AI221</f>
        <v/>
      </c>
      <c r="P221" s="13">
        <f>W221</f>
        <v/>
      </c>
      <c r="Q221" s="13">
        <f>Y221</f>
        <v/>
      </c>
      <c r="R221" s="15" t="n"/>
      <c r="S221" s="15">
        <f>LEFT(W221,2)&amp;LEFT(Y221,2)</f>
        <v/>
      </c>
      <c r="T221" s="15" t="n"/>
      <c r="U221" s="15">
        <f>IF(K221&lt;L221,1,0)</f>
        <v/>
      </c>
      <c r="V221" s="15">
        <f>IF(H221&gt;I221,1,0)</f>
        <v/>
      </c>
      <c r="W221" s="15">
        <f>IF(SUM(U221:V221)=2,"Anticipatory_Sell","No_Action")</f>
        <v/>
      </c>
      <c r="X221" s="15" t="n"/>
      <c r="Y221" s="15">
        <f>IF(SUM(Z221:AA221)=2,"Confirm_Sell","No_Action")</f>
        <v/>
      </c>
      <c r="Z221" s="15">
        <f>IF(H221&gt;I221,1,0)</f>
        <v/>
      </c>
      <c r="AA221" s="15">
        <f>IF(K221&lt;M221,1,0)</f>
        <v/>
      </c>
      <c r="AB221" s="15" t="n"/>
      <c r="AC221" s="15">
        <f>LEFT(AG221,2)&amp;LEFT(AI221,2)</f>
        <v/>
      </c>
      <c r="AD221" s="15" t="n"/>
      <c r="AE221" s="15">
        <f>IF(K221&gt;L221,1,0)</f>
        <v/>
      </c>
      <c r="AF221" s="16">
        <f>IF(H221&gt;I221,1,0)</f>
        <v/>
      </c>
      <c r="AG221" s="16">
        <f>IF(SUM(AE221:AF221)=2,"Anticipatory_Buy","No_Action")</f>
        <v/>
      </c>
      <c r="AH221" s="15" t="n"/>
      <c r="AI221" s="15">
        <f>IF(SUM(AJ221:AK221)=2,"Confirm_Buy","No_Action")</f>
        <v/>
      </c>
      <c r="AJ221" s="15">
        <f>IF(H221&gt;I221,1,0)</f>
        <v/>
      </c>
      <c r="AK221" s="15">
        <f>IF(K221&gt;M221,1,0)</f>
        <v/>
      </c>
    </row>
    <row r="222" ht="14.5" customHeight="1">
      <c r="A222" s="12" t="inlineStr">
        <is>
          <t>NH</t>
        </is>
      </c>
      <c r="B222" s="13">
        <f>IFERROR(__xludf.DUMMYFUNCTION("GOOGLEFINANCE(""NSE:""&amp;A222,""PRICE"")"),1326.85)</f>
        <v/>
      </c>
      <c r="C222" s="13">
        <f>IFERROR(__xludf.DUMMYFUNCTION("GOOGLEFINANCE(""NSE:""&amp;A222,""PRICEOPEN"")"),1344)</f>
        <v/>
      </c>
      <c r="D222" s="13">
        <f>IFERROR(__xludf.DUMMYFUNCTION("GOOGLEFINANCE(""NSE:""&amp;A222,""HIGH"")"),1347.15)</f>
        <v/>
      </c>
      <c r="E222" s="13">
        <f>IFERROR(__xludf.DUMMYFUNCTION("GOOGLEFINANCE(""NSE:""&amp;A222,""LOW"")"),1320.8)</f>
        <v/>
      </c>
      <c r="F222" s="13">
        <f>IFERROR(__xludf.DUMMYFUNCTION("GOOGLEFINANCE(""NSE:""&amp;A222,""closeyest"")"),1339.8)</f>
        <v/>
      </c>
      <c r="G222" s="14">
        <f>(B222-C222)/B222</f>
        <v/>
      </c>
      <c r="H222" s="13">
        <f>IFERROR(__xludf.DUMMYFUNCTION("GOOGLEFINANCE(""NSE:""&amp;A222,""VOLUME"")"),254611)</f>
        <v/>
      </c>
      <c r="I222" s="13">
        <f>IFERROR(__xludf.DUMMYFUNCTION("AVERAGE(index(GOOGLEFINANCE(""NSE:""&amp;$A222, ""volume"", today()-21, today()-1), , 2))"),"#N/A")</f>
        <v/>
      </c>
      <c r="J222" s="14">
        <f>(H222-I222)/I222</f>
        <v/>
      </c>
      <c r="K222" s="13">
        <f>IFERROR(__xludf.DUMMYFUNCTION("AVERAGE(index(GOOGLEFINANCE(""NSE:""&amp;$A222, ""close"", today()-6, today()-1), , 2))"),"#N/A")</f>
        <v/>
      </c>
      <c r="L222" s="13">
        <f>IFERROR(__xludf.DUMMYFUNCTION("AVERAGE(index(GOOGLEFINANCE(""NSE:""&amp;$A222, ""close"", today()-14, today()-1), , 2))"),"#N/A")</f>
        <v/>
      </c>
      <c r="M222" s="13">
        <f>IFERROR(__xludf.DUMMYFUNCTION("AVERAGE(index(GOOGLEFINANCE(""NSE:""&amp;$A222, ""close"", today()-22, today()-1), , 2))"),"#N/A")</f>
        <v/>
      </c>
      <c r="N222" s="13">
        <f>AG222</f>
        <v/>
      </c>
      <c r="O222" s="13">
        <f>AI222</f>
        <v/>
      </c>
      <c r="P222" s="13">
        <f>W222</f>
        <v/>
      </c>
      <c r="Q222" s="13">
        <f>Y222</f>
        <v/>
      </c>
      <c r="R222" s="15" t="n"/>
      <c r="S222" s="15">
        <f>LEFT(W222,2)&amp;LEFT(Y222,2)</f>
        <v/>
      </c>
      <c r="T222" s="15" t="n"/>
      <c r="U222" s="15">
        <f>IF(K222&lt;L222,1,0)</f>
        <v/>
      </c>
      <c r="V222" s="15">
        <f>IF(H222&gt;I222,1,0)</f>
        <v/>
      </c>
      <c r="W222" s="15">
        <f>IF(SUM(U222:V222)=2,"Anticipatory_Sell","No_Action")</f>
        <v/>
      </c>
      <c r="X222" s="15" t="n"/>
      <c r="Y222" s="15">
        <f>IF(SUM(Z222:AA222)=2,"Confirm_Sell","No_Action")</f>
        <v/>
      </c>
      <c r="Z222" s="15">
        <f>IF(H222&gt;I222,1,0)</f>
        <v/>
      </c>
      <c r="AA222" s="15">
        <f>IF(K222&lt;M222,1,0)</f>
        <v/>
      </c>
      <c r="AB222" s="15" t="n"/>
      <c r="AC222" s="15">
        <f>LEFT(AG222,2)&amp;LEFT(AI222,2)</f>
        <v/>
      </c>
      <c r="AD222" s="15" t="n"/>
      <c r="AE222" s="15">
        <f>IF(K222&gt;L222,1,0)</f>
        <v/>
      </c>
      <c r="AF222" s="16">
        <f>IF(H222&gt;I222,1,0)</f>
        <v/>
      </c>
      <c r="AG222" s="16">
        <f>IF(SUM(AE222:AF222)=2,"Anticipatory_Buy","No_Action")</f>
        <v/>
      </c>
      <c r="AH222" s="15" t="n"/>
      <c r="AI222" s="15">
        <f>IF(SUM(AJ222:AK222)=2,"Confirm_Buy","No_Action")</f>
        <v/>
      </c>
      <c r="AJ222" s="15">
        <f>IF(H222&gt;I222,1,0)</f>
        <v/>
      </c>
      <c r="AK222" s="15">
        <f>IF(K222&gt;M222,1,0)</f>
        <v/>
      </c>
    </row>
    <row r="223" ht="14.5" customHeight="1">
      <c r="A223" s="12" t="inlineStr">
        <is>
          <t>NATCOPHARM</t>
        </is>
      </c>
      <c r="B223" s="13">
        <f>IFERROR(__xludf.DUMMYFUNCTION("GOOGLEFINANCE(""NSE:""&amp;A223,""PRICE"")"),1483.6)</f>
        <v/>
      </c>
      <c r="C223" s="13">
        <f>IFERROR(__xludf.DUMMYFUNCTION("GOOGLEFINANCE(""NSE:""&amp;A223,""PRICEOPEN"")"),1460)</f>
        <v/>
      </c>
      <c r="D223" s="13">
        <f>IFERROR(__xludf.DUMMYFUNCTION("GOOGLEFINANCE(""NSE:""&amp;A223,""HIGH"")"),1490)</f>
        <v/>
      </c>
      <c r="E223" s="13">
        <f>IFERROR(__xludf.DUMMYFUNCTION("GOOGLEFINANCE(""NSE:""&amp;A223,""LOW"")"),1453.05)</f>
        <v/>
      </c>
      <c r="F223" s="13">
        <f>IFERROR(__xludf.DUMMYFUNCTION("GOOGLEFINANCE(""NSE:""&amp;A223,""closeyest"")"),1449.9)</f>
        <v/>
      </c>
      <c r="G223" s="14">
        <f>(B223-C223)/B223</f>
        <v/>
      </c>
      <c r="H223" s="13">
        <f>IFERROR(__xludf.DUMMYFUNCTION("GOOGLEFINANCE(""NSE:""&amp;A223,""VOLUME"")"),943239)</f>
        <v/>
      </c>
      <c r="I223" s="13">
        <f>IFERROR(__xludf.DUMMYFUNCTION("AVERAGE(index(GOOGLEFINANCE(""NSE:""&amp;$A223, ""volume"", today()-21, today()-1), , 2))"),"#N/A")</f>
        <v/>
      </c>
      <c r="J223" s="14">
        <f>(H223-I223)/I223</f>
        <v/>
      </c>
      <c r="K223" s="13">
        <f>IFERROR(__xludf.DUMMYFUNCTION("AVERAGE(index(GOOGLEFINANCE(""NSE:""&amp;$A223, ""close"", today()-6, today()-1), , 2))"),"#N/A")</f>
        <v/>
      </c>
      <c r="L223" s="13">
        <f>IFERROR(__xludf.DUMMYFUNCTION("AVERAGE(index(GOOGLEFINANCE(""NSE:""&amp;$A223, ""close"", today()-14, today()-1), , 2))"),"#N/A")</f>
        <v/>
      </c>
      <c r="M223" s="13">
        <f>IFERROR(__xludf.DUMMYFUNCTION("AVERAGE(index(GOOGLEFINANCE(""NSE:""&amp;$A223, ""close"", today()-22, today()-1), , 2))"),"#N/A")</f>
        <v/>
      </c>
      <c r="N223" s="13">
        <f>AG223</f>
        <v/>
      </c>
      <c r="O223" s="13">
        <f>AI223</f>
        <v/>
      </c>
      <c r="P223" s="13">
        <f>W223</f>
        <v/>
      </c>
      <c r="Q223" s="13">
        <f>Y223</f>
        <v/>
      </c>
      <c r="R223" s="15" t="n"/>
      <c r="S223" s="15">
        <f>LEFT(W223,2)&amp;LEFT(Y223,2)</f>
        <v/>
      </c>
      <c r="T223" s="15" t="n"/>
      <c r="U223" s="15">
        <f>IF(K223&lt;L223,1,0)</f>
        <v/>
      </c>
      <c r="V223" s="15">
        <f>IF(H223&gt;I223,1,0)</f>
        <v/>
      </c>
      <c r="W223" s="15">
        <f>IF(SUM(U223:V223)=2,"Anticipatory_Sell","No_Action")</f>
        <v/>
      </c>
      <c r="X223" s="15" t="n"/>
      <c r="Y223" s="15">
        <f>IF(SUM(Z223:AA223)=2,"Confirm_Sell","No_Action")</f>
        <v/>
      </c>
      <c r="Z223" s="15">
        <f>IF(H223&gt;I223,1,0)</f>
        <v/>
      </c>
      <c r="AA223" s="15">
        <f>IF(K223&lt;M223,1,0)</f>
        <v/>
      </c>
      <c r="AB223" s="15" t="n"/>
      <c r="AC223" s="15">
        <f>LEFT(AG223,2)&amp;LEFT(AI223,2)</f>
        <v/>
      </c>
      <c r="AD223" s="15" t="n"/>
      <c r="AE223" s="15">
        <f>IF(K223&gt;L223,1,0)</f>
        <v/>
      </c>
      <c r="AF223" s="16">
        <f>IF(H223&gt;I223,1,0)</f>
        <v/>
      </c>
      <c r="AG223" s="16">
        <f>IF(SUM(AE223:AF223)=2,"Anticipatory_Buy","No_Action")</f>
        <v/>
      </c>
      <c r="AH223" s="15" t="n"/>
      <c r="AI223" s="15">
        <f>IF(SUM(AJ223:AK223)=2,"Confirm_Buy","No_Action")</f>
        <v/>
      </c>
      <c r="AJ223" s="15">
        <f>IF(H223&gt;I223,1,0)</f>
        <v/>
      </c>
      <c r="AK223" s="15">
        <f>IF(K223&gt;M223,1,0)</f>
        <v/>
      </c>
    </row>
    <row r="224" ht="14.5" customHeight="1">
      <c r="A224" s="12" t="inlineStr">
        <is>
          <t>NATIONALUM</t>
        </is>
      </c>
      <c r="B224" s="13">
        <f>IFERROR(__xludf.DUMMYFUNCTION("GOOGLEFINANCE(""NSE:""&amp;A224,""PRICE"")"),252)</f>
        <v/>
      </c>
      <c r="C224" s="13">
        <f>IFERROR(__xludf.DUMMYFUNCTION("GOOGLEFINANCE(""NSE:""&amp;A224,""PRICEOPEN"")"),249)</f>
        <v/>
      </c>
      <c r="D224" s="13">
        <f>IFERROR(__xludf.DUMMYFUNCTION("GOOGLEFINANCE(""NSE:""&amp;A224,""HIGH"")"),252.2)</f>
        <v/>
      </c>
      <c r="E224" s="13">
        <f>IFERROR(__xludf.DUMMYFUNCTION("GOOGLEFINANCE(""NSE:""&amp;A224,""LOW"")"),244.88)</f>
        <v/>
      </c>
      <c r="F224" s="13">
        <f>IFERROR(__xludf.DUMMYFUNCTION("GOOGLEFINANCE(""NSE:""&amp;A224,""closeyest"")"),248.26)</f>
        <v/>
      </c>
      <c r="G224" s="14">
        <f>(B224-C224)/B224</f>
        <v/>
      </c>
      <c r="H224" s="13">
        <f>IFERROR(__xludf.DUMMYFUNCTION("GOOGLEFINANCE(""NSE:""&amp;A224,""VOLUME"")"),13361475)</f>
        <v/>
      </c>
      <c r="I224" s="13">
        <f>IFERROR(__xludf.DUMMYFUNCTION("AVERAGE(index(GOOGLEFINANCE(""NSE:""&amp;$A224, ""volume"", today()-21, today()-1), , 2))"),"#N/A")</f>
        <v/>
      </c>
      <c r="J224" s="14">
        <f>(H224-I224)/I224</f>
        <v/>
      </c>
      <c r="K224" s="13">
        <f>IFERROR(__xludf.DUMMYFUNCTION("AVERAGE(index(GOOGLEFINANCE(""NSE:""&amp;$A224, ""close"", today()-6, today()-1), , 2))"),"#N/A")</f>
        <v/>
      </c>
      <c r="L224" s="13">
        <f>IFERROR(__xludf.DUMMYFUNCTION("AVERAGE(index(GOOGLEFINANCE(""NSE:""&amp;$A224, ""close"", today()-14, today()-1), , 2))"),"#N/A")</f>
        <v/>
      </c>
      <c r="M224" s="13">
        <f>IFERROR(__xludf.DUMMYFUNCTION("AVERAGE(index(GOOGLEFINANCE(""NSE:""&amp;$A224, ""close"", today()-22, today()-1), , 2))"),"#N/A")</f>
        <v/>
      </c>
      <c r="N224" s="13">
        <f>AG224</f>
        <v/>
      </c>
      <c r="O224" s="13">
        <f>AI224</f>
        <v/>
      </c>
      <c r="P224" s="13">
        <f>W224</f>
        <v/>
      </c>
      <c r="Q224" s="13">
        <f>Y224</f>
        <v/>
      </c>
      <c r="R224" s="15" t="n"/>
      <c r="S224" s="15">
        <f>LEFT(W224,2)&amp;LEFT(Y224,2)</f>
        <v/>
      </c>
      <c r="T224" s="15" t="n"/>
      <c r="U224" s="15">
        <f>IF(K224&lt;L224,1,0)</f>
        <v/>
      </c>
      <c r="V224" s="15">
        <f>IF(H224&gt;I224,1,0)</f>
        <v/>
      </c>
      <c r="W224" s="15">
        <f>IF(SUM(U224:V224)=2,"Anticipatory_Sell","No_Action")</f>
        <v/>
      </c>
      <c r="X224" s="15" t="n"/>
      <c r="Y224" s="15">
        <f>IF(SUM(Z224:AA224)=2,"Confirm_Sell","No_Action")</f>
        <v/>
      </c>
      <c r="Z224" s="15">
        <f>IF(H224&gt;I224,1,0)</f>
        <v/>
      </c>
      <c r="AA224" s="15">
        <f>IF(K224&lt;M224,1,0)</f>
        <v/>
      </c>
      <c r="AB224" s="15" t="n"/>
      <c r="AC224" s="15">
        <f>LEFT(AG224,2)&amp;LEFT(AI224,2)</f>
        <v/>
      </c>
      <c r="AD224" s="15" t="n"/>
      <c r="AE224" s="15">
        <f>IF(K224&gt;L224,1,0)</f>
        <v/>
      </c>
      <c r="AF224" s="16">
        <f>IF(H224&gt;I224,1,0)</f>
        <v/>
      </c>
      <c r="AG224" s="16">
        <f>IF(SUM(AE224:AF224)=2,"Anticipatory_Buy","No_Action")</f>
        <v/>
      </c>
      <c r="AH224" s="15" t="n"/>
      <c r="AI224" s="15">
        <f>IF(SUM(AJ224:AK224)=2,"Confirm_Buy","No_Action")</f>
        <v/>
      </c>
      <c r="AJ224" s="15">
        <f>IF(H224&gt;I224,1,0)</f>
        <v/>
      </c>
      <c r="AK224" s="15">
        <f>IF(K224&gt;M224,1,0)</f>
        <v/>
      </c>
    </row>
    <row r="225" ht="14.5" customHeight="1">
      <c r="A225" s="12" t="inlineStr">
        <is>
          <t>NAVA</t>
        </is>
      </c>
      <c r="B225" s="13">
        <f>IFERROR(__xludf.DUMMYFUNCTION("GOOGLEFINANCE(""NSE:""&amp;A225,""PRICE"")"),1045.6)</f>
        <v/>
      </c>
      <c r="C225" s="13">
        <f>IFERROR(__xludf.DUMMYFUNCTION("GOOGLEFINANCE(""NSE:""&amp;A225,""PRICEOPEN"")"),1040)</f>
        <v/>
      </c>
      <c r="D225" s="13">
        <f>IFERROR(__xludf.DUMMYFUNCTION("GOOGLEFINANCE(""NSE:""&amp;A225,""HIGH"")"),1070)</f>
        <v/>
      </c>
      <c r="E225" s="13">
        <f>IFERROR(__xludf.DUMMYFUNCTION("GOOGLEFINANCE(""NSE:""&amp;A225,""LOW"")"),1010.05)</f>
        <v/>
      </c>
      <c r="F225" s="13">
        <f>IFERROR(__xludf.DUMMYFUNCTION("GOOGLEFINANCE(""NSE:""&amp;A225,""closeyest"")"),1039.5)</f>
        <v/>
      </c>
      <c r="G225" s="14">
        <f>(B225-C225)/B225</f>
        <v/>
      </c>
      <c r="H225" s="13">
        <f>IFERROR(__xludf.DUMMYFUNCTION("GOOGLEFINANCE(""NSE:""&amp;A225,""VOLUME"")"),239813)</f>
        <v/>
      </c>
      <c r="I225" s="13">
        <f>IFERROR(__xludf.DUMMYFUNCTION("AVERAGE(index(GOOGLEFINANCE(""NSE:""&amp;$A225, ""volume"", today()-21, today()-1), , 2))"),"#N/A")</f>
        <v/>
      </c>
      <c r="J225" s="14">
        <f>(H225-I225)/I225</f>
        <v/>
      </c>
      <c r="K225" s="13">
        <f>IFERROR(__xludf.DUMMYFUNCTION("AVERAGE(index(GOOGLEFINANCE(""NSE:""&amp;$A225, ""close"", today()-6, today()-1), , 2))"),"#N/A")</f>
        <v/>
      </c>
      <c r="L225" s="13">
        <f>IFERROR(__xludf.DUMMYFUNCTION("AVERAGE(index(GOOGLEFINANCE(""NSE:""&amp;$A225, ""close"", today()-14, today()-1), , 2))"),"#N/A")</f>
        <v/>
      </c>
      <c r="M225" s="13">
        <f>IFERROR(__xludf.DUMMYFUNCTION("AVERAGE(index(GOOGLEFINANCE(""NSE:""&amp;$A225, ""close"", today()-22, today()-1), , 2))"),"#N/A")</f>
        <v/>
      </c>
      <c r="N225" s="13">
        <f>AG225</f>
        <v/>
      </c>
      <c r="O225" s="13">
        <f>AI225</f>
        <v/>
      </c>
      <c r="P225" s="13">
        <f>W225</f>
        <v/>
      </c>
      <c r="Q225" s="13">
        <f>Y225</f>
        <v/>
      </c>
      <c r="R225" s="15" t="n"/>
      <c r="S225" s="15">
        <f>LEFT(W225,2)&amp;LEFT(Y225,2)</f>
        <v/>
      </c>
      <c r="T225" s="15" t="n"/>
      <c r="U225" s="15">
        <f>IF(K225&lt;L225,1,0)</f>
        <v/>
      </c>
      <c r="V225" s="15">
        <f>IF(H225&gt;I225,1,0)</f>
        <v/>
      </c>
      <c r="W225" s="15">
        <f>IF(SUM(U225:V225)=2,"Anticipatory_Sell","No_Action")</f>
        <v/>
      </c>
      <c r="X225" s="15" t="n"/>
      <c r="Y225" s="15">
        <f>IF(SUM(Z225:AA225)=2,"Confirm_Sell","No_Action")</f>
        <v/>
      </c>
      <c r="Z225" s="15">
        <f>IF(H225&gt;I225,1,0)</f>
        <v/>
      </c>
      <c r="AA225" s="15">
        <f>IF(K225&lt;M225,1,0)</f>
        <v/>
      </c>
      <c r="AB225" s="15" t="n"/>
      <c r="AC225" s="15">
        <f>LEFT(AG225,2)&amp;LEFT(AI225,2)</f>
        <v/>
      </c>
      <c r="AD225" s="15" t="n"/>
      <c r="AE225" s="15">
        <f>IF(K225&gt;L225,1,0)</f>
        <v/>
      </c>
      <c r="AF225" s="16">
        <f>IF(H225&gt;I225,1,0)</f>
        <v/>
      </c>
      <c r="AG225" s="16">
        <f>IF(SUM(AE225:AF225)=2,"Anticipatory_Buy","No_Action")</f>
        <v/>
      </c>
      <c r="AH225" s="15" t="n"/>
      <c r="AI225" s="15">
        <f>IF(SUM(AJ225:AK225)=2,"Confirm_Buy","No_Action")</f>
        <v/>
      </c>
      <c r="AJ225" s="15">
        <f>IF(H225&gt;I225,1,0)</f>
        <v/>
      </c>
      <c r="AK225" s="15">
        <f>IF(K225&gt;M225,1,0)</f>
        <v/>
      </c>
    </row>
    <row r="226" ht="14.5" customHeight="1">
      <c r="A226" s="12" t="inlineStr">
        <is>
          <t>NAVNETEDUL</t>
        </is>
      </c>
      <c r="B226" s="13">
        <f>IFERROR(__xludf.DUMMYFUNCTION("GOOGLEFINANCE(""NSE:""&amp;A226,""PRICE"")"),149)</f>
        <v/>
      </c>
      <c r="C226" s="13">
        <f>IFERROR(__xludf.DUMMYFUNCTION("GOOGLEFINANCE(""NSE:""&amp;A226,""PRICEOPEN"")"),148)</f>
        <v/>
      </c>
      <c r="D226" s="13">
        <f>IFERROR(__xludf.DUMMYFUNCTION("GOOGLEFINANCE(""NSE:""&amp;A226,""HIGH"")"),149.85)</f>
        <v/>
      </c>
      <c r="E226" s="13">
        <f>IFERROR(__xludf.DUMMYFUNCTION("GOOGLEFINANCE(""NSE:""&amp;A226,""LOW"")"),145)</f>
        <v/>
      </c>
      <c r="F226" s="13">
        <f>IFERROR(__xludf.DUMMYFUNCTION("GOOGLEFINANCE(""NSE:""&amp;A226,""closeyest"")"),146.54)</f>
        <v/>
      </c>
      <c r="G226" s="14">
        <f>(B226-C226)/B226</f>
        <v/>
      </c>
      <c r="H226" s="13">
        <f>IFERROR(__xludf.DUMMYFUNCTION("GOOGLEFINANCE(""NSE:""&amp;A226,""VOLUME"")"),308471)</f>
        <v/>
      </c>
      <c r="I226" s="13">
        <f>IFERROR(__xludf.DUMMYFUNCTION("AVERAGE(index(GOOGLEFINANCE(""NSE:""&amp;$A226, ""volume"", today()-21, today()-1), , 2))"),"#N/A")</f>
        <v/>
      </c>
      <c r="J226" s="14">
        <f>(H226-I226)/I226</f>
        <v/>
      </c>
      <c r="K226" s="13">
        <f>IFERROR(__xludf.DUMMYFUNCTION("AVERAGE(index(GOOGLEFINANCE(""NSE:""&amp;$A226, ""close"", today()-6, today()-1), , 2))"),"#N/A")</f>
        <v/>
      </c>
      <c r="L226" s="13">
        <f>IFERROR(__xludf.DUMMYFUNCTION("AVERAGE(index(GOOGLEFINANCE(""NSE:""&amp;$A226, ""close"", today()-14, today()-1), , 2))"),"#N/A")</f>
        <v/>
      </c>
      <c r="M226" s="13">
        <f>IFERROR(__xludf.DUMMYFUNCTION("AVERAGE(index(GOOGLEFINANCE(""NSE:""&amp;$A226, ""close"", today()-22, today()-1), , 2))"),"#N/A")</f>
        <v/>
      </c>
      <c r="N226" s="13">
        <f>AG226</f>
        <v/>
      </c>
      <c r="O226" s="13">
        <f>AI226</f>
        <v/>
      </c>
      <c r="P226" s="13">
        <f>W226</f>
        <v/>
      </c>
      <c r="Q226" s="13">
        <f>Y226</f>
        <v/>
      </c>
      <c r="R226" s="15" t="n"/>
      <c r="S226" s="15">
        <f>LEFT(W226,2)&amp;LEFT(Y226,2)</f>
        <v/>
      </c>
      <c r="T226" s="15" t="n"/>
      <c r="U226" s="15">
        <f>IF(K226&lt;L226,1,0)</f>
        <v/>
      </c>
      <c r="V226" s="15">
        <f>IF(H226&gt;I226,1,0)</f>
        <v/>
      </c>
      <c r="W226" s="15">
        <f>IF(SUM(U226:V226)=2,"Anticipatory_Sell","No_Action")</f>
        <v/>
      </c>
      <c r="X226" s="15" t="n"/>
      <c r="Y226" s="15">
        <f>IF(SUM(Z226:AA226)=2,"Confirm_Sell","No_Action")</f>
        <v/>
      </c>
      <c r="Z226" s="15">
        <f>IF(H226&gt;I226,1,0)</f>
        <v/>
      </c>
      <c r="AA226" s="15">
        <f>IF(K226&lt;M226,1,0)</f>
        <v/>
      </c>
      <c r="AB226" s="15" t="n"/>
      <c r="AC226" s="15">
        <f>LEFT(AG226,2)&amp;LEFT(AI226,2)</f>
        <v/>
      </c>
      <c r="AD226" s="15" t="n"/>
      <c r="AE226" s="15">
        <f>IF(K226&gt;L226,1,0)</f>
        <v/>
      </c>
      <c r="AF226" s="16">
        <f>IF(H226&gt;I226,1,0)</f>
        <v/>
      </c>
      <c r="AG226" s="16">
        <f>IF(SUM(AE226:AF226)=2,"Anticipatory_Buy","No_Action")</f>
        <v/>
      </c>
      <c r="AH226" s="15" t="n"/>
      <c r="AI226" s="15">
        <f>IF(SUM(AJ226:AK226)=2,"Confirm_Buy","No_Action")</f>
        <v/>
      </c>
      <c r="AJ226" s="15">
        <f>IF(H226&gt;I226,1,0)</f>
        <v/>
      </c>
      <c r="AK226" s="15">
        <f>IF(K226&gt;M226,1,0)</f>
        <v/>
      </c>
    </row>
    <row r="227" ht="14.5" customHeight="1">
      <c r="A227" s="12" t="inlineStr">
        <is>
          <t>NCC</t>
        </is>
      </c>
      <c r="B227" s="13">
        <f>IFERROR(__xludf.DUMMYFUNCTION("GOOGLEFINANCE(""NSE:""&amp;A227,""PRICE"")"),313)</f>
        <v/>
      </c>
      <c r="C227" s="13">
        <f>IFERROR(__xludf.DUMMYFUNCTION("GOOGLEFINANCE(""NSE:""&amp;A227,""PRICEOPEN"")"),315.7)</f>
        <v/>
      </c>
      <c r="D227" s="13">
        <f>IFERROR(__xludf.DUMMYFUNCTION("GOOGLEFINANCE(""NSE:""&amp;A227,""HIGH"")"),317.25)</f>
        <v/>
      </c>
      <c r="E227" s="13">
        <f>IFERROR(__xludf.DUMMYFUNCTION("GOOGLEFINANCE(""NSE:""&amp;A227,""LOW"")"),312.35)</f>
        <v/>
      </c>
      <c r="F227" s="13">
        <f>IFERROR(__xludf.DUMMYFUNCTION("GOOGLEFINANCE(""NSE:""&amp;A227,""closeyest"")"),314.1)</f>
        <v/>
      </c>
      <c r="G227" s="14">
        <f>(B227-C227)/B227</f>
        <v/>
      </c>
      <c r="H227" s="13">
        <f>IFERROR(__xludf.DUMMYFUNCTION("GOOGLEFINANCE(""NSE:""&amp;A227,""VOLUME"")"),2122892)</f>
        <v/>
      </c>
      <c r="I227" s="13">
        <f>IFERROR(__xludf.DUMMYFUNCTION("AVERAGE(index(GOOGLEFINANCE(""NSE:""&amp;$A227, ""volume"", today()-21, today()-1), , 2))"),"#N/A")</f>
        <v/>
      </c>
      <c r="J227" s="14">
        <f>(H227-I227)/I227</f>
        <v/>
      </c>
      <c r="K227" s="13">
        <f>IFERROR(__xludf.DUMMYFUNCTION("AVERAGE(index(GOOGLEFINANCE(""NSE:""&amp;$A227, ""close"", today()-6, today()-1), , 2))"),"#N/A")</f>
        <v/>
      </c>
      <c r="L227" s="13">
        <f>IFERROR(__xludf.DUMMYFUNCTION("AVERAGE(index(GOOGLEFINANCE(""NSE:""&amp;$A227, ""close"", today()-14, today()-1), , 2))"),"#N/A")</f>
        <v/>
      </c>
      <c r="M227" s="13">
        <f>IFERROR(__xludf.DUMMYFUNCTION("AVERAGE(index(GOOGLEFINANCE(""NSE:""&amp;$A227, ""close"", today()-22, today()-1), , 2))"),"#N/A")</f>
        <v/>
      </c>
      <c r="N227" s="13">
        <f>AG227</f>
        <v/>
      </c>
      <c r="O227" s="13">
        <f>AI227</f>
        <v/>
      </c>
      <c r="P227" s="13">
        <f>W227</f>
        <v/>
      </c>
      <c r="Q227" s="13">
        <f>Y227</f>
        <v/>
      </c>
      <c r="R227" s="15" t="n"/>
      <c r="S227" s="15">
        <f>LEFT(W227,2)&amp;LEFT(Y227,2)</f>
        <v/>
      </c>
      <c r="T227" s="15" t="n"/>
      <c r="U227" s="15">
        <f>IF(K227&lt;L227,1,0)</f>
        <v/>
      </c>
      <c r="V227" s="15">
        <f>IF(H227&gt;I227,1,0)</f>
        <v/>
      </c>
      <c r="W227" s="15">
        <f>IF(SUM(U227:V227)=2,"Anticipatory_Sell","No_Action")</f>
        <v/>
      </c>
      <c r="X227" s="15" t="n"/>
      <c r="Y227" s="15">
        <f>IF(SUM(Z227:AA227)=2,"Confirm_Sell","No_Action")</f>
        <v/>
      </c>
      <c r="Z227" s="15">
        <f>IF(H227&gt;I227,1,0)</f>
        <v/>
      </c>
      <c r="AA227" s="15">
        <f>IF(K227&lt;M227,1,0)</f>
        <v/>
      </c>
      <c r="AB227" s="15" t="n"/>
      <c r="AC227" s="15">
        <f>LEFT(AG227,2)&amp;LEFT(AI227,2)</f>
        <v/>
      </c>
      <c r="AD227" s="15" t="n"/>
      <c r="AE227" s="15">
        <f>IF(K227&gt;L227,1,0)</f>
        <v/>
      </c>
      <c r="AF227" s="16">
        <f>IF(H227&gt;I227,1,0)</f>
        <v/>
      </c>
      <c r="AG227" s="16">
        <f>IF(SUM(AE227:AF227)=2,"Anticipatory_Buy","No_Action")</f>
        <v/>
      </c>
      <c r="AH227" s="15" t="n"/>
      <c r="AI227" s="15">
        <f>IF(SUM(AJ227:AK227)=2,"Confirm_Buy","No_Action")</f>
        <v/>
      </c>
      <c r="AJ227" s="15">
        <f>IF(H227&gt;I227,1,0)</f>
        <v/>
      </c>
      <c r="AK227" s="15">
        <f>IF(K227&gt;M227,1,0)</f>
        <v/>
      </c>
    </row>
    <row r="228" ht="14.5" customHeight="1">
      <c r="A228" s="12" t="inlineStr">
        <is>
          <t>NELCO</t>
        </is>
      </c>
      <c r="B228" s="13">
        <f>IFERROR(__xludf.DUMMYFUNCTION("GOOGLEFINANCE(""NSE:""&amp;A228,""PRICE"")"),1327.05)</f>
        <v/>
      </c>
      <c r="C228" s="13">
        <f>IFERROR(__xludf.DUMMYFUNCTION("GOOGLEFINANCE(""NSE:""&amp;A228,""PRICEOPEN"")"),1280.3)</f>
        <v/>
      </c>
      <c r="D228" s="13">
        <f>IFERROR(__xludf.DUMMYFUNCTION("GOOGLEFINANCE(""NSE:""&amp;A228,""HIGH"")"),1364.95)</f>
        <v/>
      </c>
      <c r="E228" s="13">
        <f>IFERROR(__xludf.DUMMYFUNCTION("GOOGLEFINANCE(""NSE:""&amp;A228,""LOW"")"),1274.7)</f>
        <v/>
      </c>
      <c r="F228" s="13">
        <f>IFERROR(__xludf.DUMMYFUNCTION("GOOGLEFINANCE(""NSE:""&amp;A228,""closeyest"")"),1270.15)</f>
        <v/>
      </c>
      <c r="G228" s="14">
        <f>(B228-C228)/B228</f>
        <v/>
      </c>
      <c r="H228" s="13">
        <f>IFERROR(__xludf.DUMMYFUNCTION("GOOGLEFINANCE(""NSE:""&amp;A228,""VOLUME"")"),465038)</f>
        <v/>
      </c>
      <c r="I228" s="13">
        <f>IFERROR(__xludf.DUMMYFUNCTION("AVERAGE(index(GOOGLEFINANCE(""NSE:""&amp;$A228, ""volume"", today()-21, today()-1), , 2))"),"#N/A")</f>
        <v/>
      </c>
      <c r="J228" s="14">
        <f>(H228-I228)/I228</f>
        <v/>
      </c>
      <c r="K228" s="13">
        <f>IFERROR(__xludf.DUMMYFUNCTION("AVERAGE(index(GOOGLEFINANCE(""NSE:""&amp;$A228, ""close"", today()-6, today()-1), , 2))"),"#N/A")</f>
        <v/>
      </c>
      <c r="L228" s="13">
        <f>IFERROR(__xludf.DUMMYFUNCTION("AVERAGE(index(GOOGLEFINANCE(""NSE:""&amp;$A228, ""close"", today()-14, today()-1), , 2))"),"#N/A")</f>
        <v/>
      </c>
      <c r="M228" s="13">
        <f>IFERROR(__xludf.DUMMYFUNCTION("AVERAGE(index(GOOGLEFINANCE(""NSE:""&amp;$A228, ""close"", today()-22, today()-1), , 2))"),"#N/A")</f>
        <v/>
      </c>
      <c r="N228" s="13">
        <f>AG228</f>
        <v/>
      </c>
      <c r="O228" s="13">
        <f>AI228</f>
        <v/>
      </c>
      <c r="P228" s="13">
        <f>W228</f>
        <v/>
      </c>
      <c r="Q228" s="13">
        <f>Y228</f>
        <v/>
      </c>
      <c r="R228" s="15" t="n"/>
      <c r="S228" s="15">
        <f>LEFT(W228,2)&amp;LEFT(Y228,2)</f>
        <v/>
      </c>
      <c r="T228" s="15" t="n"/>
      <c r="U228" s="15">
        <f>IF(K228&lt;L228,1,0)</f>
        <v/>
      </c>
      <c r="V228" s="15">
        <f>IF(H228&gt;I228,1,0)</f>
        <v/>
      </c>
      <c r="W228" s="15">
        <f>IF(SUM(U228:V228)=2,"Anticipatory_Sell","No_Action")</f>
        <v/>
      </c>
      <c r="X228" s="15" t="n"/>
      <c r="Y228" s="15">
        <f>IF(SUM(Z228:AA228)=2,"Confirm_Sell","No_Action")</f>
        <v/>
      </c>
      <c r="Z228" s="15">
        <f>IF(H228&gt;I228,1,0)</f>
        <v/>
      </c>
      <c r="AA228" s="15">
        <f>IF(K228&lt;M228,1,0)</f>
        <v/>
      </c>
      <c r="AB228" s="15" t="n"/>
      <c r="AC228" s="15">
        <f>LEFT(AG228,2)&amp;LEFT(AI228,2)</f>
        <v/>
      </c>
      <c r="AD228" s="15" t="n"/>
      <c r="AE228" s="15">
        <f>IF(K228&gt;L228,1,0)</f>
        <v/>
      </c>
      <c r="AF228" s="16">
        <f>IF(H228&gt;I228,1,0)</f>
        <v/>
      </c>
      <c r="AG228" s="16">
        <f>IF(SUM(AE228:AF228)=2,"Anticipatory_Buy","No_Action")</f>
        <v/>
      </c>
      <c r="AH228" s="15" t="n"/>
      <c r="AI228" s="15">
        <f>IF(SUM(AJ228:AK228)=2,"Confirm_Buy","No_Action")</f>
        <v/>
      </c>
      <c r="AJ228" s="15">
        <f>IF(H228&gt;I228,1,0)</f>
        <v/>
      </c>
      <c r="AK228" s="15">
        <f>IF(K228&gt;M228,1,0)</f>
        <v/>
      </c>
    </row>
    <row r="229" ht="14.5" customHeight="1">
      <c r="A229" s="12" t="inlineStr">
        <is>
          <t>NESCO</t>
        </is>
      </c>
      <c r="B229" s="13">
        <f>IFERROR(__xludf.DUMMYFUNCTION("GOOGLEFINANCE(""NSE:""&amp;A229,""PRICE"")"),1050.9)</f>
        <v/>
      </c>
      <c r="C229" s="13">
        <f>IFERROR(__xludf.DUMMYFUNCTION("GOOGLEFINANCE(""NSE:""&amp;A229,""PRICEOPEN"")"),1046)</f>
        <v/>
      </c>
      <c r="D229" s="13">
        <f>IFERROR(__xludf.DUMMYFUNCTION("GOOGLEFINANCE(""NSE:""&amp;A229,""HIGH"")"),1070)</f>
        <v/>
      </c>
      <c r="E229" s="13">
        <f>IFERROR(__xludf.DUMMYFUNCTION("GOOGLEFINANCE(""NSE:""&amp;A229,""LOW"")"),1038.75)</f>
        <v/>
      </c>
      <c r="F229" s="13">
        <f>IFERROR(__xludf.DUMMYFUNCTION("GOOGLEFINANCE(""NSE:""&amp;A229,""closeyest"")"),1040.25)</f>
        <v/>
      </c>
      <c r="G229" s="14">
        <f>(B229-C229)/B229</f>
        <v/>
      </c>
      <c r="H229" s="13">
        <f>IFERROR(__xludf.DUMMYFUNCTION("GOOGLEFINANCE(""NSE:""&amp;A229,""VOLUME"")"),75152)</f>
        <v/>
      </c>
      <c r="I229" s="13">
        <f>IFERROR(__xludf.DUMMYFUNCTION("AVERAGE(index(GOOGLEFINANCE(""NSE:""&amp;$A229, ""volume"", today()-21, today()-1), , 2))"),"#N/A")</f>
        <v/>
      </c>
      <c r="J229" s="14">
        <f>(H229-I229)/I229</f>
        <v/>
      </c>
      <c r="K229" s="13">
        <f>IFERROR(__xludf.DUMMYFUNCTION("AVERAGE(index(GOOGLEFINANCE(""NSE:""&amp;$A229, ""close"", today()-6, today()-1), , 2))"),"#N/A")</f>
        <v/>
      </c>
      <c r="L229" s="13">
        <f>IFERROR(__xludf.DUMMYFUNCTION("AVERAGE(index(GOOGLEFINANCE(""NSE:""&amp;$A229, ""close"", today()-14, today()-1), , 2))"),"#N/A")</f>
        <v/>
      </c>
      <c r="M229" s="13">
        <f>IFERROR(__xludf.DUMMYFUNCTION("AVERAGE(index(GOOGLEFINANCE(""NSE:""&amp;$A229, ""close"", today()-22, today()-1), , 2))"),"#N/A")</f>
        <v/>
      </c>
      <c r="N229" s="13">
        <f>AG229</f>
        <v/>
      </c>
      <c r="O229" s="13">
        <f>AI229</f>
        <v/>
      </c>
      <c r="P229" s="13">
        <f>W229</f>
        <v/>
      </c>
      <c r="Q229" s="13">
        <f>Y229</f>
        <v/>
      </c>
      <c r="R229" s="15" t="n"/>
      <c r="S229" s="15">
        <f>LEFT(W229,2)&amp;LEFT(Y229,2)</f>
        <v/>
      </c>
      <c r="T229" s="15" t="n"/>
      <c r="U229" s="15">
        <f>IF(K229&lt;L229,1,0)</f>
        <v/>
      </c>
      <c r="V229" s="15">
        <f>IF(H229&gt;I229,1,0)</f>
        <v/>
      </c>
      <c r="W229" s="15">
        <f>IF(SUM(U229:V229)=2,"Anticipatory_Sell","No_Action")</f>
        <v/>
      </c>
      <c r="X229" s="15" t="n"/>
      <c r="Y229" s="15">
        <f>IF(SUM(Z229:AA229)=2,"Confirm_Sell","No_Action")</f>
        <v/>
      </c>
      <c r="Z229" s="15">
        <f>IF(H229&gt;I229,1,0)</f>
        <v/>
      </c>
      <c r="AA229" s="15">
        <f>IF(K229&lt;M229,1,0)</f>
        <v/>
      </c>
      <c r="AB229" s="15" t="n"/>
      <c r="AC229" s="15">
        <f>LEFT(AG229,2)&amp;LEFT(AI229,2)</f>
        <v/>
      </c>
      <c r="AD229" s="15" t="n"/>
      <c r="AE229" s="15">
        <f>IF(K229&gt;L229,1,0)</f>
        <v/>
      </c>
      <c r="AF229" s="16">
        <f>IF(H229&gt;I229,1,0)</f>
        <v/>
      </c>
      <c r="AG229" s="16">
        <f>IF(SUM(AE229:AF229)=2,"Anticipatory_Buy","No_Action")</f>
        <v/>
      </c>
      <c r="AH229" s="15" t="n"/>
      <c r="AI229" s="15">
        <f>IF(SUM(AJ229:AK229)=2,"Confirm_Buy","No_Action")</f>
        <v/>
      </c>
      <c r="AJ229" s="15">
        <f>IF(H229&gt;I229,1,0)</f>
        <v/>
      </c>
      <c r="AK229" s="15">
        <f>IF(K229&gt;M229,1,0)</f>
        <v/>
      </c>
    </row>
    <row r="230" ht="14.5" customHeight="1">
      <c r="A230" s="12" t="inlineStr">
        <is>
          <t>NEULANDLAB</t>
        </is>
      </c>
      <c r="B230" s="13">
        <f>IFERROR(__xludf.DUMMYFUNCTION("GOOGLEFINANCE(""NSE:""&amp;A230,""PRICE"")"),17075.05)</f>
        <v/>
      </c>
      <c r="C230" s="13">
        <f>IFERROR(__xludf.DUMMYFUNCTION("GOOGLEFINANCE(""NSE:""&amp;A230,""PRICEOPEN"")"),17300)</f>
        <v/>
      </c>
      <c r="D230" s="13">
        <f>IFERROR(__xludf.DUMMYFUNCTION("GOOGLEFINANCE(""NSE:""&amp;A230,""HIGH"")"),17379.95)</f>
        <v/>
      </c>
      <c r="E230" s="13">
        <f>IFERROR(__xludf.DUMMYFUNCTION("GOOGLEFINANCE(""NSE:""&amp;A230,""LOW"")"),15399.25)</f>
        <v/>
      </c>
      <c r="F230" s="13">
        <f>IFERROR(__xludf.DUMMYFUNCTION("GOOGLEFINANCE(""NSE:""&amp;A230,""closeyest"")"),17596)</f>
        <v/>
      </c>
      <c r="G230" s="14">
        <f>(B230-C230)/B230</f>
        <v/>
      </c>
      <c r="H230" s="13">
        <f>IFERROR(__xludf.DUMMYFUNCTION("GOOGLEFINANCE(""NSE:""&amp;A230,""VOLUME"")"),131619)</f>
        <v/>
      </c>
      <c r="I230" s="13">
        <f>IFERROR(__xludf.DUMMYFUNCTION("AVERAGE(index(GOOGLEFINANCE(""NSE:""&amp;$A230, ""volume"", today()-21, today()-1), , 2))"),"#N/A")</f>
        <v/>
      </c>
      <c r="J230" s="14">
        <f>(H230-I230)/I230</f>
        <v/>
      </c>
      <c r="K230" s="13">
        <f>IFERROR(__xludf.DUMMYFUNCTION("AVERAGE(index(GOOGLEFINANCE(""NSE:""&amp;$A230, ""close"", today()-6, today()-1), , 2))"),"#N/A")</f>
        <v/>
      </c>
      <c r="L230" s="13">
        <f>IFERROR(__xludf.DUMMYFUNCTION("AVERAGE(index(GOOGLEFINANCE(""NSE:""&amp;$A230, ""close"", today()-14, today()-1), , 2))"),"#N/A")</f>
        <v/>
      </c>
      <c r="M230" s="13">
        <f>IFERROR(__xludf.DUMMYFUNCTION("AVERAGE(index(GOOGLEFINANCE(""NSE:""&amp;$A230, ""close"", today()-22, today()-1), , 2))"),"#N/A")</f>
        <v/>
      </c>
      <c r="N230" s="13">
        <f>AG230</f>
        <v/>
      </c>
      <c r="O230" s="13">
        <f>AI230</f>
        <v/>
      </c>
      <c r="P230" s="13">
        <f>W230</f>
        <v/>
      </c>
      <c r="Q230" s="13">
        <f>Y230</f>
        <v/>
      </c>
      <c r="R230" s="15" t="n"/>
      <c r="S230" s="15">
        <f>LEFT(W230,2)&amp;LEFT(Y230,2)</f>
        <v/>
      </c>
      <c r="T230" s="15" t="n"/>
      <c r="U230" s="15">
        <f>IF(K230&lt;L230,1,0)</f>
        <v/>
      </c>
      <c r="V230" s="15">
        <f>IF(H230&gt;I230,1,0)</f>
        <v/>
      </c>
      <c r="W230" s="15">
        <f>IF(SUM(U230:V230)=2,"Anticipatory_Sell","No_Action")</f>
        <v/>
      </c>
      <c r="X230" s="15" t="n"/>
      <c r="Y230" s="15">
        <f>IF(SUM(Z230:AA230)=2,"Confirm_Sell","No_Action")</f>
        <v/>
      </c>
      <c r="Z230" s="15">
        <f>IF(H230&gt;I230,1,0)</f>
        <v/>
      </c>
      <c r="AA230" s="15">
        <f>IF(K230&lt;M230,1,0)</f>
        <v/>
      </c>
      <c r="AB230" s="15" t="n"/>
      <c r="AC230" s="15">
        <f>LEFT(AG230,2)&amp;LEFT(AI230,2)</f>
        <v/>
      </c>
      <c r="AD230" s="15" t="n"/>
      <c r="AE230" s="15">
        <f>IF(K230&gt;L230,1,0)</f>
        <v/>
      </c>
      <c r="AF230" s="16">
        <f>IF(H230&gt;I230,1,0)</f>
        <v/>
      </c>
      <c r="AG230" s="16">
        <f>IF(SUM(AE230:AF230)=2,"Anticipatory_Buy","No_Action")</f>
        <v/>
      </c>
      <c r="AH230" s="15" t="n"/>
      <c r="AI230" s="15">
        <f>IF(SUM(AJ230:AK230)=2,"Confirm_Buy","No_Action")</f>
        <v/>
      </c>
      <c r="AJ230" s="15">
        <f>IF(H230&gt;I230,1,0)</f>
        <v/>
      </c>
      <c r="AK230" s="15">
        <f>IF(K230&gt;M230,1,0)</f>
        <v/>
      </c>
    </row>
    <row r="231" ht="14.5" customHeight="1">
      <c r="A231" s="12" t="inlineStr">
        <is>
          <t>NGLFINE</t>
        </is>
      </c>
      <c r="B231" s="13">
        <f>IFERROR(__xludf.DUMMYFUNCTION("GOOGLEFINANCE(""NSE:""&amp;A231,""PRICE"")"),1846)</f>
        <v/>
      </c>
      <c r="C231" s="13">
        <f>IFERROR(__xludf.DUMMYFUNCTION("GOOGLEFINANCE(""NSE:""&amp;A231,""PRICEOPEN"")"),1889.8)</f>
        <v/>
      </c>
      <c r="D231" s="13">
        <f>IFERROR(__xludf.DUMMYFUNCTION("GOOGLEFINANCE(""NSE:""&amp;A231,""HIGH"")"),1891.85)</f>
        <v/>
      </c>
      <c r="E231" s="13">
        <f>IFERROR(__xludf.DUMMYFUNCTION("GOOGLEFINANCE(""NSE:""&amp;A231,""LOW"")"),1815.05)</f>
        <v/>
      </c>
      <c r="F231" s="13">
        <f>IFERROR(__xludf.DUMMYFUNCTION("GOOGLEFINANCE(""NSE:""&amp;A231,""closeyest"")"),1838.65)</f>
        <v/>
      </c>
      <c r="G231" s="14">
        <f>(B231-C231)/B231</f>
        <v/>
      </c>
      <c r="H231" s="13">
        <f>IFERROR(__xludf.DUMMYFUNCTION("GOOGLEFINANCE(""NSE:""&amp;A231,""VOLUME"")"),2588)</f>
        <v/>
      </c>
      <c r="I231" s="13">
        <f>IFERROR(__xludf.DUMMYFUNCTION("AVERAGE(index(GOOGLEFINANCE(""NSE:""&amp;$A231, ""volume"", today()-21, today()-1), , 2))"),"#N/A")</f>
        <v/>
      </c>
      <c r="J231" s="14">
        <f>(H231-I231)/I231</f>
        <v/>
      </c>
      <c r="K231" s="13">
        <f>IFERROR(__xludf.DUMMYFUNCTION("AVERAGE(index(GOOGLEFINANCE(""NSE:""&amp;$A231, ""close"", today()-6, today()-1), , 2))"),"#N/A")</f>
        <v/>
      </c>
      <c r="L231" s="13">
        <f>IFERROR(__xludf.DUMMYFUNCTION("AVERAGE(index(GOOGLEFINANCE(""NSE:""&amp;$A231, ""close"", today()-14, today()-1), , 2))"),"#N/A")</f>
        <v/>
      </c>
      <c r="M231" s="13">
        <f>IFERROR(__xludf.DUMMYFUNCTION("AVERAGE(index(GOOGLEFINANCE(""NSE:""&amp;$A231, ""close"", today()-22, today()-1), , 2))"),"#N/A")</f>
        <v/>
      </c>
      <c r="N231" s="13">
        <f>AG231</f>
        <v/>
      </c>
      <c r="O231" s="13">
        <f>AI231</f>
        <v/>
      </c>
      <c r="P231" s="13">
        <f>W231</f>
        <v/>
      </c>
      <c r="Q231" s="13">
        <f>Y231</f>
        <v/>
      </c>
      <c r="R231" s="15" t="n"/>
      <c r="S231" s="15">
        <f>LEFT(W231,2)&amp;LEFT(Y231,2)</f>
        <v/>
      </c>
      <c r="T231" s="15" t="n"/>
      <c r="U231" s="15">
        <f>IF(K231&lt;L231,1,0)</f>
        <v/>
      </c>
      <c r="V231" s="15">
        <f>IF(H231&gt;I231,1,0)</f>
        <v/>
      </c>
      <c r="W231" s="15">
        <f>IF(SUM(U231:V231)=2,"Anticipatory_Sell","No_Action")</f>
        <v/>
      </c>
      <c r="X231" s="15" t="n"/>
      <c r="Y231" s="15">
        <f>IF(SUM(Z231:AA231)=2,"Confirm_Sell","No_Action")</f>
        <v/>
      </c>
      <c r="Z231" s="15">
        <f>IF(H231&gt;I231,1,0)</f>
        <v/>
      </c>
      <c r="AA231" s="15">
        <f>IF(K231&lt;M231,1,0)</f>
        <v/>
      </c>
      <c r="AB231" s="15" t="n"/>
      <c r="AC231" s="15">
        <f>LEFT(AG231,2)&amp;LEFT(AI231,2)</f>
        <v/>
      </c>
      <c r="AD231" s="15" t="n"/>
      <c r="AE231" s="15">
        <f>IF(K231&gt;L231,1,0)</f>
        <v/>
      </c>
      <c r="AF231" s="16">
        <f>IF(H231&gt;I231,1,0)</f>
        <v/>
      </c>
      <c r="AG231" s="16">
        <f>IF(SUM(AE231:AF231)=2,"Anticipatory_Buy","No_Action")</f>
        <v/>
      </c>
      <c r="AH231" s="15" t="n"/>
      <c r="AI231" s="15">
        <f>IF(SUM(AJ231:AK231)=2,"Confirm_Buy","No_Action")</f>
        <v/>
      </c>
      <c r="AJ231" s="15">
        <f>IF(H231&gt;I231,1,0)</f>
        <v/>
      </c>
      <c r="AK231" s="15">
        <f>IF(K231&gt;M231,1,0)</f>
        <v/>
      </c>
    </row>
    <row r="232" ht="14.5" customHeight="1">
      <c r="A232" s="12" t="inlineStr">
        <is>
          <t>NHPC</t>
        </is>
      </c>
      <c r="B232" s="13">
        <f>IFERROR(__xludf.DUMMYFUNCTION("GOOGLEFINANCE(""NSE:""&amp;A232,""PRICE"")"),86.75)</f>
        <v/>
      </c>
      <c r="C232" s="13">
        <f>IFERROR(__xludf.DUMMYFUNCTION("GOOGLEFINANCE(""NSE:""&amp;A232,""PRICEOPEN"")"),87)</f>
        <v/>
      </c>
      <c r="D232" s="13">
        <f>IFERROR(__xludf.DUMMYFUNCTION("GOOGLEFINANCE(""NSE:""&amp;A232,""HIGH"")"),88.79)</f>
        <v/>
      </c>
      <c r="E232" s="13">
        <f>IFERROR(__xludf.DUMMYFUNCTION("GOOGLEFINANCE(""NSE:""&amp;A232,""LOW"")"),86.2)</f>
        <v/>
      </c>
      <c r="F232" s="13">
        <f>IFERROR(__xludf.DUMMYFUNCTION("GOOGLEFINANCE(""NSE:""&amp;A232,""closeyest"")"),84.87)</f>
        <v/>
      </c>
      <c r="G232" s="14">
        <f>(B232-C232)/B232</f>
        <v/>
      </c>
      <c r="H232" s="13">
        <f>IFERROR(__xludf.DUMMYFUNCTION("GOOGLEFINANCE(""NSE:""&amp;A232,""VOLUME"")"),66596997)</f>
        <v/>
      </c>
      <c r="I232" s="13">
        <f>IFERROR(__xludf.DUMMYFUNCTION("AVERAGE(index(GOOGLEFINANCE(""NSE:""&amp;$A232, ""volume"", today()-21, today()-1), , 2))"),"#N/A")</f>
        <v/>
      </c>
      <c r="J232" s="14">
        <f>(H232-I232)/I232</f>
        <v/>
      </c>
      <c r="K232" s="13">
        <f>IFERROR(__xludf.DUMMYFUNCTION("AVERAGE(index(GOOGLEFINANCE(""NSE:""&amp;$A232, ""close"", today()-6, today()-1), , 2))"),"#N/A")</f>
        <v/>
      </c>
      <c r="L232" s="13">
        <f>IFERROR(__xludf.DUMMYFUNCTION("AVERAGE(index(GOOGLEFINANCE(""NSE:""&amp;$A232, ""close"", today()-14, today()-1), , 2))"),"#N/A")</f>
        <v/>
      </c>
      <c r="M232" s="13">
        <f>IFERROR(__xludf.DUMMYFUNCTION("AVERAGE(index(GOOGLEFINANCE(""NSE:""&amp;$A232, ""close"", today()-22, today()-1), , 2))"),"#N/A")</f>
        <v/>
      </c>
      <c r="N232" s="13">
        <f>AG232</f>
        <v/>
      </c>
      <c r="O232" s="13">
        <f>AI232</f>
        <v/>
      </c>
      <c r="P232" s="13">
        <f>W232</f>
        <v/>
      </c>
      <c r="Q232" s="13">
        <f>Y232</f>
        <v/>
      </c>
      <c r="R232" s="15" t="n"/>
      <c r="S232" s="15">
        <f>LEFT(W232,2)&amp;LEFT(Y232,2)</f>
        <v/>
      </c>
      <c r="T232" s="15" t="n"/>
      <c r="U232" s="15">
        <f>IF(K232&lt;L232,1,0)</f>
        <v/>
      </c>
      <c r="V232" s="15">
        <f>IF(H232&gt;I232,1,0)</f>
        <v/>
      </c>
      <c r="W232" s="15">
        <f>IF(SUM(U232:V232)=2,"Anticipatory_Sell","No_Action")</f>
        <v/>
      </c>
      <c r="X232" s="15" t="n"/>
      <c r="Y232" s="15">
        <f>IF(SUM(Z232:AA232)=2,"Confirm_Sell","No_Action")</f>
        <v/>
      </c>
      <c r="Z232" s="15">
        <f>IF(H232&gt;I232,1,0)</f>
        <v/>
      </c>
      <c r="AA232" s="15">
        <f>IF(K232&lt;M232,1,0)</f>
        <v/>
      </c>
      <c r="AB232" s="15" t="n"/>
      <c r="AC232" s="15">
        <f>LEFT(AG232,2)&amp;LEFT(AI232,2)</f>
        <v/>
      </c>
      <c r="AD232" s="15" t="n"/>
      <c r="AE232" s="15">
        <f>IF(K232&gt;L232,1,0)</f>
        <v/>
      </c>
      <c r="AF232" s="16">
        <f>IF(H232&gt;I232,1,0)</f>
        <v/>
      </c>
      <c r="AG232" s="16">
        <f>IF(SUM(AE232:AF232)=2,"Anticipatory_Buy","No_Action")</f>
        <v/>
      </c>
      <c r="AH232" s="15" t="n"/>
      <c r="AI232" s="15">
        <f>IF(SUM(AJ232:AK232)=2,"Confirm_Buy","No_Action")</f>
        <v/>
      </c>
      <c r="AJ232" s="15">
        <f>IF(H232&gt;I232,1,0)</f>
        <v/>
      </c>
      <c r="AK232" s="15">
        <f>IF(K232&gt;M232,1,0)</f>
        <v/>
      </c>
    </row>
    <row r="233" ht="14.5" customHeight="1">
      <c r="A233" s="12" t="inlineStr">
        <is>
          <t>NAM-INDIA</t>
        </is>
      </c>
      <c r="B233" s="13">
        <f>IFERROR(__xludf.DUMMYFUNCTION("GOOGLEFINANCE(""NSE:""&amp;A233,""PRICE"")"),734.5)</f>
        <v/>
      </c>
      <c r="C233" s="13">
        <f>IFERROR(__xludf.DUMMYFUNCTION("GOOGLEFINANCE(""NSE:""&amp;A233,""PRICEOPEN"")"),716.25)</f>
        <v/>
      </c>
      <c r="D233" s="13">
        <f>IFERROR(__xludf.DUMMYFUNCTION("GOOGLEFINANCE(""NSE:""&amp;A233,""HIGH"")"),743)</f>
        <v/>
      </c>
      <c r="E233" s="13">
        <f>IFERROR(__xludf.DUMMYFUNCTION("GOOGLEFINANCE(""NSE:""&amp;A233,""LOW"")"),706.7)</f>
        <v/>
      </c>
      <c r="F233" s="13">
        <f>IFERROR(__xludf.DUMMYFUNCTION("GOOGLEFINANCE(""NSE:""&amp;A233,""closeyest"")"),719.1)</f>
        <v/>
      </c>
      <c r="G233" s="14">
        <f>(B233-C233)/B233</f>
        <v/>
      </c>
      <c r="H233" s="13">
        <f>IFERROR(__xludf.DUMMYFUNCTION("GOOGLEFINANCE(""NSE:""&amp;A233,""VOLUME"")"),1940671)</f>
        <v/>
      </c>
      <c r="I233" s="13">
        <f>IFERROR(__xludf.DUMMYFUNCTION("AVERAGE(index(GOOGLEFINANCE(""NSE:""&amp;$A233, ""volume"", today()-21, today()-1), , 2))"),"#N/A")</f>
        <v/>
      </c>
      <c r="J233" s="14">
        <f>(H233-I233)/I233</f>
        <v/>
      </c>
      <c r="K233" s="13">
        <f>IFERROR(__xludf.DUMMYFUNCTION("AVERAGE(index(GOOGLEFINANCE(""NSE:""&amp;$A233, ""close"", today()-6, today()-1), , 2))"),"#N/A")</f>
        <v/>
      </c>
      <c r="L233" s="13">
        <f>IFERROR(__xludf.DUMMYFUNCTION("AVERAGE(index(GOOGLEFINANCE(""NSE:""&amp;$A233, ""close"", today()-14, today()-1), , 2))"),"#N/A")</f>
        <v/>
      </c>
      <c r="M233" s="13">
        <f>IFERROR(__xludf.DUMMYFUNCTION("AVERAGE(index(GOOGLEFINANCE(""NSE:""&amp;$A233, ""close"", today()-22, today()-1), , 2))"),"#N/A")</f>
        <v/>
      </c>
      <c r="N233" s="13">
        <f>AG233</f>
        <v/>
      </c>
      <c r="O233" s="13">
        <f>AI233</f>
        <v/>
      </c>
      <c r="P233" s="13">
        <f>W233</f>
        <v/>
      </c>
      <c r="Q233" s="13">
        <f>Y233</f>
        <v/>
      </c>
      <c r="R233" s="15" t="n"/>
      <c r="S233" s="15">
        <f>LEFT(W233,2)&amp;LEFT(Y233,2)</f>
        <v/>
      </c>
      <c r="T233" s="15" t="n"/>
      <c r="U233" s="15">
        <f>IF(K233&lt;L233,1,0)</f>
        <v/>
      </c>
      <c r="V233" s="15">
        <f>IF(H233&gt;I233,1,0)</f>
        <v/>
      </c>
      <c r="W233" s="15">
        <f>IF(SUM(U233:V233)=2,"Anticipatory_Sell","No_Action")</f>
        <v/>
      </c>
      <c r="X233" s="15" t="n"/>
      <c r="Y233" s="15">
        <f>IF(SUM(Z233:AA233)=2,"Confirm_Sell","No_Action")</f>
        <v/>
      </c>
      <c r="Z233" s="15">
        <f>IF(H233&gt;I233,1,0)</f>
        <v/>
      </c>
      <c r="AA233" s="15">
        <f>IF(K233&lt;M233,1,0)</f>
        <v/>
      </c>
      <c r="AB233" s="15" t="n"/>
      <c r="AC233" s="15">
        <f>LEFT(AG233,2)&amp;LEFT(AI233,2)</f>
        <v/>
      </c>
      <c r="AD233" s="15" t="n"/>
      <c r="AE233" s="15">
        <f>IF(K233&gt;L233,1,0)</f>
        <v/>
      </c>
      <c r="AF233" s="16">
        <f>IF(H233&gt;I233,1,0)</f>
        <v/>
      </c>
      <c r="AG233" s="16">
        <f>IF(SUM(AE233:AF233)=2,"Anticipatory_Buy","No_Action")</f>
        <v/>
      </c>
      <c r="AH233" s="15" t="n"/>
      <c r="AI233" s="15">
        <f>IF(SUM(AJ233:AK233)=2,"Confirm_Buy","No_Action")</f>
        <v/>
      </c>
      <c r="AJ233" s="15">
        <f>IF(H233&gt;I233,1,0)</f>
        <v/>
      </c>
      <c r="AK233" s="15">
        <f>IF(K233&gt;M233,1,0)</f>
        <v/>
      </c>
    </row>
    <row r="234" ht="14.5" customHeight="1">
      <c r="A234" s="12" t="inlineStr">
        <is>
          <t>NMDC</t>
        </is>
      </c>
      <c r="B234" s="13">
        <f>IFERROR(__xludf.DUMMYFUNCTION("GOOGLEFINANCE(""NSE:""&amp;A234,""PRICE"")"),241.5)</f>
        <v/>
      </c>
      <c r="C234" s="13">
        <f>IFERROR(__xludf.DUMMYFUNCTION("GOOGLEFINANCE(""NSE:""&amp;A234,""PRICEOPEN"")"),239.45)</f>
        <v/>
      </c>
      <c r="D234" s="13">
        <f>IFERROR(__xludf.DUMMYFUNCTION("GOOGLEFINANCE(""NSE:""&amp;A234,""HIGH"")"),242.34)</f>
        <v/>
      </c>
      <c r="E234" s="13">
        <f>IFERROR(__xludf.DUMMYFUNCTION("GOOGLEFINANCE(""NSE:""&amp;A234,""LOW"")"),235.72)</f>
        <v/>
      </c>
      <c r="F234" s="13">
        <f>IFERROR(__xludf.DUMMYFUNCTION("GOOGLEFINANCE(""NSE:""&amp;A234,""closeyest"")"),238.66)</f>
        <v/>
      </c>
      <c r="G234" s="14">
        <f>(B234-C234)/B234</f>
        <v/>
      </c>
      <c r="H234" s="13">
        <f>IFERROR(__xludf.DUMMYFUNCTION("GOOGLEFINANCE(""NSE:""&amp;A234,""VOLUME"")"),13124074)</f>
        <v/>
      </c>
      <c r="I234" s="13">
        <f>IFERROR(__xludf.DUMMYFUNCTION("AVERAGE(index(GOOGLEFINANCE(""NSE:""&amp;$A234, ""volume"", today()-21, today()-1), , 2))"),"#N/A")</f>
        <v/>
      </c>
      <c r="J234" s="14">
        <f>(H234-I234)/I234</f>
        <v/>
      </c>
      <c r="K234" s="13">
        <f>IFERROR(__xludf.DUMMYFUNCTION("AVERAGE(index(GOOGLEFINANCE(""NSE:""&amp;$A234, ""close"", today()-6, today()-1), , 2))"),"#N/A")</f>
        <v/>
      </c>
      <c r="L234" s="13">
        <f>IFERROR(__xludf.DUMMYFUNCTION("AVERAGE(index(GOOGLEFINANCE(""NSE:""&amp;$A234, ""close"", today()-14, today()-1), , 2))"),"#N/A")</f>
        <v/>
      </c>
      <c r="M234" s="13">
        <f>IFERROR(__xludf.DUMMYFUNCTION("AVERAGE(index(GOOGLEFINANCE(""NSE:""&amp;$A234, ""close"", today()-22, today()-1), , 2))"),"#N/A")</f>
        <v/>
      </c>
      <c r="N234" s="13">
        <f>AG234</f>
        <v/>
      </c>
      <c r="O234" s="13">
        <f>AI234</f>
        <v/>
      </c>
      <c r="P234" s="13">
        <f>W234</f>
        <v/>
      </c>
      <c r="Q234" s="13">
        <f>Y234</f>
        <v/>
      </c>
      <c r="R234" s="15" t="n"/>
      <c r="S234" s="15">
        <f>LEFT(W234,2)&amp;LEFT(Y234,2)</f>
        <v/>
      </c>
      <c r="T234" s="15" t="n"/>
      <c r="U234" s="15">
        <f>IF(K234&lt;L234,1,0)</f>
        <v/>
      </c>
      <c r="V234" s="15">
        <f>IF(H234&gt;I234,1,0)</f>
        <v/>
      </c>
      <c r="W234" s="15">
        <f>IF(SUM(U234:V234)=2,"Anticipatory_Sell","No_Action")</f>
        <v/>
      </c>
      <c r="X234" s="15" t="n"/>
      <c r="Y234" s="15">
        <f>IF(SUM(Z234:AA234)=2,"Confirm_Sell","No_Action")</f>
        <v/>
      </c>
      <c r="Z234" s="15">
        <f>IF(H234&gt;I234,1,0)</f>
        <v/>
      </c>
      <c r="AA234" s="15">
        <f>IF(K234&lt;M234,1,0)</f>
        <v/>
      </c>
      <c r="AB234" s="15" t="n"/>
      <c r="AC234" s="15">
        <f>LEFT(AG234,2)&amp;LEFT(AI234,2)</f>
        <v/>
      </c>
      <c r="AD234" s="15" t="n"/>
      <c r="AE234" s="15">
        <f>IF(K234&gt;L234,1,0)</f>
        <v/>
      </c>
      <c r="AF234" s="16">
        <f>IF(H234&gt;I234,1,0)</f>
        <v/>
      </c>
      <c r="AG234" s="16">
        <f>IF(SUM(AE234:AF234)=2,"Anticipatory_Buy","No_Action")</f>
        <v/>
      </c>
      <c r="AH234" s="15" t="n"/>
      <c r="AI234" s="15">
        <f>IF(SUM(AJ234:AK234)=2,"Confirm_Buy","No_Action")</f>
        <v/>
      </c>
      <c r="AJ234" s="15">
        <f>IF(H234&gt;I234,1,0)</f>
        <v/>
      </c>
      <c r="AK234" s="15">
        <f>IF(K234&gt;M234,1,0)</f>
        <v/>
      </c>
    </row>
    <row r="235" ht="14.5" customHeight="1">
      <c r="A235" s="12" t="inlineStr">
        <is>
          <t>NRBBEARING</t>
        </is>
      </c>
      <c r="B235" s="13">
        <f>IFERROR(__xludf.DUMMYFUNCTION("GOOGLEFINANCE(""NSE:""&amp;A235,""PRICE"")"),298)</f>
        <v/>
      </c>
      <c r="C235" s="13">
        <f>IFERROR(__xludf.DUMMYFUNCTION("GOOGLEFINANCE(""NSE:""&amp;A235,""PRICEOPEN"")"),301.9)</f>
        <v/>
      </c>
      <c r="D235" s="13">
        <f>IFERROR(__xludf.DUMMYFUNCTION("GOOGLEFINANCE(""NSE:""&amp;A235,""HIGH"")"),304.2)</f>
        <v/>
      </c>
      <c r="E235" s="13">
        <f>IFERROR(__xludf.DUMMYFUNCTION("GOOGLEFINANCE(""NSE:""&amp;A235,""LOW"")"),296.3)</f>
        <v/>
      </c>
      <c r="F235" s="13">
        <f>IFERROR(__xludf.DUMMYFUNCTION("GOOGLEFINANCE(""NSE:""&amp;A235,""closeyest"")"),301.3)</f>
        <v/>
      </c>
      <c r="G235" s="14">
        <f>(B235-C235)/B235</f>
        <v/>
      </c>
      <c r="H235" s="13">
        <f>IFERROR(__xludf.DUMMYFUNCTION("GOOGLEFINANCE(""NSE:""&amp;A235,""VOLUME"")"),240985)</f>
        <v/>
      </c>
      <c r="I235" s="13">
        <f>IFERROR(__xludf.DUMMYFUNCTION("AVERAGE(index(GOOGLEFINANCE(""NSE:""&amp;$A235, ""volume"", today()-21, today()-1), , 2))"),"#N/A")</f>
        <v/>
      </c>
      <c r="J235" s="14">
        <f>(H235-I235)/I235</f>
        <v/>
      </c>
      <c r="K235" s="13">
        <f>IFERROR(__xludf.DUMMYFUNCTION("AVERAGE(index(GOOGLEFINANCE(""NSE:""&amp;$A235, ""close"", today()-6, today()-1), , 2))"),"#N/A")</f>
        <v/>
      </c>
      <c r="L235" s="13">
        <f>IFERROR(__xludf.DUMMYFUNCTION("AVERAGE(index(GOOGLEFINANCE(""NSE:""&amp;$A235, ""close"", today()-14, today()-1), , 2))"),"#N/A")</f>
        <v/>
      </c>
      <c r="M235" s="13">
        <f>IFERROR(__xludf.DUMMYFUNCTION("AVERAGE(index(GOOGLEFINANCE(""NSE:""&amp;$A235, ""close"", today()-22, today()-1), , 2))"),"#N/A")</f>
        <v/>
      </c>
      <c r="N235" s="13">
        <f>AG235</f>
        <v/>
      </c>
      <c r="O235" s="13">
        <f>AI235</f>
        <v/>
      </c>
      <c r="P235" s="13">
        <f>W235</f>
        <v/>
      </c>
      <c r="Q235" s="13">
        <f>Y235</f>
        <v/>
      </c>
      <c r="R235" s="15" t="n"/>
      <c r="S235" s="15">
        <f>LEFT(W235,2)&amp;LEFT(Y235,2)</f>
        <v/>
      </c>
      <c r="T235" s="15" t="n"/>
      <c r="U235" s="15">
        <f>IF(K235&lt;L235,1,0)</f>
        <v/>
      </c>
      <c r="V235" s="15">
        <f>IF(H235&gt;I235,1,0)</f>
        <v/>
      </c>
      <c r="W235" s="15">
        <f>IF(SUM(U235:V235)=2,"Anticipatory_Sell","No_Action")</f>
        <v/>
      </c>
      <c r="X235" s="15" t="n"/>
      <c r="Y235" s="15">
        <f>IF(SUM(Z235:AA235)=2,"Confirm_Sell","No_Action")</f>
        <v/>
      </c>
      <c r="Z235" s="15">
        <f>IF(H235&gt;I235,1,0)</f>
        <v/>
      </c>
      <c r="AA235" s="15">
        <f>IF(K235&lt;M235,1,0)</f>
        <v/>
      </c>
      <c r="AB235" s="15" t="n"/>
      <c r="AC235" s="15">
        <f>LEFT(AG235,2)&amp;LEFT(AI235,2)</f>
        <v/>
      </c>
      <c r="AD235" s="15" t="n"/>
      <c r="AE235" s="15">
        <f>IF(K235&gt;L235,1,0)</f>
        <v/>
      </c>
      <c r="AF235" s="16">
        <f>IF(H235&gt;I235,1,0)</f>
        <v/>
      </c>
      <c r="AG235" s="16">
        <f>IF(SUM(AE235:AF235)=2,"Anticipatory_Buy","No_Action")</f>
        <v/>
      </c>
      <c r="AH235" s="15" t="n"/>
      <c r="AI235" s="15">
        <f>IF(SUM(AJ235:AK235)=2,"Confirm_Buy","No_Action")</f>
        <v/>
      </c>
      <c r="AJ235" s="15">
        <f>IF(H235&gt;I235,1,0)</f>
        <v/>
      </c>
      <c r="AK235" s="15">
        <f>IF(K235&gt;M235,1,0)</f>
        <v/>
      </c>
    </row>
    <row r="236" ht="14.5" customHeight="1">
      <c r="A236" s="12" t="inlineStr">
        <is>
          <t>NTPC</t>
        </is>
      </c>
      <c r="B236" s="13">
        <f>IFERROR(__xludf.DUMMYFUNCTION("GOOGLEFINANCE(""NSE:""&amp;A236,""PRICE"")"),369.45)</f>
        <v/>
      </c>
      <c r="C236" s="13">
        <f>IFERROR(__xludf.DUMMYFUNCTION("GOOGLEFINANCE(""NSE:""&amp;A236,""PRICEOPEN"")"),370.9)</f>
        <v/>
      </c>
      <c r="D236" s="13">
        <f>IFERROR(__xludf.DUMMYFUNCTION("GOOGLEFINANCE(""NSE:""&amp;A236,""HIGH"")"),373.3)</f>
        <v/>
      </c>
      <c r="E236" s="13">
        <f>IFERROR(__xludf.DUMMYFUNCTION("GOOGLEFINANCE(""NSE:""&amp;A236,""LOW"")"),367.75)</f>
        <v/>
      </c>
      <c r="F236" s="13">
        <f>IFERROR(__xludf.DUMMYFUNCTION("GOOGLEFINANCE(""NSE:""&amp;A236,""closeyest"")"),369.5)</f>
        <v/>
      </c>
      <c r="G236" s="14">
        <f>(B236-C236)/B236</f>
        <v/>
      </c>
      <c r="H236" s="13">
        <f>IFERROR(__xludf.DUMMYFUNCTION("GOOGLEFINANCE(""NSE:""&amp;A236,""VOLUME"")"),10878679)</f>
        <v/>
      </c>
      <c r="I236" s="13">
        <f>IFERROR(__xludf.DUMMYFUNCTION("AVERAGE(index(GOOGLEFINANCE(""NSE:""&amp;$A236, ""volume"", today()-21, today()-1), , 2))"),"#N/A")</f>
        <v/>
      </c>
      <c r="J236" s="14">
        <f>(H236-I236)/I236</f>
        <v/>
      </c>
      <c r="K236" s="13">
        <f>IFERROR(__xludf.DUMMYFUNCTION("AVERAGE(index(GOOGLEFINANCE(""NSE:""&amp;$A236, ""close"", today()-6, today()-1), , 2))"),"#N/A")</f>
        <v/>
      </c>
      <c r="L236" s="13">
        <f>IFERROR(__xludf.DUMMYFUNCTION("AVERAGE(index(GOOGLEFINANCE(""NSE:""&amp;$A236, ""close"", today()-14, today()-1), , 2))"),"#N/A")</f>
        <v/>
      </c>
      <c r="M236" s="13">
        <f>IFERROR(__xludf.DUMMYFUNCTION("AVERAGE(index(GOOGLEFINANCE(""NSE:""&amp;$A236, ""close"", today()-22, today()-1), , 2))"),"#N/A")</f>
        <v/>
      </c>
      <c r="N236" s="13">
        <f>AG236</f>
        <v/>
      </c>
      <c r="O236" s="13">
        <f>AI236</f>
        <v/>
      </c>
      <c r="P236" s="13">
        <f>W236</f>
        <v/>
      </c>
      <c r="Q236" s="13">
        <f>Y236</f>
        <v/>
      </c>
      <c r="R236" s="15" t="n"/>
      <c r="S236" s="15">
        <f>LEFT(W236,2)&amp;LEFT(Y236,2)</f>
        <v/>
      </c>
      <c r="T236" s="15" t="n"/>
      <c r="U236" s="15">
        <f>IF(K236&lt;L236,1,0)</f>
        <v/>
      </c>
      <c r="V236" s="15">
        <f>IF(H236&gt;I236,1,0)</f>
        <v/>
      </c>
      <c r="W236" s="15">
        <f>IF(SUM(U236:V236)=2,"Anticipatory_Sell","No_Action")</f>
        <v/>
      </c>
      <c r="X236" s="15" t="n"/>
      <c r="Y236" s="15">
        <f>IF(SUM(Z236:AA236)=2,"Confirm_Sell","No_Action")</f>
        <v/>
      </c>
      <c r="Z236" s="15">
        <f>IF(H236&gt;I236,1,0)</f>
        <v/>
      </c>
      <c r="AA236" s="15">
        <f>IF(K236&lt;M236,1,0)</f>
        <v/>
      </c>
      <c r="AB236" s="15" t="n"/>
      <c r="AC236" s="15">
        <f>LEFT(AG236,2)&amp;LEFT(AI236,2)</f>
        <v/>
      </c>
      <c r="AD236" s="15" t="n"/>
      <c r="AE236" s="15">
        <f>IF(K236&gt;L236,1,0)</f>
        <v/>
      </c>
      <c r="AF236" s="16">
        <f>IF(H236&gt;I236,1,0)</f>
        <v/>
      </c>
      <c r="AG236" s="16">
        <f>IF(SUM(AE236:AF236)=2,"Anticipatory_Buy","No_Action")</f>
        <v/>
      </c>
      <c r="AH236" s="15" t="n"/>
      <c r="AI236" s="15">
        <f>IF(SUM(AJ236:AK236)=2,"Confirm_Buy","No_Action")</f>
        <v/>
      </c>
      <c r="AJ236" s="15">
        <f>IF(H236&gt;I236,1,0)</f>
        <v/>
      </c>
      <c r="AK236" s="15">
        <f>IF(K236&gt;M236,1,0)</f>
        <v/>
      </c>
    </row>
    <row r="237" ht="14.5" customHeight="1">
      <c r="A237" s="12" t="inlineStr">
        <is>
          <t>ONGC</t>
        </is>
      </c>
      <c r="B237" s="13">
        <f>IFERROR(__xludf.DUMMYFUNCTION("GOOGLEFINANCE(""NSE:""&amp;A237,""PRICE"")"),258.75)</f>
        <v/>
      </c>
      <c r="C237" s="13">
        <f>IFERROR(__xludf.DUMMYFUNCTION("GOOGLEFINANCE(""NSE:""&amp;A237,""PRICEOPEN"")"),260.05)</f>
        <v/>
      </c>
      <c r="D237" s="13">
        <f>IFERROR(__xludf.DUMMYFUNCTION("GOOGLEFINANCE(""NSE:""&amp;A237,""HIGH"")"),261.35)</f>
        <v/>
      </c>
      <c r="E237" s="13">
        <f>IFERROR(__xludf.DUMMYFUNCTION("GOOGLEFINANCE(""NSE:""&amp;A237,""LOW"")"),257.7)</f>
        <v/>
      </c>
      <c r="F237" s="13">
        <f>IFERROR(__xludf.DUMMYFUNCTION("GOOGLEFINANCE(""NSE:""&amp;A237,""closeyest"")"),260.05)</f>
        <v/>
      </c>
      <c r="G237" s="14">
        <f>(B237-C237)/B237</f>
        <v/>
      </c>
      <c r="H237" s="13">
        <f>IFERROR(__xludf.DUMMYFUNCTION("GOOGLEFINANCE(""NSE:""&amp;A237,""VOLUME"")"),6800856)</f>
        <v/>
      </c>
      <c r="I237" s="13">
        <f>IFERROR(__xludf.DUMMYFUNCTION("AVERAGE(index(GOOGLEFINANCE(""NSE:""&amp;$A237, ""volume"", today()-21, today()-1), , 2))"),"#N/A")</f>
        <v/>
      </c>
      <c r="J237" s="14">
        <f>(H237-I237)/I237</f>
        <v/>
      </c>
      <c r="K237" s="13">
        <f>IFERROR(__xludf.DUMMYFUNCTION("AVERAGE(index(GOOGLEFINANCE(""NSE:""&amp;$A237, ""close"", today()-6, today()-1), , 2))"),"#N/A")</f>
        <v/>
      </c>
      <c r="L237" s="13">
        <f>IFERROR(__xludf.DUMMYFUNCTION("AVERAGE(index(GOOGLEFINANCE(""NSE:""&amp;$A237, ""close"", today()-14, today()-1), , 2))"),"#N/A")</f>
        <v/>
      </c>
      <c r="M237" s="13">
        <f>IFERROR(__xludf.DUMMYFUNCTION("AVERAGE(index(GOOGLEFINANCE(""NSE:""&amp;$A237, ""close"", today()-22, today()-1), , 2))"),"#N/A")</f>
        <v/>
      </c>
      <c r="N237" s="13">
        <f>AG237</f>
        <v/>
      </c>
      <c r="O237" s="13">
        <f>AI237</f>
        <v/>
      </c>
      <c r="P237" s="13">
        <f>W237</f>
        <v/>
      </c>
      <c r="Q237" s="13">
        <f>Y237</f>
        <v/>
      </c>
      <c r="R237" s="15" t="n"/>
      <c r="S237" s="15">
        <f>LEFT(W237,2)&amp;LEFT(Y237,2)</f>
        <v/>
      </c>
      <c r="T237" s="15" t="n"/>
      <c r="U237" s="15">
        <f>IF(K237&lt;L237,1,0)</f>
        <v/>
      </c>
      <c r="V237" s="15">
        <f>IF(H237&gt;I237,1,0)</f>
        <v/>
      </c>
      <c r="W237" s="15">
        <f>IF(SUM(U237:V237)=2,"Anticipatory_Sell","No_Action")</f>
        <v/>
      </c>
      <c r="X237" s="15" t="n"/>
      <c r="Y237" s="15">
        <f>IF(SUM(Z237:AA237)=2,"Confirm_Sell","No_Action")</f>
        <v/>
      </c>
      <c r="Z237" s="15">
        <f>IF(H237&gt;I237,1,0)</f>
        <v/>
      </c>
      <c r="AA237" s="15">
        <f>IF(K237&lt;M237,1,0)</f>
        <v/>
      </c>
      <c r="AB237" s="15" t="n"/>
      <c r="AC237" s="15">
        <f>LEFT(AG237,2)&amp;LEFT(AI237,2)</f>
        <v/>
      </c>
      <c r="AD237" s="15" t="n"/>
      <c r="AE237" s="15">
        <f>IF(K237&gt;L237,1,0)</f>
        <v/>
      </c>
      <c r="AF237" s="16">
        <f>IF(H237&gt;I237,1,0)</f>
        <v/>
      </c>
      <c r="AG237" s="16">
        <f>IF(SUM(AE237:AF237)=2,"Anticipatory_Buy","No_Action")</f>
        <v/>
      </c>
      <c r="AH237" s="15" t="n"/>
      <c r="AI237" s="15">
        <f>IF(SUM(AJ237:AK237)=2,"Confirm_Buy","No_Action")</f>
        <v/>
      </c>
      <c r="AJ237" s="15">
        <f>IF(H237&gt;I237,1,0)</f>
        <v/>
      </c>
      <c r="AK237" s="15">
        <f>IF(K237&gt;M237,1,0)</f>
        <v/>
      </c>
    </row>
    <row r="238" ht="14.5" customHeight="1">
      <c r="A238" s="12" t="inlineStr">
        <is>
          <t>OBEROIRLTY</t>
        </is>
      </c>
      <c r="B238" s="13">
        <f>IFERROR(__xludf.DUMMYFUNCTION("GOOGLEFINANCE(""NSE:""&amp;A238,""PRICE"")"),2137.7)</f>
        <v/>
      </c>
      <c r="C238" s="13">
        <f>IFERROR(__xludf.DUMMYFUNCTION("GOOGLEFINANCE(""NSE:""&amp;A238,""PRICEOPEN"")"),2147.45)</f>
        <v/>
      </c>
      <c r="D238" s="13">
        <f>IFERROR(__xludf.DUMMYFUNCTION("GOOGLEFINANCE(""NSE:""&amp;A238,""HIGH"")"),2177.35)</f>
        <v/>
      </c>
      <c r="E238" s="13">
        <f>IFERROR(__xludf.DUMMYFUNCTION("GOOGLEFINANCE(""NSE:""&amp;A238,""LOW"")"),2132.6)</f>
        <v/>
      </c>
      <c r="F238" s="13">
        <f>IFERROR(__xludf.DUMMYFUNCTION("GOOGLEFINANCE(""NSE:""&amp;A238,""closeyest"")"),2143.3)</f>
        <v/>
      </c>
      <c r="G238" s="14">
        <f>(B238-C238)/B238</f>
        <v/>
      </c>
      <c r="H238" s="13">
        <f>IFERROR(__xludf.DUMMYFUNCTION("GOOGLEFINANCE(""NSE:""&amp;A238,""VOLUME"")"),579295)</f>
        <v/>
      </c>
      <c r="I238" s="13">
        <f>IFERROR(__xludf.DUMMYFUNCTION("AVERAGE(index(GOOGLEFINANCE(""NSE:""&amp;$A238, ""volume"", today()-21, today()-1), , 2))"),"#N/A")</f>
        <v/>
      </c>
      <c r="J238" s="14">
        <f>(H238-I238)/I238</f>
        <v/>
      </c>
      <c r="K238" s="13">
        <f>IFERROR(__xludf.DUMMYFUNCTION("AVERAGE(index(GOOGLEFINANCE(""NSE:""&amp;$A238, ""close"", today()-6, today()-1), , 2))"),"#N/A")</f>
        <v/>
      </c>
      <c r="L238" s="13">
        <f>IFERROR(__xludf.DUMMYFUNCTION("AVERAGE(index(GOOGLEFINANCE(""NSE:""&amp;$A238, ""close"", today()-14, today()-1), , 2))"),"#N/A")</f>
        <v/>
      </c>
      <c r="M238" s="13">
        <f>IFERROR(__xludf.DUMMYFUNCTION("AVERAGE(index(GOOGLEFINANCE(""NSE:""&amp;$A238, ""close"", today()-22, today()-1), , 2))"),"#N/A")</f>
        <v/>
      </c>
      <c r="N238" s="13">
        <f>AG238</f>
        <v/>
      </c>
      <c r="O238" s="13">
        <f>AI238</f>
        <v/>
      </c>
      <c r="P238" s="13">
        <f>W238</f>
        <v/>
      </c>
      <c r="Q238" s="13">
        <f>Y238</f>
        <v/>
      </c>
      <c r="R238" s="15" t="n"/>
      <c r="S238" s="15">
        <f>LEFT(W238,2)&amp;LEFT(Y238,2)</f>
        <v/>
      </c>
      <c r="T238" s="15" t="n"/>
      <c r="U238" s="15">
        <f>IF(K238&lt;L238,1,0)</f>
        <v/>
      </c>
      <c r="V238" s="15">
        <f>IF(H238&gt;I238,1,0)</f>
        <v/>
      </c>
      <c r="W238" s="15">
        <f>IF(SUM(U238:V238)=2,"Anticipatory_Sell","No_Action")</f>
        <v/>
      </c>
      <c r="X238" s="15" t="n"/>
      <c r="Y238" s="15">
        <f>IF(SUM(Z238:AA238)=2,"Confirm_Sell","No_Action")</f>
        <v/>
      </c>
      <c r="Z238" s="15">
        <f>IF(H238&gt;I238,1,0)</f>
        <v/>
      </c>
      <c r="AA238" s="15">
        <f>IF(K238&lt;M238,1,0)</f>
        <v/>
      </c>
      <c r="AB238" s="15" t="n"/>
      <c r="AC238" s="15">
        <f>LEFT(AG238,2)&amp;LEFT(AI238,2)</f>
        <v/>
      </c>
      <c r="AD238" s="15" t="n"/>
      <c r="AE238" s="15">
        <f>IF(K238&gt;L238,1,0)</f>
        <v/>
      </c>
      <c r="AF238" s="16">
        <f>IF(H238&gt;I238,1,0)</f>
        <v/>
      </c>
      <c r="AG238" s="16">
        <f>IF(SUM(AE238:AF238)=2,"Anticipatory_Buy","No_Action")</f>
        <v/>
      </c>
      <c r="AH238" s="15" t="n"/>
      <c r="AI238" s="15">
        <f>IF(SUM(AJ238:AK238)=2,"Confirm_Buy","No_Action")</f>
        <v/>
      </c>
      <c r="AJ238" s="15">
        <f>IF(H238&gt;I238,1,0)</f>
        <v/>
      </c>
      <c r="AK238" s="15">
        <f>IF(K238&gt;M238,1,0)</f>
        <v/>
      </c>
    </row>
    <row r="239" ht="14.5" customHeight="1">
      <c r="A239" s="12" t="inlineStr">
        <is>
          <t>OIL</t>
        </is>
      </c>
      <c r="B239" s="13">
        <f>IFERROR(__xludf.DUMMYFUNCTION("GOOGLEFINANCE(""NSE:""&amp;A239,""PRICE"")"),469.55)</f>
        <v/>
      </c>
      <c r="C239" s="13">
        <f>IFERROR(__xludf.DUMMYFUNCTION("GOOGLEFINANCE(""NSE:""&amp;A239,""PRICEOPEN"")"),475.1)</f>
        <v/>
      </c>
      <c r="D239" s="13">
        <f>IFERROR(__xludf.DUMMYFUNCTION("GOOGLEFINANCE(""NSE:""&amp;A239,""HIGH"")"),476.6)</f>
        <v/>
      </c>
      <c r="E239" s="13">
        <f>IFERROR(__xludf.DUMMYFUNCTION("GOOGLEFINANCE(""NSE:""&amp;A239,""LOW"")"),466.05)</f>
        <v/>
      </c>
      <c r="F239" s="13">
        <f>IFERROR(__xludf.DUMMYFUNCTION("GOOGLEFINANCE(""NSE:""&amp;A239,""closeyest"")"),474.9)</f>
        <v/>
      </c>
      <c r="G239" s="14">
        <f>(B239-C239)/B239</f>
        <v/>
      </c>
      <c r="H239" s="13">
        <f>IFERROR(__xludf.DUMMYFUNCTION("GOOGLEFINANCE(""NSE:""&amp;A239,""VOLUME"")"),2305005)</f>
        <v/>
      </c>
      <c r="I239" s="13">
        <f>IFERROR(__xludf.DUMMYFUNCTION("AVERAGE(index(GOOGLEFINANCE(""NSE:""&amp;$A239, ""volume"", today()-21, today()-1), , 2))"),"#N/A")</f>
        <v/>
      </c>
      <c r="J239" s="14">
        <f>(H239-I239)/I239</f>
        <v/>
      </c>
      <c r="K239" s="13">
        <f>IFERROR(__xludf.DUMMYFUNCTION("AVERAGE(index(GOOGLEFINANCE(""NSE:""&amp;$A239, ""close"", today()-6, today()-1), , 2))"),"#N/A")</f>
        <v/>
      </c>
      <c r="L239" s="13">
        <f>IFERROR(__xludf.DUMMYFUNCTION("AVERAGE(index(GOOGLEFINANCE(""NSE:""&amp;$A239, ""close"", today()-14, today()-1), , 2))"),"#N/A")</f>
        <v/>
      </c>
      <c r="M239" s="13">
        <f>IFERROR(__xludf.DUMMYFUNCTION("AVERAGE(index(GOOGLEFINANCE(""NSE:""&amp;$A239, ""close"", today()-22, today()-1), , 2))"),"#N/A")</f>
        <v/>
      </c>
      <c r="N239" s="13">
        <f>AG239</f>
        <v/>
      </c>
      <c r="O239" s="13">
        <f>AI239</f>
        <v/>
      </c>
      <c r="P239" s="13">
        <f>W239</f>
        <v/>
      </c>
      <c r="Q239" s="13">
        <f>Y239</f>
        <v/>
      </c>
      <c r="R239" s="15" t="n"/>
      <c r="S239" s="15">
        <f>LEFT(W239,2)&amp;LEFT(Y239,2)</f>
        <v/>
      </c>
      <c r="T239" s="15" t="n"/>
      <c r="U239" s="15">
        <f>IF(K239&lt;L239,1,0)</f>
        <v/>
      </c>
      <c r="V239" s="15">
        <f>IF(H239&gt;I239,1,0)</f>
        <v/>
      </c>
      <c r="W239" s="15">
        <f>IF(SUM(U239:V239)=2,"Anticipatory_Sell","No_Action")</f>
        <v/>
      </c>
      <c r="X239" s="15" t="n"/>
      <c r="Y239" s="15">
        <f>IF(SUM(Z239:AA239)=2,"Confirm_Sell","No_Action")</f>
        <v/>
      </c>
      <c r="Z239" s="15">
        <f>IF(H239&gt;I239,1,0)</f>
        <v/>
      </c>
      <c r="AA239" s="15">
        <f>IF(K239&lt;M239,1,0)</f>
        <v/>
      </c>
      <c r="AB239" s="15" t="n"/>
      <c r="AC239" s="15">
        <f>LEFT(AG239,2)&amp;LEFT(AI239,2)</f>
        <v/>
      </c>
      <c r="AD239" s="15" t="n"/>
      <c r="AE239" s="15">
        <f>IF(K239&gt;L239,1,0)</f>
        <v/>
      </c>
      <c r="AF239" s="16">
        <f>IF(H239&gt;I239,1,0)</f>
        <v/>
      </c>
      <c r="AG239" s="16">
        <f>IF(SUM(AE239:AF239)=2,"Anticipatory_Buy","No_Action")</f>
        <v/>
      </c>
      <c r="AH239" s="15" t="n"/>
      <c r="AI239" s="15">
        <f>IF(SUM(AJ239:AK239)=2,"Confirm_Buy","No_Action")</f>
        <v/>
      </c>
      <c r="AJ239" s="15">
        <f>IF(H239&gt;I239,1,0)</f>
        <v/>
      </c>
      <c r="AK239" s="15">
        <f>IF(K239&gt;M239,1,0)</f>
        <v/>
      </c>
    </row>
    <row r="240" ht="14.5" customHeight="1">
      <c r="A240" s="12" t="inlineStr">
        <is>
          <t>PIIND</t>
        </is>
      </c>
      <c r="B240" s="13">
        <f>IFERROR(__xludf.DUMMYFUNCTION("GOOGLEFINANCE(""NSE:""&amp;A240,""PRICE"")"),4062.5)</f>
        <v/>
      </c>
      <c r="C240" s="13">
        <f>IFERROR(__xludf.DUMMYFUNCTION("GOOGLEFINANCE(""NSE:""&amp;A240,""PRICEOPEN"")"),4119)</f>
        <v/>
      </c>
      <c r="D240" s="13">
        <f>IFERROR(__xludf.DUMMYFUNCTION("GOOGLEFINANCE(""NSE:""&amp;A240,""HIGH"")"),4131.05)</f>
        <v/>
      </c>
      <c r="E240" s="13">
        <f>IFERROR(__xludf.DUMMYFUNCTION("GOOGLEFINANCE(""NSE:""&amp;A240,""LOW"")"),4052)</f>
        <v/>
      </c>
      <c r="F240" s="13">
        <f>IFERROR(__xludf.DUMMYFUNCTION("GOOGLEFINANCE(""NSE:""&amp;A240,""closeyest"")"),4139.25)</f>
        <v/>
      </c>
      <c r="G240" s="14">
        <f>(B240-C240)/B240</f>
        <v/>
      </c>
      <c r="H240" s="13">
        <f>IFERROR(__xludf.DUMMYFUNCTION("GOOGLEFINANCE(""NSE:""&amp;A240,""VOLUME"")"),140384)</f>
        <v/>
      </c>
      <c r="I240" s="13">
        <f>IFERROR(__xludf.DUMMYFUNCTION("AVERAGE(index(GOOGLEFINANCE(""NSE:""&amp;$A240, ""volume"", today()-21, today()-1), , 2))"),"#N/A")</f>
        <v/>
      </c>
      <c r="J240" s="14">
        <f>(H240-I240)/I240</f>
        <v/>
      </c>
      <c r="K240" s="13">
        <f>IFERROR(__xludf.DUMMYFUNCTION("AVERAGE(index(GOOGLEFINANCE(""NSE:""&amp;$A240, ""close"", today()-6, today()-1), , 2))"),"#N/A")</f>
        <v/>
      </c>
      <c r="L240" s="13">
        <f>IFERROR(__xludf.DUMMYFUNCTION("AVERAGE(index(GOOGLEFINANCE(""NSE:""&amp;$A240, ""close"", today()-14, today()-1), , 2))"),"#N/A")</f>
        <v/>
      </c>
      <c r="M240" s="13">
        <f>IFERROR(__xludf.DUMMYFUNCTION("AVERAGE(index(GOOGLEFINANCE(""NSE:""&amp;$A240, ""close"", today()-22, today()-1), , 2))"),"#N/A")</f>
        <v/>
      </c>
      <c r="N240" s="13">
        <f>AG240</f>
        <v/>
      </c>
      <c r="O240" s="13">
        <f>AI240</f>
        <v/>
      </c>
      <c r="P240" s="13">
        <f>W240</f>
        <v/>
      </c>
      <c r="Q240" s="13">
        <f>Y240</f>
        <v/>
      </c>
      <c r="R240" s="15" t="n"/>
      <c r="S240" s="15">
        <f>LEFT(W240,2)&amp;LEFT(Y240,2)</f>
        <v/>
      </c>
      <c r="T240" s="15" t="n"/>
      <c r="U240" s="15">
        <f>IF(K240&lt;L240,1,0)</f>
        <v/>
      </c>
      <c r="V240" s="15">
        <f>IF(H240&gt;I240,1,0)</f>
        <v/>
      </c>
      <c r="W240" s="15">
        <f>IF(SUM(U240:V240)=2,"Anticipatory_Sell","No_Action")</f>
        <v/>
      </c>
      <c r="X240" s="15" t="n"/>
      <c r="Y240" s="15">
        <f>IF(SUM(Z240:AA240)=2,"Confirm_Sell","No_Action")</f>
        <v/>
      </c>
      <c r="Z240" s="15">
        <f>IF(H240&gt;I240,1,0)</f>
        <v/>
      </c>
      <c r="AA240" s="15">
        <f>IF(K240&lt;M240,1,0)</f>
        <v/>
      </c>
      <c r="AB240" s="15" t="n"/>
      <c r="AC240" s="15">
        <f>LEFT(AG240,2)&amp;LEFT(AI240,2)</f>
        <v/>
      </c>
      <c r="AD240" s="15" t="n"/>
      <c r="AE240" s="15">
        <f>IF(K240&gt;L240,1,0)</f>
        <v/>
      </c>
      <c r="AF240" s="16">
        <f>IF(H240&gt;I240,1,0)</f>
        <v/>
      </c>
      <c r="AG240" s="16">
        <f>IF(SUM(AE240:AF240)=2,"Anticipatory_Buy","No_Action")</f>
        <v/>
      </c>
      <c r="AH240" s="15" t="n"/>
      <c r="AI240" s="15">
        <f>IF(SUM(AJ240:AK240)=2,"Confirm_Buy","No_Action")</f>
        <v/>
      </c>
      <c r="AJ240" s="15">
        <f>IF(H240&gt;I240,1,0)</f>
        <v/>
      </c>
      <c r="AK240" s="15">
        <f>IF(K240&gt;M240,1,0)</f>
        <v/>
      </c>
    </row>
    <row r="241" ht="14.5" customHeight="1">
      <c r="A241" s="12" t="inlineStr">
        <is>
          <t>PAISALO</t>
        </is>
      </c>
      <c r="B241" s="13">
        <f>IFERROR(__xludf.DUMMYFUNCTION("GOOGLEFINANCE(""NSE:""&amp;A241,""PRICE"")"),62.8)</f>
        <v/>
      </c>
      <c r="C241" s="13">
        <f>IFERROR(__xludf.DUMMYFUNCTION("GOOGLEFINANCE(""NSE:""&amp;A241,""PRICEOPEN"")"),61.99)</f>
        <v/>
      </c>
      <c r="D241" s="13">
        <f>IFERROR(__xludf.DUMMYFUNCTION("GOOGLEFINANCE(""NSE:""&amp;A241,""HIGH"")"),62.95)</f>
        <v/>
      </c>
      <c r="E241" s="13">
        <f>IFERROR(__xludf.DUMMYFUNCTION("GOOGLEFINANCE(""NSE:""&amp;A241,""LOW"")"),59.3)</f>
        <v/>
      </c>
      <c r="F241" s="13">
        <f>IFERROR(__xludf.DUMMYFUNCTION("GOOGLEFINANCE(""NSE:""&amp;A241,""closeyest"")"),61.53)</f>
        <v/>
      </c>
      <c r="G241" s="14">
        <f>(B241-C241)/B241</f>
        <v/>
      </c>
      <c r="H241" s="13">
        <f>IFERROR(__xludf.DUMMYFUNCTION("GOOGLEFINANCE(""NSE:""&amp;A241,""VOLUME"")"),3465468)</f>
        <v/>
      </c>
      <c r="I241" s="13">
        <f>IFERROR(__xludf.DUMMYFUNCTION("AVERAGE(index(GOOGLEFINANCE(""NSE:""&amp;$A241, ""volume"", today()-21, today()-1), , 2))"),"#N/A")</f>
        <v/>
      </c>
      <c r="J241" s="14">
        <f>(H241-I241)/I241</f>
        <v/>
      </c>
      <c r="K241" s="13">
        <f>IFERROR(__xludf.DUMMYFUNCTION("AVERAGE(index(GOOGLEFINANCE(""NSE:""&amp;$A241, ""close"", today()-6, today()-1), , 2))"),"#N/A")</f>
        <v/>
      </c>
      <c r="L241" s="13">
        <f>IFERROR(__xludf.DUMMYFUNCTION("AVERAGE(index(GOOGLEFINANCE(""NSE:""&amp;$A241, ""close"", today()-14, today()-1), , 2))"),"#N/A")</f>
        <v/>
      </c>
      <c r="M241" s="13">
        <f>IFERROR(__xludf.DUMMYFUNCTION("AVERAGE(index(GOOGLEFINANCE(""NSE:""&amp;$A241, ""close"", today()-22, today()-1), , 2))"),"#N/A")</f>
        <v/>
      </c>
      <c r="N241" s="13">
        <f>AG241</f>
        <v/>
      </c>
      <c r="O241" s="13">
        <f>AI241</f>
        <v/>
      </c>
      <c r="P241" s="13">
        <f>W241</f>
        <v/>
      </c>
      <c r="Q241" s="13">
        <f>Y241</f>
        <v/>
      </c>
      <c r="R241" s="15" t="n"/>
      <c r="S241" s="15">
        <f>LEFT(W241,2)&amp;LEFT(Y241,2)</f>
        <v/>
      </c>
      <c r="T241" s="15" t="n"/>
      <c r="U241" s="15">
        <f>IF(K241&lt;L241,1,0)</f>
        <v/>
      </c>
      <c r="V241" s="15">
        <f>IF(H241&gt;I241,1,0)</f>
        <v/>
      </c>
      <c r="W241" s="15">
        <f>IF(SUM(U241:V241)=2,"Anticipatory_Sell","No_Action")</f>
        <v/>
      </c>
      <c r="X241" s="15" t="n"/>
      <c r="Y241" s="15">
        <f>IF(SUM(Z241:AA241)=2,"Confirm_Sell","No_Action")</f>
        <v/>
      </c>
      <c r="Z241" s="15">
        <f>IF(H241&gt;I241,1,0)</f>
        <v/>
      </c>
      <c r="AA241" s="15">
        <f>IF(K241&lt;M241,1,0)</f>
        <v/>
      </c>
      <c r="AB241" s="15" t="n"/>
      <c r="AC241" s="15">
        <f>LEFT(AG241,2)&amp;LEFT(AI241,2)</f>
        <v/>
      </c>
      <c r="AD241" s="15" t="n"/>
      <c r="AE241" s="15">
        <f>IF(K241&gt;L241,1,0)</f>
        <v/>
      </c>
      <c r="AF241" s="16">
        <f>IF(H241&gt;I241,1,0)</f>
        <v/>
      </c>
      <c r="AG241" s="16">
        <f>IF(SUM(AE241:AF241)=2,"Anticipatory_Buy","No_Action")</f>
        <v/>
      </c>
      <c r="AH241" s="15" t="n"/>
      <c r="AI241" s="15">
        <f>IF(SUM(AJ241:AK241)=2,"Confirm_Buy","No_Action")</f>
        <v/>
      </c>
      <c r="AJ241" s="15">
        <f>IF(H241&gt;I241,1,0)</f>
        <v/>
      </c>
      <c r="AK241" s="15">
        <f>IF(K241&gt;M241,1,0)</f>
        <v/>
      </c>
    </row>
    <row r="242" ht="14.5" customHeight="1">
      <c r="A242" s="12" t="inlineStr">
        <is>
          <t>PANAMAPET</t>
        </is>
      </c>
      <c r="B242" s="13">
        <f>IFERROR(__xludf.DUMMYFUNCTION("GOOGLEFINANCE(""NSE:""&amp;A242,""PRICE"")"),395.9)</f>
        <v/>
      </c>
      <c r="C242" s="13">
        <f>IFERROR(__xludf.DUMMYFUNCTION("GOOGLEFINANCE(""NSE:""&amp;A242,""PRICEOPEN"")"),395.75)</f>
        <v/>
      </c>
      <c r="D242" s="13">
        <f>IFERROR(__xludf.DUMMYFUNCTION("GOOGLEFINANCE(""NSE:""&amp;A242,""HIGH"")"),397.75)</f>
        <v/>
      </c>
      <c r="E242" s="13">
        <f>IFERROR(__xludf.DUMMYFUNCTION("GOOGLEFINANCE(""NSE:""&amp;A242,""LOW"")"),389.25)</f>
        <v/>
      </c>
      <c r="F242" s="13">
        <f>IFERROR(__xludf.DUMMYFUNCTION("GOOGLEFINANCE(""NSE:""&amp;A242,""closeyest"")"),395.75)</f>
        <v/>
      </c>
      <c r="G242" s="14">
        <f>(B242-C242)/B242</f>
        <v/>
      </c>
      <c r="H242" s="13">
        <f>IFERROR(__xludf.DUMMYFUNCTION("GOOGLEFINANCE(""NSE:""&amp;A242,""VOLUME"")"),26797)</f>
        <v/>
      </c>
      <c r="I242" s="13">
        <f>IFERROR(__xludf.DUMMYFUNCTION("AVERAGE(index(GOOGLEFINANCE(""NSE:""&amp;$A242, ""volume"", today()-21, today()-1), , 2))"),"#N/A")</f>
        <v/>
      </c>
      <c r="J242" s="14">
        <f>(H242-I242)/I242</f>
        <v/>
      </c>
      <c r="K242" s="13">
        <f>IFERROR(__xludf.DUMMYFUNCTION("AVERAGE(index(GOOGLEFINANCE(""NSE:""&amp;$A242, ""close"", today()-6, today()-1), , 2))"),"#N/A")</f>
        <v/>
      </c>
      <c r="L242" s="13">
        <f>IFERROR(__xludf.DUMMYFUNCTION("AVERAGE(index(GOOGLEFINANCE(""NSE:""&amp;$A242, ""close"", today()-14, today()-1), , 2))"),"#N/A")</f>
        <v/>
      </c>
      <c r="M242" s="13">
        <f>IFERROR(__xludf.DUMMYFUNCTION("AVERAGE(index(GOOGLEFINANCE(""NSE:""&amp;$A242, ""close"", today()-22, today()-1), , 2))"),"#N/A")</f>
        <v/>
      </c>
      <c r="N242" s="13">
        <f>AG242</f>
        <v/>
      </c>
      <c r="O242" s="13">
        <f>AI242</f>
        <v/>
      </c>
      <c r="P242" s="13">
        <f>W242</f>
        <v/>
      </c>
      <c r="Q242" s="13">
        <f>Y242</f>
        <v/>
      </c>
      <c r="R242" s="15" t="n"/>
      <c r="S242" s="15">
        <f>LEFT(W242,2)&amp;LEFT(Y242,2)</f>
        <v/>
      </c>
      <c r="T242" s="15" t="n"/>
      <c r="U242" s="15">
        <f>IF(K242&lt;L242,1,0)</f>
        <v/>
      </c>
      <c r="V242" s="15">
        <f>IF(H242&gt;I242,1,0)</f>
        <v/>
      </c>
      <c r="W242" s="15">
        <f>IF(SUM(U242:V242)=2,"Anticipatory_Sell","No_Action")</f>
        <v/>
      </c>
      <c r="X242" s="15" t="n"/>
      <c r="Y242" s="15">
        <f>IF(SUM(Z242:AA242)=2,"Confirm_Sell","No_Action")</f>
        <v/>
      </c>
      <c r="Z242" s="15">
        <f>IF(H242&gt;I242,1,0)</f>
        <v/>
      </c>
      <c r="AA242" s="15">
        <f>IF(K242&lt;M242,1,0)</f>
        <v/>
      </c>
      <c r="AB242" s="15" t="n"/>
      <c r="AC242" s="15">
        <f>LEFT(AG242,2)&amp;LEFT(AI242,2)</f>
        <v/>
      </c>
      <c r="AD242" s="15" t="n"/>
      <c r="AE242" s="15">
        <f>IF(K242&gt;L242,1,0)</f>
        <v/>
      </c>
      <c r="AF242" s="16">
        <f>IF(H242&gt;I242,1,0)</f>
        <v/>
      </c>
      <c r="AG242" s="16">
        <f>IF(SUM(AE242:AF242)=2,"Anticipatory_Buy","No_Action")</f>
        <v/>
      </c>
      <c r="AH242" s="15" t="n"/>
      <c r="AI242" s="15">
        <f>IF(SUM(AJ242:AK242)=2,"Confirm_Buy","No_Action")</f>
        <v/>
      </c>
      <c r="AJ242" s="15">
        <f>IF(H242&gt;I242,1,0)</f>
        <v/>
      </c>
      <c r="AK242" s="15">
        <f>IF(K242&gt;M242,1,0)</f>
        <v/>
      </c>
    </row>
    <row r="243" ht="14.5" customHeight="1">
      <c r="A243" s="12" t="inlineStr">
        <is>
          <t>PETRONET</t>
        </is>
      </c>
      <c r="B243" s="13">
        <f>IFERROR(__xludf.DUMMYFUNCTION("GOOGLEFINANCE(""NSE:""&amp;A243,""PRICE"")"),335.1)</f>
        <v/>
      </c>
      <c r="C243" s="13">
        <f>IFERROR(__xludf.DUMMYFUNCTION("GOOGLEFINANCE(""NSE:""&amp;A243,""PRICEOPEN"")"),333.6)</f>
        <v/>
      </c>
      <c r="D243" s="13">
        <f>IFERROR(__xludf.DUMMYFUNCTION("GOOGLEFINANCE(""NSE:""&amp;A243,""HIGH"")"),338.45)</f>
        <v/>
      </c>
      <c r="E243" s="13">
        <f>IFERROR(__xludf.DUMMYFUNCTION("GOOGLEFINANCE(""NSE:""&amp;A243,""LOW"")"),333.4)</f>
        <v/>
      </c>
      <c r="F243" s="13">
        <f>IFERROR(__xludf.DUMMYFUNCTION("GOOGLEFINANCE(""NSE:""&amp;A243,""closeyest"")"),335.85)</f>
        <v/>
      </c>
      <c r="G243" s="14">
        <f>(B243-C243)/B243</f>
        <v/>
      </c>
      <c r="H243" s="13">
        <f>IFERROR(__xludf.DUMMYFUNCTION("GOOGLEFINANCE(""NSE:""&amp;A243,""VOLUME"")"),1809227)</f>
        <v/>
      </c>
      <c r="I243" s="13">
        <f>IFERROR(__xludf.DUMMYFUNCTION("AVERAGE(index(GOOGLEFINANCE(""NSE:""&amp;$A243, ""volume"", today()-21, today()-1), , 2))"),"#N/A")</f>
        <v/>
      </c>
      <c r="J243" s="14">
        <f>(H243-I243)/I243</f>
        <v/>
      </c>
      <c r="K243" s="13">
        <f>IFERROR(__xludf.DUMMYFUNCTION("AVERAGE(index(GOOGLEFINANCE(""NSE:""&amp;$A243, ""close"", today()-6, today()-1), , 2))"),"#N/A")</f>
        <v/>
      </c>
      <c r="L243" s="13">
        <f>IFERROR(__xludf.DUMMYFUNCTION("AVERAGE(index(GOOGLEFINANCE(""NSE:""&amp;$A243, ""close"", today()-14, today()-1), , 2))"),"#N/A")</f>
        <v/>
      </c>
      <c r="M243" s="13">
        <f>IFERROR(__xludf.DUMMYFUNCTION("AVERAGE(index(GOOGLEFINANCE(""NSE:""&amp;$A243, ""close"", today()-22, today()-1), , 2))"),"#N/A")</f>
        <v/>
      </c>
      <c r="N243" s="13">
        <f>AG243</f>
        <v/>
      </c>
      <c r="O243" s="13">
        <f>AI243</f>
        <v/>
      </c>
      <c r="P243" s="13">
        <f>W243</f>
        <v/>
      </c>
      <c r="Q243" s="13">
        <f>Y243</f>
        <v/>
      </c>
      <c r="R243" s="15" t="n"/>
      <c r="S243" s="15">
        <f>LEFT(W243,2)&amp;LEFT(Y243,2)</f>
        <v/>
      </c>
      <c r="T243" s="15" t="n"/>
      <c r="U243" s="15">
        <f>IF(K243&lt;L243,1,0)</f>
        <v/>
      </c>
      <c r="V243" s="15">
        <f>IF(H243&gt;I243,1,0)</f>
        <v/>
      </c>
      <c r="W243" s="15">
        <f>IF(SUM(U243:V243)=2,"Anticipatory_Sell","No_Action")</f>
        <v/>
      </c>
      <c r="X243" s="15" t="n"/>
      <c r="Y243" s="15">
        <f>IF(SUM(Z243:AA243)=2,"Confirm_Sell","No_Action")</f>
        <v/>
      </c>
      <c r="Z243" s="15">
        <f>IF(H243&gt;I243,1,0)</f>
        <v/>
      </c>
      <c r="AA243" s="15">
        <f>IF(K243&lt;M243,1,0)</f>
        <v/>
      </c>
      <c r="AB243" s="15" t="n"/>
      <c r="AC243" s="15">
        <f>LEFT(AG243,2)&amp;LEFT(AI243,2)</f>
        <v/>
      </c>
      <c r="AD243" s="15" t="n"/>
      <c r="AE243" s="15">
        <f>IF(K243&gt;L243,1,0)</f>
        <v/>
      </c>
      <c r="AF243" s="16">
        <f>IF(H243&gt;I243,1,0)</f>
        <v/>
      </c>
      <c r="AG243" s="16">
        <f>IF(SUM(AE243:AF243)=2,"Anticipatory_Buy","No_Action")</f>
        <v/>
      </c>
      <c r="AH243" s="15" t="n"/>
      <c r="AI243" s="15">
        <f>IF(SUM(AJ243:AK243)=2,"Confirm_Buy","No_Action")</f>
        <v/>
      </c>
      <c r="AJ243" s="15">
        <f>IF(H243&gt;I243,1,0)</f>
        <v/>
      </c>
      <c r="AK243" s="15">
        <f>IF(K243&gt;M243,1,0)</f>
        <v/>
      </c>
    </row>
    <row r="244" ht="14.5" customHeight="1">
      <c r="A244" s="12" t="inlineStr">
        <is>
          <t>PFIZER</t>
        </is>
      </c>
      <c r="B244" s="13">
        <f>IFERROR(__xludf.DUMMYFUNCTION("GOOGLEFINANCE(""NSE:""&amp;A244,""PRICE"")"),5065)</f>
        <v/>
      </c>
      <c r="C244" s="13">
        <f>IFERROR(__xludf.DUMMYFUNCTION("GOOGLEFINANCE(""NSE:""&amp;A244,""PRICEOPEN"")"),5278)</f>
        <v/>
      </c>
      <c r="D244" s="13">
        <f>IFERROR(__xludf.DUMMYFUNCTION("GOOGLEFINANCE(""NSE:""&amp;A244,""HIGH"")"),5278)</f>
        <v/>
      </c>
      <c r="E244" s="13">
        <f>IFERROR(__xludf.DUMMYFUNCTION("GOOGLEFINANCE(""NSE:""&amp;A244,""LOW"")"),5049.15)</f>
        <v/>
      </c>
      <c r="F244" s="13">
        <f>IFERROR(__xludf.DUMMYFUNCTION("GOOGLEFINANCE(""NSE:""&amp;A244,""closeyest"")"),5232.9)</f>
        <v/>
      </c>
      <c r="G244" s="14">
        <f>(B244-C244)/B244</f>
        <v/>
      </c>
      <c r="H244" s="13">
        <f>IFERROR(__xludf.DUMMYFUNCTION("GOOGLEFINANCE(""NSE:""&amp;A244,""VOLUME"")"),39660)</f>
        <v/>
      </c>
      <c r="I244" s="13">
        <f>IFERROR(__xludf.DUMMYFUNCTION("AVERAGE(index(GOOGLEFINANCE(""NSE:""&amp;$A244, ""volume"", today()-21, today()-1), , 2))"),"#N/A")</f>
        <v/>
      </c>
      <c r="J244" s="14">
        <f>(H244-I244)/I244</f>
        <v/>
      </c>
      <c r="K244" s="13">
        <f>IFERROR(__xludf.DUMMYFUNCTION("AVERAGE(index(GOOGLEFINANCE(""NSE:""&amp;$A244, ""close"", today()-6, today()-1), , 2))"),"#N/A")</f>
        <v/>
      </c>
      <c r="L244" s="13">
        <f>IFERROR(__xludf.DUMMYFUNCTION("AVERAGE(index(GOOGLEFINANCE(""NSE:""&amp;$A244, ""close"", today()-14, today()-1), , 2))"),"#N/A")</f>
        <v/>
      </c>
      <c r="M244" s="13">
        <f>IFERROR(__xludf.DUMMYFUNCTION("AVERAGE(index(GOOGLEFINANCE(""NSE:""&amp;$A244, ""close"", today()-22, today()-1), , 2))"),"#N/A")</f>
        <v/>
      </c>
      <c r="N244" s="13">
        <f>AG244</f>
        <v/>
      </c>
      <c r="O244" s="13">
        <f>AI244</f>
        <v/>
      </c>
      <c r="P244" s="13">
        <f>W244</f>
        <v/>
      </c>
      <c r="Q244" s="13">
        <f>Y244</f>
        <v/>
      </c>
      <c r="R244" s="15" t="n"/>
      <c r="S244" s="15">
        <f>LEFT(W244,2)&amp;LEFT(Y244,2)</f>
        <v/>
      </c>
      <c r="T244" s="15" t="n"/>
      <c r="U244" s="15">
        <f>IF(K244&lt;L244,1,0)</f>
        <v/>
      </c>
      <c r="V244" s="15">
        <f>IF(H244&gt;I244,1,0)</f>
        <v/>
      </c>
      <c r="W244" s="15">
        <f>IF(SUM(U244:V244)=2,"Anticipatory_Sell","No_Action")</f>
        <v/>
      </c>
      <c r="X244" s="15" t="n"/>
      <c r="Y244" s="15">
        <f>IF(SUM(Z244:AA244)=2,"Confirm_Sell","No_Action")</f>
        <v/>
      </c>
      <c r="Z244" s="15">
        <f>IF(H244&gt;I244,1,0)</f>
        <v/>
      </c>
      <c r="AA244" s="15">
        <f>IF(K244&lt;M244,1,0)</f>
        <v/>
      </c>
      <c r="AB244" s="15" t="n"/>
      <c r="AC244" s="15">
        <f>LEFT(AG244,2)&amp;LEFT(AI244,2)</f>
        <v/>
      </c>
      <c r="AD244" s="15" t="n"/>
      <c r="AE244" s="15">
        <f>IF(K244&gt;L244,1,0)</f>
        <v/>
      </c>
      <c r="AF244" s="16">
        <f>IF(H244&gt;I244,1,0)</f>
        <v/>
      </c>
      <c r="AG244" s="16">
        <f>IF(SUM(AE244:AF244)=2,"Anticipatory_Buy","No_Action")</f>
        <v/>
      </c>
      <c r="AH244" s="15" t="n"/>
      <c r="AI244" s="15">
        <f>IF(SUM(AJ244:AK244)=2,"Confirm_Buy","No_Action")</f>
        <v/>
      </c>
      <c r="AJ244" s="15">
        <f>IF(H244&gt;I244,1,0)</f>
        <v/>
      </c>
      <c r="AK244" s="15">
        <f>IF(K244&gt;M244,1,0)</f>
        <v/>
      </c>
    </row>
    <row r="245" ht="14.5" customHeight="1">
      <c r="A245" s="12" t="inlineStr">
        <is>
          <t>PGEL</t>
        </is>
      </c>
      <c r="B245" s="13">
        <f>IFERROR(__xludf.DUMMYFUNCTION("GOOGLEFINANCE(""NSE:""&amp;A245,""PRICE"")"),857.1)</f>
        <v/>
      </c>
      <c r="C245" s="13">
        <f>IFERROR(__xludf.DUMMYFUNCTION("GOOGLEFINANCE(""NSE:""&amp;A245,""PRICEOPEN"")"),825)</f>
        <v/>
      </c>
      <c r="D245" s="13">
        <f>IFERROR(__xludf.DUMMYFUNCTION("GOOGLEFINANCE(""NSE:""&amp;A245,""HIGH"")"),860)</f>
        <v/>
      </c>
      <c r="E245" s="13">
        <f>IFERROR(__xludf.DUMMYFUNCTION("GOOGLEFINANCE(""NSE:""&amp;A245,""LOW"")"),822.05)</f>
        <v/>
      </c>
      <c r="F245" s="13">
        <f>IFERROR(__xludf.DUMMYFUNCTION("GOOGLEFINANCE(""NSE:""&amp;A245,""closeyest"")"),813.5)</f>
        <v/>
      </c>
      <c r="G245" s="14">
        <f>(B245-C245)/B245</f>
        <v/>
      </c>
      <c r="H245" s="13">
        <f>IFERROR(__xludf.DUMMYFUNCTION("GOOGLEFINANCE(""NSE:""&amp;A245,""VOLUME"")"),1939703)</f>
        <v/>
      </c>
      <c r="I245" s="13">
        <f>IFERROR(__xludf.DUMMYFUNCTION("AVERAGE(index(GOOGLEFINANCE(""NSE:""&amp;$A245, ""volume"", today()-21, today()-1), , 2))"),"#N/A")</f>
        <v/>
      </c>
      <c r="J245" s="14">
        <f>(H245-I245)/I245</f>
        <v/>
      </c>
      <c r="K245" s="13">
        <f>IFERROR(__xludf.DUMMYFUNCTION("AVERAGE(index(GOOGLEFINANCE(""NSE:""&amp;$A245, ""close"", today()-6, today()-1), , 2))"),"#N/A")</f>
        <v/>
      </c>
      <c r="L245" s="13">
        <f>IFERROR(__xludf.DUMMYFUNCTION("AVERAGE(index(GOOGLEFINANCE(""NSE:""&amp;$A245, ""close"", today()-14, today()-1), , 2))"),"#N/A")</f>
        <v/>
      </c>
      <c r="M245" s="13">
        <f>IFERROR(__xludf.DUMMYFUNCTION("AVERAGE(index(GOOGLEFINANCE(""NSE:""&amp;$A245, ""close"", today()-22, today()-1), , 2))"),"#N/A")</f>
        <v/>
      </c>
      <c r="N245" s="13">
        <f>AG245</f>
        <v/>
      </c>
      <c r="O245" s="13">
        <f>AI245</f>
        <v/>
      </c>
      <c r="P245" s="13">
        <f>W245</f>
        <v/>
      </c>
      <c r="Q245" s="13">
        <f>Y245</f>
        <v/>
      </c>
      <c r="R245" s="15" t="n"/>
      <c r="S245" s="15">
        <f>LEFT(W245,2)&amp;LEFT(Y245,2)</f>
        <v/>
      </c>
      <c r="T245" s="15" t="n"/>
      <c r="U245" s="15">
        <f>IF(K245&lt;L245,1,0)</f>
        <v/>
      </c>
      <c r="V245" s="15">
        <f>IF(H245&gt;I245,1,0)</f>
        <v/>
      </c>
      <c r="W245" s="15">
        <f>IF(SUM(U245:V245)=2,"Anticipatory_Sell","No_Action")</f>
        <v/>
      </c>
      <c r="X245" s="15" t="n"/>
      <c r="Y245" s="15">
        <f>IF(SUM(Z245:AA245)=2,"Confirm_Sell","No_Action")</f>
        <v/>
      </c>
      <c r="Z245" s="15">
        <f>IF(H245&gt;I245,1,0)</f>
        <v/>
      </c>
      <c r="AA245" s="15">
        <f>IF(K245&lt;M245,1,0)</f>
        <v/>
      </c>
      <c r="AB245" s="15" t="n"/>
      <c r="AC245" s="15">
        <f>LEFT(AG245,2)&amp;LEFT(AI245,2)</f>
        <v/>
      </c>
      <c r="AD245" s="15" t="n"/>
      <c r="AE245" s="15">
        <f>IF(K245&gt;L245,1,0)</f>
        <v/>
      </c>
      <c r="AF245" s="16">
        <f>IF(H245&gt;I245,1,0)</f>
        <v/>
      </c>
      <c r="AG245" s="16">
        <f>IF(SUM(AE245:AF245)=2,"Anticipatory_Buy","No_Action")</f>
        <v/>
      </c>
      <c r="AH245" s="15" t="n"/>
      <c r="AI245" s="15">
        <f>IF(SUM(AJ245:AK245)=2,"Confirm_Buy","No_Action")</f>
        <v/>
      </c>
      <c r="AJ245" s="15">
        <f>IF(H245&gt;I245,1,0)</f>
        <v/>
      </c>
      <c r="AK245" s="15">
        <f>IF(K245&gt;M245,1,0)</f>
        <v/>
      </c>
    </row>
    <row r="246" ht="14.5" customHeight="1">
      <c r="A246" s="12" t="inlineStr">
        <is>
          <t>PHOENIXLTD</t>
        </is>
      </c>
      <c r="B246" s="13">
        <f>IFERROR(__xludf.DUMMYFUNCTION("GOOGLEFINANCE(""NSE:""&amp;A246,""PRICE"")"),1791)</f>
        <v/>
      </c>
      <c r="C246" s="13">
        <f>IFERROR(__xludf.DUMMYFUNCTION("GOOGLEFINANCE(""NSE:""&amp;A246,""PRICEOPEN"")"),1770)</f>
        <v/>
      </c>
      <c r="D246" s="13">
        <f>IFERROR(__xludf.DUMMYFUNCTION("GOOGLEFINANCE(""NSE:""&amp;A246,""HIGH"")"),1810)</f>
        <v/>
      </c>
      <c r="E246" s="13">
        <f>IFERROR(__xludf.DUMMYFUNCTION("GOOGLEFINANCE(""NSE:""&amp;A246,""LOW"")"),1761.55)</f>
        <v/>
      </c>
      <c r="F246" s="13">
        <f>IFERROR(__xludf.DUMMYFUNCTION("GOOGLEFINANCE(""NSE:""&amp;A246,""closeyest"")"),1771.35)</f>
        <v/>
      </c>
      <c r="G246" s="14">
        <f>(B246-C246)/B246</f>
        <v/>
      </c>
      <c r="H246" s="13">
        <f>IFERROR(__xludf.DUMMYFUNCTION("GOOGLEFINANCE(""NSE:""&amp;A246,""VOLUME"")"),695470)</f>
        <v/>
      </c>
      <c r="I246" s="13">
        <f>IFERROR(__xludf.DUMMYFUNCTION("AVERAGE(index(GOOGLEFINANCE(""NSE:""&amp;$A246, ""volume"", today()-21, today()-1), , 2))"),"#N/A")</f>
        <v/>
      </c>
      <c r="J246" s="14">
        <f>(H246-I246)/I246</f>
        <v/>
      </c>
      <c r="K246" s="13">
        <f>IFERROR(__xludf.DUMMYFUNCTION("AVERAGE(index(GOOGLEFINANCE(""NSE:""&amp;$A246, ""close"", today()-6, today()-1), , 2))"),"#N/A")</f>
        <v/>
      </c>
      <c r="L246" s="13">
        <f>IFERROR(__xludf.DUMMYFUNCTION("AVERAGE(index(GOOGLEFINANCE(""NSE:""&amp;$A246, ""close"", today()-14, today()-1), , 2))"),"#N/A")</f>
        <v/>
      </c>
      <c r="M246" s="13">
        <f>IFERROR(__xludf.DUMMYFUNCTION("AVERAGE(index(GOOGLEFINANCE(""NSE:""&amp;$A246, ""close"", today()-22, today()-1), , 2))"),"#N/A")</f>
        <v/>
      </c>
      <c r="N246" s="13">
        <f>AG246</f>
        <v/>
      </c>
      <c r="O246" s="13">
        <f>AI246</f>
        <v/>
      </c>
      <c r="P246" s="13">
        <f>W246</f>
        <v/>
      </c>
      <c r="Q246" s="13">
        <f>Y246</f>
        <v/>
      </c>
      <c r="R246" s="15" t="n"/>
      <c r="S246" s="15">
        <f>LEFT(W246,2)&amp;LEFT(Y246,2)</f>
        <v/>
      </c>
      <c r="T246" s="15" t="n"/>
      <c r="U246" s="15">
        <f>IF(K246&lt;L246,1,0)</f>
        <v/>
      </c>
      <c r="V246" s="15">
        <f>IF(H246&gt;I246,1,0)</f>
        <v/>
      </c>
      <c r="W246" s="15">
        <f>IF(SUM(U246:V246)=2,"Anticipatory_Sell","No_Action")</f>
        <v/>
      </c>
      <c r="X246" s="15" t="n"/>
      <c r="Y246" s="15">
        <f>IF(SUM(Z246:AA246)=2,"Confirm_Sell","No_Action")</f>
        <v/>
      </c>
      <c r="Z246" s="15">
        <f>IF(H246&gt;I246,1,0)</f>
        <v/>
      </c>
      <c r="AA246" s="15">
        <f>IF(K246&lt;M246,1,0)</f>
        <v/>
      </c>
      <c r="AB246" s="15" t="n"/>
      <c r="AC246" s="15">
        <f>LEFT(AG246,2)&amp;LEFT(AI246,2)</f>
        <v/>
      </c>
      <c r="AD246" s="15" t="n"/>
      <c r="AE246" s="15">
        <f>IF(K246&gt;L246,1,0)</f>
        <v/>
      </c>
      <c r="AF246" s="16">
        <f>IF(H246&gt;I246,1,0)</f>
        <v/>
      </c>
      <c r="AG246" s="16">
        <f>IF(SUM(AE246:AF246)=2,"Anticipatory_Buy","No_Action")</f>
        <v/>
      </c>
      <c r="AH246" s="15" t="n"/>
      <c r="AI246" s="15">
        <f>IF(SUM(AJ246:AK246)=2,"Confirm_Buy","No_Action")</f>
        <v/>
      </c>
      <c r="AJ246" s="15">
        <f>IF(H246&gt;I246,1,0)</f>
        <v/>
      </c>
      <c r="AK246" s="15">
        <f>IF(K246&gt;M246,1,0)</f>
        <v/>
      </c>
    </row>
    <row r="247" ht="14.5" customHeight="1">
      <c r="A247" s="12" t="inlineStr">
        <is>
          <t>PIXTRANS</t>
        </is>
      </c>
      <c r="B247" s="13">
        <f>IFERROR(__xludf.DUMMYFUNCTION("GOOGLEFINANCE(""NSE:""&amp;A247,""PRICE"")"),2711.45)</f>
        <v/>
      </c>
      <c r="C247" s="13">
        <f>IFERROR(__xludf.DUMMYFUNCTION("GOOGLEFINANCE(""NSE:""&amp;A247,""PRICEOPEN"")"),2689)</f>
        <v/>
      </c>
      <c r="D247" s="13">
        <f>IFERROR(__xludf.DUMMYFUNCTION("GOOGLEFINANCE(""NSE:""&amp;A247,""HIGH"")"),2774.9)</f>
        <v/>
      </c>
      <c r="E247" s="13">
        <f>IFERROR(__xludf.DUMMYFUNCTION("GOOGLEFINANCE(""NSE:""&amp;A247,""LOW"")"),2680.05)</f>
        <v/>
      </c>
      <c r="F247" s="13">
        <f>IFERROR(__xludf.DUMMYFUNCTION("GOOGLEFINANCE(""NSE:""&amp;A247,""closeyest"")"),2689.5)</f>
        <v/>
      </c>
      <c r="G247" s="14">
        <f>(B247-C247)/B247</f>
        <v/>
      </c>
      <c r="H247" s="13">
        <f>IFERROR(__xludf.DUMMYFUNCTION("GOOGLEFINANCE(""NSE:""&amp;A247,""VOLUME"")"),31323)</f>
        <v/>
      </c>
      <c r="I247" s="13">
        <f>IFERROR(__xludf.DUMMYFUNCTION("AVERAGE(index(GOOGLEFINANCE(""NSE:""&amp;$A247, ""volume"", today()-21, today()-1), , 2))"),"#N/A")</f>
        <v/>
      </c>
      <c r="J247" s="14">
        <f>(H247-I247)/I247</f>
        <v/>
      </c>
      <c r="K247" s="13">
        <f>IFERROR(__xludf.DUMMYFUNCTION("AVERAGE(index(GOOGLEFINANCE(""NSE:""&amp;$A247, ""close"", today()-6, today()-1), , 2))"),"#N/A")</f>
        <v/>
      </c>
      <c r="L247" s="13">
        <f>IFERROR(__xludf.DUMMYFUNCTION("AVERAGE(index(GOOGLEFINANCE(""NSE:""&amp;$A247, ""close"", today()-14, today()-1), , 2))"),"#N/A")</f>
        <v/>
      </c>
      <c r="M247" s="13">
        <f>IFERROR(__xludf.DUMMYFUNCTION("AVERAGE(index(GOOGLEFINANCE(""NSE:""&amp;$A247, ""close"", today()-22, today()-1), , 2))"),"#N/A")</f>
        <v/>
      </c>
      <c r="N247" s="13">
        <f>AG247</f>
        <v/>
      </c>
      <c r="O247" s="13">
        <f>AI247</f>
        <v/>
      </c>
      <c r="P247" s="13">
        <f>W247</f>
        <v/>
      </c>
      <c r="Q247" s="13">
        <f>Y247</f>
        <v/>
      </c>
      <c r="R247" s="15" t="n"/>
      <c r="S247" s="15">
        <f>LEFT(W247,2)&amp;LEFT(Y247,2)</f>
        <v/>
      </c>
      <c r="T247" s="15" t="n"/>
      <c r="U247" s="15">
        <f>IF(K247&lt;L247,1,0)</f>
        <v/>
      </c>
      <c r="V247" s="15">
        <f>IF(H247&gt;I247,1,0)</f>
        <v/>
      </c>
      <c r="W247" s="15">
        <f>IF(SUM(U247:V247)=2,"Anticipatory_Sell","No_Action")</f>
        <v/>
      </c>
      <c r="X247" s="15" t="n"/>
      <c r="Y247" s="15">
        <f>IF(SUM(Z247:AA247)=2,"Confirm_Sell","No_Action")</f>
        <v/>
      </c>
      <c r="Z247" s="15">
        <f>IF(H247&gt;I247,1,0)</f>
        <v/>
      </c>
      <c r="AA247" s="15">
        <f>IF(K247&lt;M247,1,0)</f>
        <v/>
      </c>
      <c r="AB247" s="15" t="n"/>
      <c r="AC247" s="15">
        <f>LEFT(AG247,2)&amp;LEFT(AI247,2)</f>
        <v/>
      </c>
      <c r="AD247" s="15" t="n"/>
      <c r="AE247" s="15">
        <f>IF(K247&gt;L247,1,0)</f>
        <v/>
      </c>
      <c r="AF247" s="16">
        <f>IF(H247&gt;I247,1,0)</f>
        <v/>
      </c>
      <c r="AG247" s="16">
        <f>IF(SUM(AE247:AF247)=2,"Anticipatory_Buy","No_Action")</f>
        <v/>
      </c>
      <c r="AH247" s="15" t="n"/>
      <c r="AI247" s="15">
        <f>IF(SUM(AJ247:AK247)=2,"Confirm_Buy","No_Action")</f>
        <v/>
      </c>
      <c r="AJ247" s="15">
        <f>IF(H247&gt;I247,1,0)</f>
        <v/>
      </c>
      <c r="AK247" s="15">
        <f>IF(K247&gt;M247,1,0)</f>
        <v/>
      </c>
    </row>
    <row r="248" ht="14.5" customHeight="1">
      <c r="A248" s="12" t="inlineStr">
        <is>
          <t>PNBHOUSING</t>
        </is>
      </c>
      <c r="B248" s="13">
        <f>IFERROR(__xludf.DUMMYFUNCTION("GOOGLEFINANCE(""NSE:""&amp;A248,""PRICE"")"),958)</f>
        <v/>
      </c>
      <c r="C248" s="13">
        <f>IFERROR(__xludf.DUMMYFUNCTION("GOOGLEFINANCE(""NSE:""&amp;A248,""PRICEOPEN"")"),967.8)</f>
        <v/>
      </c>
      <c r="D248" s="13">
        <f>IFERROR(__xludf.DUMMYFUNCTION("GOOGLEFINANCE(""NSE:""&amp;A248,""HIGH"")"),976.65)</f>
        <v/>
      </c>
      <c r="E248" s="13">
        <f>IFERROR(__xludf.DUMMYFUNCTION("GOOGLEFINANCE(""NSE:""&amp;A248,""LOW"")"),948.85)</f>
        <v/>
      </c>
      <c r="F248" s="13">
        <f>IFERROR(__xludf.DUMMYFUNCTION("GOOGLEFINANCE(""NSE:""&amp;A248,""closeyest"")"),963.15)</f>
        <v/>
      </c>
      <c r="G248" s="14">
        <f>(B248-C248)/B248</f>
        <v/>
      </c>
      <c r="H248" s="13">
        <f>IFERROR(__xludf.DUMMYFUNCTION("GOOGLEFINANCE(""NSE:""&amp;A248,""VOLUME"")"),989760)</f>
        <v/>
      </c>
      <c r="I248" s="13">
        <f>IFERROR(__xludf.DUMMYFUNCTION("AVERAGE(index(GOOGLEFINANCE(""NSE:""&amp;$A248, ""volume"", today()-21, today()-1), , 2))"),"#N/A")</f>
        <v/>
      </c>
      <c r="J248" s="14">
        <f>(H248-I248)/I248</f>
        <v/>
      </c>
      <c r="K248" s="13">
        <f>IFERROR(__xludf.DUMMYFUNCTION("AVERAGE(index(GOOGLEFINANCE(""NSE:""&amp;$A248, ""close"", today()-6, today()-1), , 2))"),"#N/A")</f>
        <v/>
      </c>
      <c r="L248" s="13">
        <f>IFERROR(__xludf.DUMMYFUNCTION("AVERAGE(index(GOOGLEFINANCE(""NSE:""&amp;$A248, ""close"", today()-14, today()-1), , 2))"),"#N/A")</f>
        <v/>
      </c>
      <c r="M248" s="13">
        <f>IFERROR(__xludf.DUMMYFUNCTION("AVERAGE(index(GOOGLEFINANCE(""NSE:""&amp;$A248, ""close"", today()-22, today()-1), , 2))"),"#N/A")</f>
        <v/>
      </c>
      <c r="N248" s="13">
        <f>AG248</f>
        <v/>
      </c>
      <c r="O248" s="13">
        <f>AI248</f>
        <v/>
      </c>
      <c r="P248" s="13">
        <f>W248</f>
        <v/>
      </c>
      <c r="Q248" s="13">
        <f>Y248</f>
        <v/>
      </c>
      <c r="R248" s="15" t="n"/>
      <c r="S248" s="15">
        <f>LEFT(W248,2)&amp;LEFT(Y248,2)</f>
        <v/>
      </c>
      <c r="T248" s="15" t="n"/>
      <c r="U248" s="15">
        <f>IF(K248&lt;L248,1,0)</f>
        <v/>
      </c>
      <c r="V248" s="15">
        <f>IF(H248&gt;I248,1,0)</f>
        <v/>
      </c>
      <c r="W248" s="15">
        <f>IF(SUM(U248:V248)=2,"Anticipatory_Sell","No_Action")</f>
        <v/>
      </c>
      <c r="X248" s="15" t="n"/>
      <c r="Y248" s="15">
        <f>IF(SUM(Z248:AA248)=2,"Confirm_Sell","No_Action")</f>
        <v/>
      </c>
      <c r="Z248" s="15">
        <f>IF(H248&gt;I248,1,0)</f>
        <v/>
      </c>
      <c r="AA248" s="15">
        <f>IF(K248&lt;M248,1,0)</f>
        <v/>
      </c>
      <c r="AB248" s="15" t="n"/>
      <c r="AC248" s="15">
        <f>LEFT(AG248,2)&amp;LEFT(AI248,2)</f>
        <v/>
      </c>
      <c r="AD248" s="15" t="n"/>
      <c r="AE248" s="15">
        <f>IF(K248&gt;L248,1,0)</f>
        <v/>
      </c>
      <c r="AF248" s="16">
        <f>IF(H248&gt;I248,1,0)</f>
        <v/>
      </c>
      <c r="AG248" s="16">
        <f>IF(SUM(AE248:AF248)=2,"Anticipatory_Buy","No_Action")</f>
        <v/>
      </c>
      <c r="AH248" s="15" t="n"/>
      <c r="AI248" s="15">
        <f>IF(SUM(AJ248:AK248)=2,"Confirm_Buy","No_Action")</f>
        <v/>
      </c>
      <c r="AJ248" s="15">
        <f>IF(H248&gt;I248,1,0)</f>
        <v/>
      </c>
      <c r="AK248" s="15">
        <f>IF(K248&gt;M248,1,0)</f>
        <v/>
      </c>
    </row>
    <row r="249" ht="14.5" customHeight="1">
      <c r="A249" s="12" t="inlineStr">
        <is>
          <t>POKARNA</t>
        </is>
      </c>
      <c r="B249" s="13">
        <f>IFERROR(__xludf.DUMMYFUNCTION("GOOGLEFINANCE(""NSE:""&amp;A249,""PRICE"")"),1249)</f>
        <v/>
      </c>
      <c r="C249" s="13">
        <f>IFERROR(__xludf.DUMMYFUNCTION("GOOGLEFINANCE(""NSE:""&amp;A249,""PRICEOPEN"")"),1225)</f>
        <v/>
      </c>
      <c r="D249" s="13">
        <f>IFERROR(__xludf.DUMMYFUNCTION("GOOGLEFINANCE(""NSE:""&amp;A249,""HIGH"")"),1251)</f>
        <v/>
      </c>
      <c r="E249" s="13">
        <f>IFERROR(__xludf.DUMMYFUNCTION("GOOGLEFINANCE(""NSE:""&amp;A249,""LOW"")"),1211.55)</f>
        <v/>
      </c>
      <c r="F249" s="13">
        <f>IFERROR(__xludf.DUMMYFUNCTION("GOOGLEFINANCE(""NSE:""&amp;A249,""closeyest"")"),1223.55)</f>
        <v/>
      </c>
      <c r="G249" s="14">
        <f>(B249-C249)/B249</f>
        <v/>
      </c>
      <c r="H249" s="13">
        <f>IFERROR(__xludf.DUMMYFUNCTION("GOOGLEFINANCE(""NSE:""&amp;A249,""VOLUME"")"),85245)</f>
        <v/>
      </c>
      <c r="I249" s="13">
        <f>IFERROR(__xludf.DUMMYFUNCTION("AVERAGE(index(GOOGLEFINANCE(""NSE:""&amp;$A249, ""volume"", today()-21, today()-1), , 2))"),"#N/A")</f>
        <v/>
      </c>
      <c r="J249" s="14">
        <f>(H249-I249)/I249</f>
        <v/>
      </c>
      <c r="K249" s="13">
        <f>IFERROR(__xludf.DUMMYFUNCTION("AVERAGE(index(GOOGLEFINANCE(""NSE:""&amp;$A249, ""close"", today()-6, today()-1), , 2))"),"#N/A")</f>
        <v/>
      </c>
      <c r="L249" s="13">
        <f>IFERROR(__xludf.DUMMYFUNCTION("AVERAGE(index(GOOGLEFINANCE(""NSE:""&amp;$A249, ""close"", today()-14, today()-1), , 2))"),"#N/A")</f>
        <v/>
      </c>
      <c r="M249" s="13">
        <f>IFERROR(__xludf.DUMMYFUNCTION("AVERAGE(index(GOOGLEFINANCE(""NSE:""&amp;$A249, ""close"", today()-22, today()-1), , 2))"),"#N/A")</f>
        <v/>
      </c>
      <c r="N249" s="13">
        <f>AG249</f>
        <v/>
      </c>
      <c r="O249" s="13">
        <f>AI249</f>
        <v/>
      </c>
      <c r="P249" s="13">
        <f>W249</f>
        <v/>
      </c>
      <c r="Q249" s="13">
        <f>Y249</f>
        <v/>
      </c>
      <c r="R249" s="15" t="n"/>
      <c r="S249" s="15">
        <f>LEFT(W249,2)&amp;LEFT(Y249,2)</f>
        <v/>
      </c>
      <c r="T249" s="15" t="n"/>
      <c r="U249" s="15">
        <f>IF(K249&lt;L249,1,0)</f>
        <v/>
      </c>
      <c r="V249" s="15">
        <f>IF(H249&gt;I249,1,0)</f>
        <v/>
      </c>
      <c r="W249" s="15">
        <f>IF(SUM(U249:V249)=2,"Anticipatory_Sell","No_Action")</f>
        <v/>
      </c>
      <c r="X249" s="15" t="n"/>
      <c r="Y249" s="15">
        <f>IF(SUM(Z249:AA249)=2,"Confirm_Sell","No_Action")</f>
        <v/>
      </c>
      <c r="Z249" s="15">
        <f>IF(H249&gt;I249,1,0)</f>
        <v/>
      </c>
      <c r="AA249" s="15">
        <f>IF(K249&lt;M249,1,0)</f>
        <v/>
      </c>
      <c r="AB249" s="15" t="n"/>
      <c r="AC249" s="15">
        <f>LEFT(AG249,2)&amp;LEFT(AI249,2)</f>
        <v/>
      </c>
      <c r="AD249" s="15" t="n"/>
      <c r="AE249" s="15">
        <f>IF(K249&gt;L249,1,0)</f>
        <v/>
      </c>
      <c r="AF249" s="16">
        <f>IF(H249&gt;I249,1,0)</f>
        <v/>
      </c>
      <c r="AG249" s="16">
        <f>IF(SUM(AE249:AF249)=2,"Anticipatory_Buy","No_Action")</f>
        <v/>
      </c>
      <c r="AH249" s="15" t="n"/>
      <c r="AI249" s="15">
        <f>IF(SUM(AJ249:AK249)=2,"Confirm_Buy","No_Action")</f>
        <v/>
      </c>
      <c r="AJ249" s="15">
        <f>IF(H249&gt;I249,1,0)</f>
        <v/>
      </c>
      <c r="AK249" s="15">
        <f>IF(K249&gt;M249,1,0)</f>
        <v/>
      </c>
    </row>
    <row r="250" ht="14.5" customHeight="1">
      <c r="A250" s="12" t="inlineStr">
        <is>
          <t>POLYMED</t>
        </is>
      </c>
      <c r="B250" s="13">
        <f>IFERROR(__xludf.DUMMYFUNCTION("GOOGLEFINANCE(""NSE:""&amp;A250,""PRICE"")"),2875.55)</f>
        <v/>
      </c>
      <c r="C250" s="13">
        <f>IFERROR(__xludf.DUMMYFUNCTION("GOOGLEFINANCE(""NSE:""&amp;A250,""PRICEOPEN"")"),2822.5)</f>
        <v/>
      </c>
      <c r="D250" s="13">
        <f>IFERROR(__xludf.DUMMYFUNCTION("GOOGLEFINANCE(""NSE:""&amp;A250,""HIGH"")"),2894)</f>
        <v/>
      </c>
      <c r="E250" s="13">
        <f>IFERROR(__xludf.DUMMYFUNCTION("GOOGLEFINANCE(""NSE:""&amp;A250,""LOW"")"),2808.05)</f>
        <v/>
      </c>
      <c r="F250" s="13">
        <f>IFERROR(__xludf.DUMMYFUNCTION("GOOGLEFINANCE(""NSE:""&amp;A250,""closeyest"")"),2819.05)</f>
        <v/>
      </c>
      <c r="G250" s="14">
        <f>(B250-C250)/B250</f>
        <v/>
      </c>
      <c r="H250" s="13">
        <f>IFERROR(__xludf.DUMMYFUNCTION("GOOGLEFINANCE(""NSE:""&amp;A250,""VOLUME"")"),117162)</f>
        <v/>
      </c>
      <c r="I250" s="13">
        <f>IFERROR(__xludf.DUMMYFUNCTION("AVERAGE(index(GOOGLEFINANCE(""NSE:""&amp;$A250, ""volume"", today()-21, today()-1), , 2))"),"#N/A")</f>
        <v/>
      </c>
      <c r="J250" s="14">
        <f>(H250-I250)/I250</f>
        <v/>
      </c>
      <c r="K250" s="13">
        <f>IFERROR(__xludf.DUMMYFUNCTION("AVERAGE(index(GOOGLEFINANCE(""NSE:""&amp;$A250, ""close"", today()-6, today()-1), , 2))"),"#N/A")</f>
        <v/>
      </c>
      <c r="L250" s="13">
        <f>IFERROR(__xludf.DUMMYFUNCTION("AVERAGE(index(GOOGLEFINANCE(""NSE:""&amp;$A250, ""close"", today()-14, today()-1), , 2))"),"#N/A")</f>
        <v/>
      </c>
      <c r="M250" s="13">
        <f>IFERROR(__xludf.DUMMYFUNCTION("AVERAGE(index(GOOGLEFINANCE(""NSE:""&amp;$A250, ""close"", today()-22, today()-1), , 2))"),"#N/A")</f>
        <v/>
      </c>
      <c r="N250" s="13">
        <f>AG250</f>
        <v/>
      </c>
      <c r="O250" s="13">
        <f>AI250</f>
        <v/>
      </c>
      <c r="P250" s="13">
        <f>W250</f>
        <v/>
      </c>
      <c r="Q250" s="13">
        <f>Y250</f>
        <v/>
      </c>
      <c r="R250" s="15" t="n"/>
      <c r="S250" s="15">
        <f>LEFT(W250,2)&amp;LEFT(Y250,2)</f>
        <v/>
      </c>
      <c r="T250" s="15" t="n"/>
      <c r="U250" s="15">
        <f>IF(K250&lt;L250,1,0)</f>
        <v/>
      </c>
      <c r="V250" s="15">
        <f>IF(H250&gt;I250,1,0)</f>
        <v/>
      </c>
      <c r="W250" s="15">
        <f>IF(SUM(U250:V250)=2,"Anticipatory_Sell","No_Action")</f>
        <v/>
      </c>
      <c r="X250" s="15" t="n"/>
      <c r="Y250" s="15">
        <f>IF(SUM(Z250:AA250)=2,"Confirm_Sell","No_Action")</f>
        <v/>
      </c>
      <c r="Z250" s="15">
        <f>IF(H250&gt;I250,1,0)</f>
        <v/>
      </c>
      <c r="AA250" s="15">
        <f>IF(K250&lt;M250,1,0)</f>
        <v/>
      </c>
      <c r="AB250" s="15" t="n"/>
      <c r="AC250" s="15">
        <f>LEFT(AG250,2)&amp;LEFT(AI250,2)</f>
        <v/>
      </c>
      <c r="AD250" s="15" t="n"/>
      <c r="AE250" s="15">
        <f>IF(K250&gt;L250,1,0)</f>
        <v/>
      </c>
      <c r="AF250" s="16">
        <f>IF(H250&gt;I250,1,0)</f>
        <v/>
      </c>
      <c r="AG250" s="16">
        <f>IF(SUM(AE250:AF250)=2,"Anticipatory_Buy","No_Action")</f>
        <v/>
      </c>
      <c r="AH250" s="15" t="n"/>
      <c r="AI250" s="15">
        <f>IF(SUM(AJ250:AK250)=2,"Confirm_Buy","No_Action")</f>
        <v/>
      </c>
      <c r="AJ250" s="15">
        <f>IF(H250&gt;I250,1,0)</f>
        <v/>
      </c>
      <c r="AK250" s="15">
        <f>IF(K250&gt;M250,1,0)</f>
        <v/>
      </c>
    </row>
    <row r="251" ht="14.5" customHeight="1">
      <c r="A251" s="12" t="inlineStr">
        <is>
          <t>POLYCAB</t>
        </is>
      </c>
      <c r="B251" s="13">
        <f>IFERROR(__xludf.DUMMYFUNCTION("GOOGLEFINANCE(""NSE:""&amp;A251,""PRICE"")"),7434)</f>
        <v/>
      </c>
      <c r="C251" s="13">
        <f>IFERROR(__xludf.DUMMYFUNCTION("GOOGLEFINANCE(""NSE:""&amp;A251,""PRICEOPEN"")"),7317.95)</f>
        <v/>
      </c>
      <c r="D251" s="13">
        <f>IFERROR(__xludf.DUMMYFUNCTION("GOOGLEFINANCE(""NSE:""&amp;A251,""HIGH"")"),7451)</f>
        <v/>
      </c>
      <c r="E251" s="13">
        <f>IFERROR(__xludf.DUMMYFUNCTION("GOOGLEFINANCE(""NSE:""&amp;A251,""LOW"")"),7295.1)</f>
        <v/>
      </c>
      <c r="F251" s="13">
        <f>IFERROR(__xludf.DUMMYFUNCTION("GOOGLEFINANCE(""NSE:""&amp;A251,""closeyest"")"),7317.95)</f>
        <v/>
      </c>
      <c r="G251" s="14">
        <f>(B251-C251)/B251</f>
        <v/>
      </c>
      <c r="H251" s="13">
        <f>IFERROR(__xludf.DUMMYFUNCTION("GOOGLEFINANCE(""NSE:""&amp;A251,""VOLUME"")"),228256)</f>
        <v/>
      </c>
      <c r="I251" s="13">
        <f>IFERROR(__xludf.DUMMYFUNCTION("AVERAGE(index(GOOGLEFINANCE(""NSE:""&amp;$A251, ""volume"", today()-21, today()-1), , 2))"),"#N/A")</f>
        <v/>
      </c>
      <c r="J251" s="14">
        <f>(H251-I251)/I251</f>
        <v/>
      </c>
      <c r="K251" s="13">
        <f>IFERROR(__xludf.DUMMYFUNCTION("AVERAGE(index(GOOGLEFINANCE(""NSE:""&amp;$A251, ""close"", today()-6, today()-1), , 2))"),"#N/A")</f>
        <v/>
      </c>
      <c r="L251" s="13">
        <f>IFERROR(__xludf.DUMMYFUNCTION("AVERAGE(index(GOOGLEFINANCE(""NSE:""&amp;$A251, ""close"", today()-14, today()-1), , 2))"),"#N/A")</f>
        <v/>
      </c>
      <c r="M251" s="13">
        <f>IFERROR(__xludf.DUMMYFUNCTION("AVERAGE(index(GOOGLEFINANCE(""NSE:""&amp;$A251, ""close"", today()-22, today()-1), , 2))"),"#N/A")</f>
        <v/>
      </c>
      <c r="N251" s="13">
        <f>AG251</f>
        <v/>
      </c>
      <c r="O251" s="13">
        <f>AI251</f>
        <v/>
      </c>
      <c r="P251" s="13">
        <f>W251</f>
        <v/>
      </c>
      <c r="Q251" s="13">
        <f>Y251</f>
        <v/>
      </c>
      <c r="R251" s="15" t="n"/>
      <c r="S251" s="15">
        <f>LEFT(W251,2)&amp;LEFT(Y251,2)</f>
        <v/>
      </c>
      <c r="T251" s="15" t="n"/>
      <c r="U251" s="15">
        <f>IF(K251&lt;L251,1,0)</f>
        <v/>
      </c>
      <c r="V251" s="15">
        <f>IF(H251&gt;I251,1,0)</f>
        <v/>
      </c>
      <c r="W251" s="15">
        <f>IF(SUM(U251:V251)=2,"Anticipatory_Sell","No_Action")</f>
        <v/>
      </c>
      <c r="X251" s="15" t="n"/>
      <c r="Y251" s="15">
        <f>IF(SUM(Z251:AA251)=2,"Confirm_Sell","No_Action")</f>
        <v/>
      </c>
      <c r="Z251" s="15">
        <f>IF(H251&gt;I251,1,0)</f>
        <v/>
      </c>
      <c r="AA251" s="15">
        <f>IF(K251&lt;M251,1,0)</f>
        <v/>
      </c>
      <c r="AB251" s="15" t="n"/>
      <c r="AC251" s="15">
        <f>LEFT(AG251,2)&amp;LEFT(AI251,2)</f>
        <v/>
      </c>
      <c r="AD251" s="15" t="n"/>
      <c r="AE251" s="15">
        <f>IF(K251&gt;L251,1,0)</f>
        <v/>
      </c>
      <c r="AF251" s="16">
        <f>IF(H251&gt;I251,1,0)</f>
        <v/>
      </c>
      <c r="AG251" s="16">
        <f>IF(SUM(AE251:AF251)=2,"Anticipatory_Buy","No_Action")</f>
        <v/>
      </c>
      <c r="AH251" s="15" t="n"/>
      <c r="AI251" s="15">
        <f>IF(SUM(AJ251:AK251)=2,"Confirm_Buy","No_Action")</f>
        <v/>
      </c>
      <c r="AJ251" s="15">
        <f>IF(H251&gt;I251,1,0)</f>
        <v/>
      </c>
      <c r="AK251" s="15">
        <f>IF(K251&gt;M251,1,0)</f>
        <v/>
      </c>
    </row>
    <row r="252" ht="14.5" customHeight="1">
      <c r="A252" s="12" t="inlineStr">
        <is>
          <t>POWERGRID</t>
        </is>
      </c>
      <c r="B252" s="13">
        <f>IFERROR(__xludf.DUMMYFUNCTION("GOOGLEFINANCE(""NSE:""&amp;A252,""PRICE"")"),329.45)</f>
        <v/>
      </c>
      <c r="C252" s="13">
        <f>IFERROR(__xludf.DUMMYFUNCTION("GOOGLEFINANCE(""NSE:""&amp;A252,""PRICEOPEN"")"),327.75)</f>
        <v/>
      </c>
      <c r="D252" s="13">
        <f>IFERROR(__xludf.DUMMYFUNCTION("GOOGLEFINANCE(""NSE:""&amp;A252,""HIGH"")"),330.65)</f>
        <v/>
      </c>
      <c r="E252" s="13">
        <f>IFERROR(__xludf.DUMMYFUNCTION("GOOGLEFINANCE(""NSE:""&amp;A252,""LOW"")"),326.7)</f>
        <v/>
      </c>
      <c r="F252" s="13">
        <f>IFERROR(__xludf.DUMMYFUNCTION("GOOGLEFINANCE(""NSE:""&amp;A252,""closeyest"")"),328.9)</f>
        <v/>
      </c>
      <c r="G252" s="14">
        <f>(B252-C252)/B252</f>
        <v/>
      </c>
      <c r="H252" s="13">
        <f>IFERROR(__xludf.DUMMYFUNCTION("GOOGLEFINANCE(""NSE:""&amp;A252,""VOLUME"")"),9376929)</f>
        <v/>
      </c>
      <c r="I252" s="13">
        <f>IFERROR(__xludf.DUMMYFUNCTION("AVERAGE(index(GOOGLEFINANCE(""NSE:""&amp;$A252, ""volume"", today()-21, today()-1), , 2))"),"#N/A")</f>
        <v/>
      </c>
      <c r="J252" s="14">
        <f>(H252-I252)/I252</f>
        <v/>
      </c>
      <c r="K252" s="13">
        <f>IFERROR(__xludf.DUMMYFUNCTION("AVERAGE(index(GOOGLEFINANCE(""NSE:""&amp;$A252, ""close"", today()-6, today()-1), , 2))"),"#N/A")</f>
        <v/>
      </c>
      <c r="L252" s="13">
        <f>IFERROR(__xludf.DUMMYFUNCTION("AVERAGE(index(GOOGLEFINANCE(""NSE:""&amp;$A252, ""close"", today()-14, today()-1), , 2))"),"#N/A")</f>
        <v/>
      </c>
      <c r="M252" s="13">
        <f>IFERROR(__xludf.DUMMYFUNCTION("AVERAGE(index(GOOGLEFINANCE(""NSE:""&amp;$A252, ""close"", today()-22, today()-1), , 2))"),"#N/A")</f>
        <v/>
      </c>
      <c r="N252" s="13">
        <f>AG252</f>
        <v/>
      </c>
      <c r="O252" s="13">
        <f>AI252</f>
        <v/>
      </c>
      <c r="P252" s="13">
        <f>W252</f>
        <v/>
      </c>
      <c r="Q252" s="13">
        <f>Y252</f>
        <v/>
      </c>
      <c r="R252" s="15" t="n"/>
      <c r="S252" s="15">
        <f>LEFT(W252,2)&amp;LEFT(Y252,2)</f>
        <v/>
      </c>
      <c r="T252" s="15" t="n"/>
      <c r="U252" s="15">
        <f>IF(K252&lt;L252,1,0)</f>
        <v/>
      </c>
      <c r="V252" s="15">
        <f>IF(H252&gt;I252,1,0)</f>
        <v/>
      </c>
      <c r="W252" s="15">
        <f>IF(SUM(U252:V252)=2,"Anticipatory_Sell","No_Action")</f>
        <v/>
      </c>
      <c r="X252" s="15" t="n"/>
      <c r="Y252" s="15">
        <f>IF(SUM(Z252:AA252)=2,"Confirm_Sell","No_Action")</f>
        <v/>
      </c>
      <c r="Z252" s="15">
        <f>IF(H252&gt;I252,1,0)</f>
        <v/>
      </c>
      <c r="AA252" s="15">
        <f>IF(K252&lt;M252,1,0)</f>
        <v/>
      </c>
      <c r="AB252" s="15" t="n"/>
      <c r="AC252" s="15">
        <f>LEFT(AG252,2)&amp;LEFT(AI252,2)</f>
        <v/>
      </c>
      <c r="AD252" s="15" t="n"/>
      <c r="AE252" s="15">
        <f>IF(K252&gt;L252,1,0)</f>
        <v/>
      </c>
      <c r="AF252" s="16">
        <f>IF(H252&gt;I252,1,0)</f>
        <v/>
      </c>
      <c r="AG252" s="16">
        <f>IF(SUM(AE252:AF252)=2,"Anticipatory_Buy","No_Action")</f>
        <v/>
      </c>
      <c r="AH252" s="15" t="n"/>
      <c r="AI252" s="15">
        <f>IF(SUM(AJ252:AK252)=2,"Confirm_Buy","No_Action")</f>
        <v/>
      </c>
      <c r="AJ252" s="15">
        <f>IF(H252&gt;I252,1,0)</f>
        <v/>
      </c>
      <c r="AK252" s="15">
        <f>IF(K252&gt;M252,1,0)</f>
        <v/>
      </c>
    </row>
    <row r="253" ht="14.5" customHeight="1">
      <c r="A253" s="12" t="inlineStr">
        <is>
          <t>PGINVIT</t>
        </is>
      </c>
      <c r="B253" s="13">
        <f>IFERROR(__xludf.DUMMYFUNCTION("GOOGLEFINANCE(""NSE:""&amp;A253,""PRICE"")"),"#N/A")</f>
        <v/>
      </c>
      <c r="C253" s="13">
        <f>IFERROR(__xludf.DUMMYFUNCTION("GOOGLEFINANCE(""NSE:""&amp;A253,""PRICEOPEN"")"),"#N/A")</f>
        <v/>
      </c>
      <c r="D253" s="13">
        <f>IFERROR(__xludf.DUMMYFUNCTION("GOOGLEFINANCE(""NSE:""&amp;A253,""HIGH"")"),"#N/A")</f>
        <v/>
      </c>
      <c r="E253" s="13">
        <f>IFERROR(__xludf.DUMMYFUNCTION("GOOGLEFINANCE(""NSE:""&amp;A253,""LOW"")"),"#N/A")</f>
        <v/>
      </c>
      <c r="F253" s="13">
        <f>IFERROR(__xludf.DUMMYFUNCTION("GOOGLEFINANCE(""NSE:""&amp;A253,""closeyest"")"),"#N/A")</f>
        <v/>
      </c>
      <c r="G253" s="14">
        <f>(B253-C253)/B253</f>
        <v/>
      </c>
      <c r="H253" s="13">
        <f>IFERROR(__xludf.DUMMYFUNCTION("GOOGLEFINANCE(""NSE:""&amp;A253,""VOLUME"")"),"#N/A")</f>
        <v/>
      </c>
      <c r="I253" s="13">
        <f>IFERROR(__xludf.DUMMYFUNCTION("AVERAGE(index(GOOGLEFINANCE(""NSE:""&amp;$A253, ""volume"", today()-21, today()-1), , 2))"),"#N/A")</f>
        <v/>
      </c>
      <c r="J253" s="14">
        <f>(H253-I253)/I253</f>
        <v/>
      </c>
      <c r="K253" s="13">
        <f>IFERROR(__xludf.DUMMYFUNCTION("AVERAGE(index(GOOGLEFINANCE(""NSE:""&amp;$A253, ""close"", today()-6, today()-1), , 2))"),"#N/A")</f>
        <v/>
      </c>
      <c r="L253" s="13">
        <f>IFERROR(__xludf.DUMMYFUNCTION("AVERAGE(index(GOOGLEFINANCE(""NSE:""&amp;$A253, ""close"", today()-14, today()-1), , 2))"),"#N/A")</f>
        <v/>
      </c>
      <c r="M253" s="13">
        <f>IFERROR(__xludf.DUMMYFUNCTION("AVERAGE(index(GOOGLEFINANCE(""NSE:""&amp;$A253, ""close"", today()-22, today()-1), , 2))"),"#N/A")</f>
        <v/>
      </c>
      <c r="N253" s="13">
        <f>AG253</f>
        <v/>
      </c>
      <c r="O253" s="13">
        <f>AI253</f>
        <v/>
      </c>
      <c r="P253" s="13">
        <f>W253</f>
        <v/>
      </c>
      <c r="Q253" s="13">
        <f>Y253</f>
        <v/>
      </c>
      <c r="R253" s="15" t="n"/>
      <c r="S253" s="15">
        <f>LEFT(W253,2)&amp;LEFT(Y253,2)</f>
        <v/>
      </c>
      <c r="T253" s="15" t="n"/>
      <c r="U253" s="15">
        <f>IF(K253&lt;L253,1,0)</f>
        <v/>
      </c>
      <c r="V253" s="15">
        <f>IF(H253&gt;I253,1,0)</f>
        <v/>
      </c>
      <c r="W253" s="15">
        <f>IF(SUM(U253:V253)=2,"Anticipatory_Sell","No_Action")</f>
        <v/>
      </c>
      <c r="X253" s="15" t="n"/>
      <c r="Y253" s="15">
        <f>IF(SUM(Z253:AA253)=2,"Confirm_Sell","No_Action")</f>
        <v/>
      </c>
      <c r="Z253" s="15">
        <f>IF(H253&gt;I253,1,0)</f>
        <v/>
      </c>
      <c r="AA253" s="15">
        <f>IF(K253&lt;M253,1,0)</f>
        <v/>
      </c>
      <c r="AB253" s="15" t="n"/>
      <c r="AC253" s="15">
        <f>LEFT(AG253,2)&amp;LEFT(AI253,2)</f>
        <v/>
      </c>
      <c r="AD253" s="15" t="n"/>
      <c r="AE253" s="15">
        <f>IF(K253&gt;L253,1,0)</f>
        <v/>
      </c>
      <c r="AF253" s="16">
        <f>IF(H253&gt;I253,1,0)</f>
        <v/>
      </c>
      <c r="AG253" s="16">
        <f>IF(SUM(AE253:AF253)=2,"Anticipatory_Buy","No_Action")</f>
        <v/>
      </c>
      <c r="AH253" s="15" t="n"/>
      <c r="AI253" s="15">
        <f>IF(SUM(AJ253:AK253)=2,"Confirm_Buy","No_Action")</f>
        <v/>
      </c>
      <c r="AJ253" s="15">
        <f>IF(H253&gt;I253,1,0)</f>
        <v/>
      </c>
      <c r="AK253" s="15">
        <f>IF(K253&gt;M253,1,0)</f>
        <v/>
      </c>
    </row>
    <row r="254" ht="14.5" customHeight="1">
      <c r="A254" s="12" t="inlineStr">
        <is>
          <t>PRAKASH</t>
        </is>
      </c>
      <c r="B254" s="13">
        <f>IFERROR(__xludf.DUMMYFUNCTION("GOOGLEFINANCE(""NSE:""&amp;A254,""PRICE"")"),169.25)</f>
        <v/>
      </c>
      <c r="C254" s="13">
        <f>IFERROR(__xludf.DUMMYFUNCTION("GOOGLEFINANCE(""NSE:""&amp;A254,""PRICEOPEN"")"),171)</f>
        <v/>
      </c>
      <c r="D254" s="13">
        <f>IFERROR(__xludf.DUMMYFUNCTION("GOOGLEFINANCE(""NSE:""&amp;A254,""HIGH"")"),172.3)</f>
        <v/>
      </c>
      <c r="E254" s="13">
        <f>IFERROR(__xludf.DUMMYFUNCTION("GOOGLEFINANCE(""NSE:""&amp;A254,""LOW"")"),168.71)</f>
        <v/>
      </c>
      <c r="F254" s="13">
        <f>IFERROR(__xludf.DUMMYFUNCTION("GOOGLEFINANCE(""NSE:""&amp;A254,""closeyest"")"),170.89)</f>
        <v/>
      </c>
      <c r="G254" s="14">
        <f>(B254-C254)/B254</f>
        <v/>
      </c>
      <c r="H254" s="13">
        <f>IFERROR(__xludf.DUMMYFUNCTION("GOOGLEFINANCE(""NSE:""&amp;A254,""VOLUME"")"),772864)</f>
        <v/>
      </c>
      <c r="I254" s="13">
        <f>IFERROR(__xludf.DUMMYFUNCTION("AVERAGE(index(GOOGLEFINANCE(""NSE:""&amp;$A254, ""volume"", today()-21, today()-1), , 2))"),"#N/A")</f>
        <v/>
      </c>
      <c r="J254" s="14">
        <f>(H254-I254)/I254</f>
        <v/>
      </c>
      <c r="K254" s="13">
        <f>IFERROR(__xludf.DUMMYFUNCTION("AVERAGE(index(GOOGLEFINANCE(""NSE:""&amp;$A254, ""close"", today()-6, today()-1), , 2))"),"#N/A")</f>
        <v/>
      </c>
      <c r="L254" s="13">
        <f>IFERROR(__xludf.DUMMYFUNCTION("AVERAGE(index(GOOGLEFINANCE(""NSE:""&amp;$A254, ""close"", today()-14, today()-1), , 2))"),"#N/A")</f>
        <v/>
      </c>
      <c r="M254" s="13">
        <f>IFERROR(__xludf.DUMMYFUNCTION("AVERAGE(index(GOOGLEFINANCE(""NSE:""&amp;$A254, ""close"", today()-22, today()-1), , 2))"),"#N/A")</f>
        <v/>
      </c>
      <c r="N254" s="13">
        <f>AG254</f>
        <v/>
      </c>
      <c r="O254" s="13">
        <f>AI254</f>
        <v/>
      </c>
      <c r="P254" s="13">
        <f>W254</f>
        <v/>
      </c>
      <c r="Q254" s="13">
        <f>Y254</f>
        <v/>
      </c>
      <c r="R254" s="15" t="n"/>
      <c r="S254" s="15">
        <f>LEFT(W254,2)&amp;LEFT(Y254,2)</f>
        <v/>
      </c>
      <c r="T254" s="15" t="n"/>
      <c r="U254" s="15">
        <f>IF(K254&lt;L254,1,0)</f>
        <v/>
      </c>
      <c r="V254" s="15">
        <f>IF(H254&gt;I254,1,0)</f>
        <v/>
      </c>
      <c r="W254" s="15">
        <f>IF(SUM(U254:V254)=2,"Anticipatory_Sell","No_Action")</f>
        <v/>
      </c>
      <c r="X254" s="15" t="n"/>
      <c r="Y254" s="15">
        <f>IF(SUM(Z254:AA254)=2,"Confirm_Sell","No_Action")</f>
        <v/>
      </c>
      <c r="Z254" s="15">
        <f>IF(H254&gt;I254,1,0)</f>
        <v/>
      </c>
      <c r="AA254" s="15">
        <f>IF(K254&lt;M254,1,0)</f>
        <v/>
      </c>
      <c r="AB254" s="15" t="n"/>
      <c r="AC254" s="15">
        <f>LEFT(AG254,2)&amp;LEFT(AI254,2)</f>
        <v/>
      </c>
      <c r="AD254" s="15" t="n"/>
      <c r="AE254" s="15">
        <f>IF(K254&gt;L254,1,0)</f>
        <v/>
      </c>
      <c r="AF254" s="16">
        <f>IF(H254&gt;I254,1,0)</f>
        <v/>
      </c>
      <c r="AG254" s="16">
        <f>IF(SUM(AE254:AF254)=2,"Anticipatory_Buy","No_Action")</f>
        <v/>
      </c>
      <c r="AH254" s="15" t="n"/>
      <c r="AI254" s="15">
        <f>IF(SUM(AJ254:AK254)=2,"Confirm_Buy","No_Action")</f>
        <v/>
      </c>
      <c r="AJ254" s="15">
        <f>IF(H254&gt;I254,1,0)</f>
        <v/>
      </c>
      <c r="AK254" s="15">
        <f>IF(K254&gt;M254,1,0)</f>
        <v/>
      </c>
    </row>
    <row r="255" ht="14.5" customHeight="1">
      <c r="A255" s="12" t="inlineStr">
        <is>
          <t>PSPPROJECT</t>
        </is>
      </c>
      <c r="B255" s="13">
        <f>IFERROR(__xludf.DUMMYFUNCTION("GOOGLEFINANCE(""NSE:""&amp;A255,""PRICE"")"),673.4)</f>
        <v/>
      </c>
      <c r="C255" s="13">
        <f>IFERROR(__xludf.DUMMYFUNCTION("GOOGLEFINANCE(""NSE:""&amp;A255,""PRICEOPEN"")"),664.85)</f>
        <v/>
      </c>
      <c r="D255" s="13">
        <f>IFERROR(__xludf.DUMMYFUNCTION("GOOGLEFINANCE(""NSE:""&amp;A255,""HIGH"")"),680)</f>
        <v/>
      </c>
      <c r="E255" s="13">
        <f>IFERROR(__xludf.DUMMYFUNCTION("GOOGLEFINANCE(""NSE:""&amp;A255,""LOW"")"),662.55)</f>
        <v/>
      </c>
      <c r="F255" s="13">
        <f>IFERROR(__xludf.DUMMYFUNCTION("GOOGLEFINANCE(""NSE:""&amp;A255,""closeyest"")"),664.85)</f>
        <v/>
      </c>
      <c r="G255" s="14">
        <f>(B255-C255)/B255</f>
        <v/>
      </c>
      <c r="H255" s="13">
        <f>IFERROR(__xludf.DUMMYFUNCTION("GOOGLEFINANCE(""NSE:""&amp;A255,""VOLUME"")"),196093)</f>
        <v/>
      </c>
      <c r="I255" s="13">
        <f>IFERROR(__xludf.DUMMYFUNCTION("AVERAGE(index(GOOGLEFINANCE(""NSE:""&amp;$A255, ""volume"", today()-21, today()-1), , 2))"),"#N/A")</f>
        <v/>
      </c>
      <c r="J255" s="14">
        <f>(H255-I255)/I255</f>
        <v/>
      </c>
      <c r="K255" s="13">
        <f>IFERROR(__xludf.DUMMYFUNCTION("AVERAGE(index(GOOGLEFINANCE(""NSE:""&amp;$A255, ""close"", today()-6, today()-1), , 2))"),"#N/A")</f>
        <v/>
      </c>
      <c r="L255" s="13">
        <f>IFERROR(__xludf.DUMMYFUNCTION("AVERAGE(index(GOOGLEFINANCE(""NSE:""&amp;$A255, ""close"", today()-14, today()-1), , 2))"),"#N/A")</f>
        <v/>
      </c>
      <c r="M255" s="13">
        <f>IFERROR(__xludf.DUMMYFUNCTION("AVERAGE(index(GOOGLEFINANCE(""NSE:""&amp;$A255, ""close"", today()-22, today()-1), , 2))"),"#N/A")</f>
        <v/>
      </c>
      <c r="N255" s="13">
        <f>AG255</f>
        <v/>
      </c>
      <c r="O255" s="13">
        <f>AI255</f>
        <v/>
      </c>
      <c r="P255" s="13">
        <f>W255</f>
        <v/>
      </c>
      <c r="Q255" s="13">
        <f>Y255</f>
        <v/>
      </c>
      <c r="R255" s="15" t="n"/>
      <c r="S255" s="15">
        <f>LEFT(W255,2)&amp;LEFT(Y255,2)</f>
        <v/>
      </c>
      <c r="T255" s="15" t="n"/>
      <c r="U255" s="15">
        <f>IF(K255&lt;L255,1,0)</f>
        <v/>
      </c>
      <c r="V255" s="15">
        <f>IF(H255&gt;I255,1,0)</f>
        <v/>
      </c>
      <c r="W255" s="15">
        <f>IF(SUM(U255:V255)=2,"Anticipatory_Sell","No_Action")</f>
        <v/>
      </c>
      <c r="X255" s="15" t="n"/>
      <c r="Y255" s="15">
        <f>IF(SUM(Z255:AA255)=2,"Confirm_Sell","No_Action")</f>
        <v/>
      </c>
      <c r="Z255" s="15">
        <f>IF(H255&gt;I255,1,0)</f>
        <v/>
      </c>
      <c r="AA255" s="15">
        <f>IF(K255&lt;M255,1,0)</f>
        <v/>
      </c>
      <c r="AB255" s="15" t="n"/>
      <c r="AC255" s="15">
        <f>LEFT(AG255,2)&amp;LEFT(AI255,2)</f>
        <v/>
      </c>
      <c r="AD255" s="15" t="n"/>
      <c r="AE255" s="15">
        <f>IF(K255&gt;L255,1,0)</f>
        <v/>
      </c>
      <c r="AF255" s="16">
        <f>IF(H255&gt;I255,1,0)</f>
        <v/>
      </c>
      <c r="AG255" s="16">
        <f>IF(SUM(AE255:AF255)=2,"Anticipatory_Buy","No_Action")</f>
        <v/>
      </c>
      <c r="AH255" s="15" t="n"/>
      <c r="AI255" s="15">
        <f>IF(SUM(AJ255:AK255)=2,"Confirm_Buy","No_Action")</f>
        <v/>
      </c>
      <c r="AJ255" s="15">
        <f>IF(H255&gt;I255,1,0)</f>
        <v/>
      </c>
      <c r="AK255" s="15">
        <f>IF(K255&gt;M255,1,0)</f>
        <v/>
      </c>
    </row>
    <row r="256" ht="14.5" customHeight="1">
      <c r="A256" s="12" t="inlineStr">
        <is>
          <t>PUNJABCHEM</t>
        </is>
      </c>
      <c r="B256" s="13">
        <f>IFERROR(__xludf.DUMMYFUNCTION("GOOGLEFINANCE(""NSE:""&amp;A256,""PRICE"")"),1063)</f>
        <v/>
      </c>
      <c r="C256" s="13">
        <f>IFERROR(__xludf.DUMMYFUNCTION("GOOGLEFINANCE(""NSE:""&amp;A256,""PRICEOPEN"")"),1003.2)</f>
        <v/>
      </c>
      <c r="D256" s="13">
        <f>IFERROR(__xludf.DUMMYFUNCTION("GOOGLEFINANCE(""NSE:""&amp;A256,""HIGH"")"),1080)</f>
        <v/>
      </c>
      <c r="E256" s="13">
        <f>IFERROR(__xludf.DUMMYFUNCTION("GOOGLEFINANCE(""NSE:""&amp;A256,""LOW"")"),1003.2)</f>
        <v/>
      </c>
      <c r="F256" s="13">
        <f>IFERROR(__xludf.DUMMYFUNCTION("GOOGLEFINANCE(""NSE:""&amp;A256,""closeyest"")"),1017.1)</f>
        <v/>
      </c>
      <c r="G256" s="14">
        <f>(B256-C256)/B256</f>
        <v/>
      </c>
      <c r="H256" s="13">
        <f>IFERROR(__xludf.DUMMYFUNCTION("GOOGLEFINANCE(""NSE:""&amp;A256,""VOLUME"")"),12210)</f>
        <v/>
      </c>
      <c r="I256" s="13">
        <f>IFERROR(__xludf.DUMMYFUNCTION("AVERAGE(index(GOOGLEFINANCE(""NSE:""&amp;$A256, ""volume"", today()-21, today()-1), , 2))"),"#N/A")</f>
        <v/>
      </c>
      <c r="J256" s="14">
        <f>(H256-I256)/I256</f>
        <v/>
      </c>
      <c r="K256" s="13">
        <f>IFERROR(__xludf.DUMMYFUNCTION("AVERAGE(index(GOOGLEFINANCE(""NSE:""&amp;$A256, ""close"", today()-6, today()-1), , 2))"),"#N/A")</f>
        <v/>
      </c>
      <c r="L256" s="13">
        <f>IFERROR(__xludf.DUMMYFUNCTION("AVERAGE(index(GOOGLEFINANCE(""NSE:""&amp;$A256, ""close"", today()-14, today()-1), , 2))"),"#N/A")</f>
        <v/>
      </c>
      <c r="M256" s="13">
        <f>IFERROR(__xludf.DUMMYFUNCTION("AVERAGE(index(GOOGLEFINANCE(""NSE:""&amp;$A256, ""close"", today()-22, today()-1), , 2))"),"#N/A")</f>
        <v/>
      </c>
      <c r="N256" s="13">
        <f>AG256</f>
        <v/>
      </c>
      <c r="O256" s="13">
        <f>AI256</f>
        <v/>
      </c>
      <c r="P256" s="13">
        <f>W256</f>
        <v/>
      </c>
      <c r="Q256" s="13">
        <f>Y256</f>
        <v/>
      </c>
      <c r="R256" s="15" t="n"/>
      <c r="S256" s="15">
        <f>LEFT(W256,2)&amp;LEFT(Y256,2)</f>
        <v/>
      </c>
      <c r="T256" s="15" t="n"/>
      <c r="U256" s="15">
        <f>IF(K256&lt;L256,1,0)</f>
        <v/>
      </c>
      <c r="V256" s="15">
        <f>IF(H256&gt;I256,1,0)</f>
        <v/>
      </c>
      <c r="W256" s="15">
        <f>IF(SUM(U256:V256)=2,"Anticipatory_Sell","No_Action")</f>
        <v/>
      </c>
      <c r="X256" s="15" t="n"/>
      <c r="Y256" s="15">
        <f>IF(SUM(Z256:AA256)=2,"Confirm_Sell","No_Action")</f>
        <v/>
      </c>
      <c r="Z256" s="15">
        <f>IF(H256&gt;I256,1,0)</f>
        <v/>
      </c>
      <c r="AA256" s="15">
        <f>IF(K256&lt;M256,1,0)</f>
        <v/>
      </c>
      <c r="AB256" s="15" t="n"/>
      <c r="AC256" s="15">
        <f>LEFT(AG256,2)&amp;LEFT(AI256,2)</f>
        <v/>
      </c>
      <c r="AD256" s="15" t="n"/>
      <c r="AE256" s="15">
        <f>IF(K256&gt;L256,1,0)</f>
        <v/>
      </c>
      <c r="AF256" s="16">
        <f>IF(H256&gt;I256,1,0)</f>
        <v/>
      </c>
      <c r="AG256" s="16">
        <f>IF(SUM(AE256:AF256)=2,"Anticipatory_Buy","No_Action")</f>
        <v/>
      </c>
      <c r="AH256" s="15" t="n"/>
      <c r="AI256" s="15">
        <f>IF(SUM(AJ256:AK256)=2,"Confirm_Buy","No_Action")</f>
        <v/>
      </c>
      <c r="AJ256" s="15">
        <f>IF(H256&gt;I256,1,0)</f>
        <v/>
      </c>
      <c r="AK256" s="15">
        <f>IF(K256&gt;M256,1,0)</f>
        <v/>
      </c>
    </row>
    <row r="257" ht="14.5" customHeight="1">
      <c r="A257" s="12" t="inlineStr">
        <is>
          <t>RPEL</t>
        </is>
      </c>
      <c r="B257" s="13">
        <f>IFERROR(__xludf.DUMMYFUNCTION("GOOGLEFINANCE(""NSE:""&amp;A257,""PRICE"")"),724)</f>
        <v/>
      </c>
      <c r="C257" s="13">
        <f>IFERROR(__xludf.DUMMYFUNCTION("GOOGLEFINANCE(""NSE:""&amp;A257,""PRICEOPEN"")"),722.1)</f>
        <v/>
      </c>
      <c r="D257" s="13">
        <f>IFERROR(__xludf.DUMMYFUNCTION("GOOGLEFINANCE(""NSE:""&amp;A257,""HIGH"")"),739.45)</f>
        <v/>
      </c>
      <c r="E257" s="13">
        <f>IFERROR(__xludf.DUMMYFUNCTION("GOOGLEFINANCE(""NSE:""&amp;A257,""LOW"")"),715)</f>
        <v/>
      </c>
      <c r="F257" s="13">
        <f>IFERROR(__xludf.DUMMYFUNCTION("GOOGLEFINANCE(""NSE:""&amp;A257,""closeyest"")"),725.3)</f>
        <v/>
      </c>
      <c r="G257" s="14">
        <f>(B257-C257)/B257</f>
        <v/>
      </c>
      <c r="H257" s="13">
        <f>IFERROR(__xludf.DUMMYFUNCTION("GOOGLEFINANCE(""NSE:""&amp;A257,""VOLUME"")"),50177)</f>
        <v/>
      </c>
      <c r="I257" s="13">
        <f>IFERROR(__xludf.DUMMYFUNCTION("AVERAGE(index(GOOGLEFINANCE(""NSE:""&amp;$A257, ""volume"", today()-21, today()-1), , 2))"),"#N/A")</f>
        <v/>
      </c>
      <c r="J257" s="14">
        <f>(H257-I257)/I257</f>
        <v/>
      </c>
      <c r="K257" s="13">
        <f>IFERROR(__xludf.DUMMYFUNCTION("AVERAGE(index(GOOGLEFINANCE(""NSE:""&amp;$A257, ""close"", today()-6, today()-1), , 2))"),"#N/A")</f>
        <v/>
      </c>
      <c r="L257" s="13">
        <f>IFERROR(__xludf.DUMMYFUNCTION("AVERAGE(index(GOOGLEFINANCE(""NSE:""&amp;$A257, ""close"", today()-14, today()-1), , 2))"),"#N/A")</f>
        <v/>
      </c>
      <c r="M257" s="13">
        <f>IFERROR(__xludf.DUMMYFUNCTION("AVERAGE(index(GOOGLEFINANCE(""NSE:""&amp;$A257, ""close"", today()-22, today()-1), , 2))"),"#N/A")</f>
        <v/>
      </c>
      <c r="N257" s="13">
        <f>AG257</f>
        <v/>
      </c>
      <c r="O257" s="13">
        <f>AI257</f>
        <v/>
      </c>
      <c r="P257" s="13">
        <f>W257</f>
        <v/>
      </c>
      <c r="Q257" s="13">
        <f>Y257</f>
        <v/>
      </c>
      <c r="R257" s="15" t="n"/>
      <c r="S257" s="15">
        <f>LEFT(W257,2)&amp;LEFT(Y257,2)</f>
        <v/>
      </c>
      <c r="T257" s="15" t="n"/>
      <c r="U257" s="15">
        <f>IF(K257&lt;L257,1,0)</f>
        <v/>
      </c>
      <c r="V257" s="15">
        <f>IF(H257&gt;I257,1,0)</f>
        <v/>
      </c>
      <c r="W257" s="15">
        <f>IF(SUM(U257:V257)=2,"Anticipatory_Sell","No_Action")</f>
        <v/>
      </c>
      <c r="X257" s="15" t="n"/>
      <c r="Y257" s="15">
        <f>IF(SUM(Z257:AA257)=2,"Confirm_Sell","No_Action")</f>
        <v/>
      </c>
      <c r="Z257" s="15">
        <f>IF(H257&gt;I257,1,0)</f>
        <v/>
      </c>
      <c r="AA257" s="15">
        <f>IF(K257&lt;M257,1,0)</f>
        <v/>
      </c>
      <c r="AB257" s="15" t="n"/>
      <c r="AC257" s="15">
        <f>LEFT(AG257,2)&amp;LEFT(AI257,2)</f>
        <v/>
      </c>
      <c r="AD257" s="15" t="n"/>
      <c r="AE257" s="15">
        <f>IF(K257&gt;L257,1,0)</f>
        <v/>
      </c>
      <c r="AF257" s="16">
        <f>IF(H257&gt;I257,1,0)</f>
        <v/>
      </c>
      <c r="AG257" s="16">
        <f>IF(SUM(AE257:AF257)=2,"Anticipatory_Buy","No_Action")</f>
        <v/>
      </c>
      <c r="AH257" s="15" t="n"/>
      <c r="AI257" s="15">
        <f>IF(SUM(AJ257:AK257)=2,"Confirm_Buy","No_Action")</f>
        <v/>
      </c>
      <c r="AJ257" s="15">
        <f>IF(H257&gt;I257,1,0)</f>
        <v/>
      </c>
      <c r="AK257" s="15">
        <f>IF(K257&gt;M257,1,0)</f>
        <v/>
      </c>
    </row>
    <row r="258" ht="14.5" customHeight="1">
      <c r="A258" s="12" t="inlineStr">
        <is>
          <t>RAILTEL</t>
        </is>
      </c>
      <c r="B258" s="13">
        <f>IFERROR(__xludf.DUMMYFUNCTION("GOOGLEFINANCE(""NSE:""&amp;A258,""PRICE"")"),440.55)</f>
        <v/>
      </c>
      <c r="C258" s="13">
        <f>IFERROR(__xludf.DUMMYFUNCTION("GOOGLEFINANCE(""NSE:""&amp;A258,""PRICEOPEN"")"),438.65)</f>
        <v/>
      </c>
      <c r="D258" s="13">
        <f>IFERROR(__xludf.DUMMYFUNCTION("GOOGLEFINANCE(""NSE:""&amp;A258,""HIGH"")"),444.9)</f>
        <v/>
      </c>
      <c r="E258" s="13">
        <f>IFERROR(__xludf.DUMMYFUNCTION("GOOGLEFINANCE(""NSE:""&amp;A258,""LOW"")"),436.65)</f>
        <v/>
      </c>
      <c r="F258" s="13">
        <f>IFERROR(__xludf.DUMMYFUNCTION("GOOGLEFINANCE(""NSE:""&amp;A258,""closeyest"")"),435.85)</f>
        <v/>
      </c>
      <c r="G258" s="14">
        <f>(B258-C258)/B258</f>
        <v/>
      </c>
      <c r="H258" s="13">
        <f>IFERROR(__xludf.DUMMYFUNCTION("GOOGLEFINANCE(""NSE:""&amp;A258,""VOLUME"")"),2964318)</f>
        <v/>
      </c>
      <c r="I258" s="13">
        <f>IFERROR(__xludf.DUMMYFUNCTION("AVERAGE(index(GOOGLEFINANCE(""NSE:""&amp;$A258, ""volume"", today()-21, today()-1), , 2))"),"#N/A")</f>
        <v/>
      </c>
      <c r="J258" s="14">
        <f>(H258-I258)/I258</f>
        <v/>
      </c>
      <c r="K258" s="13">
        <f>IFERROR(__xludf.DUMMYFUNCTION("AVERAGE(index(GOOGLEFINANCE(""NSE:""&amp;$A258, ""close"", today()-6, today()-1), , 2))"),"#N/A")</f>
        <v/>
      </c>
      <c r="L258" s="13">
        <f>IFERROR(__xludf.DUMMYFUNCTION("AVERAGE(index(GOOGLEFINANCE(""NSE:""&amp;$A258, ""close"", today()-14, today()-1), , 2))"),"#N/A")</f>
        <v/>
      </c>
      <c r="M258" s="13">
        <f>IFERROR(__xludf.DUMMYFUNCTION("AVERAGE(index(GOOGLEFINANCE(""NSE:""&amp;$A258, ""close"", today()-22, today()-1), , 2))"),"#N/A")</f>
        <v/>
      </c>
      <c r="N258" s="13">
        <f>AG258</f>
        <v/>
      </c>
      <c r="O258" s="13">
        <f>AI258</f>
        <v/>
      </c>
      <c r="P258" s="13">
        <f>W258</f>
        <v/>
      </c>
      <c r="Q258" s="13">
        <f>Y258</f>
        <v/>
      </c>
      <c r="R258" s="15" t="n"/>
      <c r="S258" s="15">
        <f>LEFT(W258,2)&amp;LEFT(Y258,2)</f>
        <v/>
      </c>
      <c r="T258" s="15" t="n"/>
      <c r="U258" s="15">
        <f>IF(K258&lt;L258,1,0)</f>
        <v/>
      </c>
      <c r="V258" s="15">
        <f>IF(H258&gt;I258,1,0)</f>
        <v/>
      </c>
      <c r="W258" s="15">
        <f>IF(SUM(U258:V258)=2,"Anticipatory_Sell","No_Action")</f>
        <v/>
      </c>
      <c r="X258" s="15" t="n"/>
      <c r="Y258" s="15">
        <f>IF(SUM(Z258:AA258)=2,"Confirm_Sell","No_Action")</f>
        <v/>
      </c>
      <c r="Z258" s="15">
        <f>IF(H258&gt;I258,1,0)</f>
        <v/>
      </c>
      <c r="AA258" s="15">
        <f>IF(K258&lt;M258,1,0)</f>
        <v/>
      </c>
      <c r="AB258" s="15" t="n"/>
      <c r="AC258" s="15">
        <f>LEFT(AG258,2)&amp;LEFT(AI258,2)</f>
        <v/>
      </c>
      <c r="AD258" s="15" t="n"/>
      <c r="AE258" s="15">
        <f>IF(K258&gt;L258,1,0)</f>
        <v/>
      </c>
      <c r="AF258" s="16">
        <f>IF(H258&gt;I258,1,0)</f>
        <v/>
      </c>
      <c r="AG258" s="16">
        <f>IF(SUM(AE258:AF258)=2,"Anticipatory_Buy","No_Action")</f>
        <v/>
      </c>
      <c r="AH258" s="15" t="n"/>
      <c r="AI258" s="15">
        <f>IF(SUM(AJ258:AK258)=2,"Confirm_Buy","No_Action")</f>
        <v/>
      </c>
      <c r="AJ258" s="15">
        <f>IF(H258&gt;I258,1,0)</f>
        <v/>
      </c>
      <c r="AK258" s="15">
        <f>IF(K258&gt;M258,1,0)</f>
        <v/>
      </c>
    </row>
    <row r="259" ht="14.5" customHeight="1">
      <c r="A259" s="12" t="inlineStr">
        <is>
          <t>RAINBOW</t>
        </is>
      </c>
      <c r="B259" s="13">
        <f>IFERROR(__xludf.DUMMYFUNCTION("GOOGLEFINANCE(""NSE:""&amp;A259,""PRICE"")"),1668.95)</f>
        <v/>
      </c>
      <c r="C259" s="13">
        <f>IFERROR(__xludf.DUMMYFUNCTION("GOOGLEFINANCE(""NSE:""&amp;A259,""PRICEOPEN"")"),1649.8)</f>
        <v/>
      </c>
      <c r="D259" s="13">
        <f>IFERROR(__xludf.DUMMYFUNCTION("GOOGLEFINANCE(""NSE:""&amp;A259,""HIGH"")"),1680)</f>
        <v/>
      </c>
      <c r="E259" s="13">
        <f>IFERROR(__xludf.DUMMYFUNCTION("GOOGLEFINANCE(""NSE:""&amp;A259,""LOW"")"),1628)</f>
        <v/>
      </c>
      <c r="F259" s="13">
        <f>IFERROR(__xludf.DUMMYFUNCTION("GOOGLEFINANCE(""NSE:""&amp;A259,""closeyest"")"),1642.95)</f>
        <v/>
      </c>
      <c r="G259" s="14">
        <f>(B259-C259)/B259</f>
        <v/>
      </c>
      <c r="H259" s="13">
        <f>IFERROR(__xludf.DUMMYFUNCTION("GOOGLEFINANCE(""NSE:""&amp;A259,""VOLUME"")"),131214)</f>
        <v/>
      </c>
      <c r="I259" s="13">
        <f>IFERROR(__xludf.DUMMYFUNCTION("AVERAGE(index(GOOGLEFINANCE(""NSE:""&amp;$A259, ""volume"", today()-21, today()-1), , 2))"),"#N/A")</f>
        <v/>
      </c>
      <c r="J259" s="14">
        <f>(H259-I259)/I259</f>
        <v/>
      </c>
      <c r="K259" s="13">
        <f>IFERROR(__xludf.DUMMYFUNCTION("AVERAGE(index(GOOGLEFINANCE(""NSE:""&amp;$A259, ""close"", today()-6, today()-1), , 2))"),"#N/A")</f>
        <v/>
      </c>
      <c r="L259" s="13">
        <f>IFERROR(__xludf.DUMMYFUNCTION("AVERAGE(index(GOOGLEFINANCE(""NSE:""&amp;$A259, ""close"", today()-14, today()-1), , 2))"),"#N/A")</f>
        <v/>
      </c>
      <c r="M259" s="13">
        <f>IFERROR(__xludf.DUMMYFUNCTION("AVERAGE(index(GOOGLEFINANCE(""NSE:""&amp;$A259, ""close"", today()-22, today()-1), , 2))"),"#N/A")</f>
        <v/>
      </c>
      <c r="N259" s="13">
        <f>AG259</f>
        <v/>
      </c>
      <c r="O259" s="13">
        <f>AI259</f>
        <v/>
      </c>
      <c r="P259" s="13">
        <f>W259</f>
        <v/>
      </c>
      <c r="Q259" s="13">
        <f>Y259</f>
        <v/>
      </c>
      <c r="R259" s="15" t="n"/>
      <c r="S259" s="15">
        <f>LEFT(W259,2)&amp;LEFT(Y259,2)</f>
        <v/>
      </c>
      <c r="T259" s="15" t="n"/>
      <c r="U259" s="15">
        <f>IF(K259&lt;L259,1,0)</f>
        <v/>
      </c>
      <c r="V259" s="15">
        <f>IF(H259&gt;I259,1,0)</f>
        <v/>
      </c>
      <c r="W259" s="15">
        <f>IF(SUM(U259:V259)=2,"Anticipatory_Sell","No_Action")</f>
        <v/>
      </c>
      <c r="X259" s="15" t="n"/>
      <c r="Y259" s="15">
        <f>IF(SUM(Z259:AA259)=2,"Confirm_Sell","No_Action")</f>
        <v/>
      </c>
      <c r="Z259" s="15">
        <f>IF(H259&gt;I259,1,0)</f>
        <v/>
      </c>
      <c r="AA259" s="15">
        <f>IF(K259&lt;M259,1,0)</f>
        <v/>
      </c>
      <c r="AB259" s="15" t="n"/>
      <c r="AC259" s="15">
        <f>LEFT(AG259,2)&amp;LEFT(AI259,2)</f>
        <v/>
      </c>
      <c r="AD259" s="15" t="n"/>
      <c r="AE259" s="15">
        <f>IF(K259&gt;L259,1,0)</f>
        <v/>
      </c>
      <c r="AF259" s="16">
        <f>IF(H259&gt;I259,1,0)</f>
        <v/>
      </c>
      <c r="AG259" s="16">
        <f>IF(SUM(AE259:AF259)=2,"Anticipatory_Buy","No_Action")</f>
        <v/>
      </c>
      <c r="AH259" s="15" t="n"/>
      <c r="AI259" s="15">
        <f>IF(SUM(AJ259:AK259)=2,"Confirm_Buy","No_Action")</f>
        <v/>
      </c>
      <c r="AJ259" s="15">
        <f>IF(H259&gt;I259,1,0)</f>
        <v/>
      </c>
      <c r="AK259" s="15">
        <f>IF(K259&gt;M259,1,0)</f>
        <v/>
      </c>
    </row>
    <row r="260" ht="14.5" customHeight="1">
      <c r="A260" s="12" t="inlineStr">
        <is>
          <t>RKFORGE</t>
        </is>
      </c>
      <c r="B260" s="13">
        <f>IFERROR(__xludf.DUMMYFUNCTION("GOOGLEFINANCE(""NSE:""&amp;A260,""PRICE"")"),973)</f>
        <v/>
      </c>
      <c r="C260" s="13">
        <f>IFERROR(__xludf.DUMMYFUNCTION("GOOGLEFINANCE(""NSE:""&amp;A260,""PRICEOPEN"")"),965)</f>
        <v/>
      </c>
      <c r="D260" s="13">
        <f>IFERROR(__xludf.DUMMYFUNCTION("GOOGLEFINANCE(""NSE:""&amp;A260,""HIGH"")"),993.9)</f>
        <v/>
      </c>
      <c r="E260" s="13">
        <f>IFERROR(__xludf.DUMMYFUNCTION("GOOGLEFINANCE(""NSE:""&amp;A260,""LOW"")"),962)</f>
        <v/>
      </c>
      <c r="F260" s="13">
        <f>IFERROR(__xludf.DUMMYFUNCTION("GOOGLEFINANCE(""NSE:""&amp;A260,""closeyest"")"),968.7)</f>
        <v/>
      </c>
      <c r="G260" s="14">
        <f>(B260-C260)/B260</f>
        <v/>
      </c>
      <c r="H260" s="13">
        <f>IFERROR(__xludf.DUMMYFUNCTION("GOOGLEFINANCE(""NSE:""&amp;A260,""VOLUME"")"),648309)</f>
        <v/>
      </c>
      <c r="I260" s="13">
        <f>IFERROR(__xludf.DUMMYFUNCTION("AVERAGE(index(GOOGLEFINANCE(""NSE:""&amp;$A260, ""volume"", today()-21, today()-1), , 2))"),"#N/A")</f>
        <v/>
      </c>
      <c r="J260" s="14">
        <f>(H260-I260)/I260</f>
        <v/>
      </c>
      <c r="K260" s="13">
        <f>IFERROR(__xludf.DUMMYFUNCTION("AVERAGE(index(GOOGLEFINANCE(""NSE:""&amp;$A260, ""close"", today()-6, today()-1), , 2))"),"#N/A")</f>
        <v/>
      </c>
      <c r="L260" s="13">
        <f>IFERROR(__xludf.DUMMYFUNCTION("AVERAGE(index(GOOGLEFINANCE(""NSE:""&amp;$A260, ""close"", today()-14, today()-1), , 2))"),"#N/A")</f>
        <v/>
      </c>
      <c r="M260" s="13">
        <f>IFERROR(__xludf.DUMMYFUNCTION("AVERAGE(index(GOOGLEFINANCE(""NSE:""&amp;$A260, ""close"", today()-22, today()-1), , 2))"),"#N/A")</f>
        <v/>
      </c>
      <c r="N260" s="13">
        <f>AG260</f>
        <v/>
      </c>
      <c r="O260" s="13">
        <f>AI260</f>
        <v/>
      </c>
      <c r="P260" s="13">
        <f>W260</f>
        <v/>
      </c>
      <c r="Q260" s="13">
        <f>Y260</f>
        <v/>
      </c>
      <c r="R260" s="15" t="n"/>
      <c r="S260" s="15">
        <f>LEFT(W260,2)&amp;LEFT(Y260,2)</f>
        <v/>
      </c>
      <c r="T260" s="15" t="n"/>
      <c r="U260" s="15">
        <f>IF(K260&lt;L260,1,0)</f>
        <v/>
      </c>
      <c r="V260" s="15">
        <f>IF(H260&gt;I260,1,0)</f>
        <v/>
      </c>
      <c r="W260" s="15">
        <f>IF(SUM(U260:V260)=2,"Anticipatory_Sell","No_Action")</f>
        <v/>
      </c>
      <c r="X260" s="15" t="n"/>
      <c r="Y260" s="15">
        <f>IF(SUM(Z260:AA260)=2,"Confirm_Sell","No_Action")</f>
        <v/>
      </c>
      <c r="Z260" s="15">
        <f>IF(H260&gt;I260,1,0)</f>
        <v/>
      </c>
      <c r="AA260" s="15">
        <f>IF(K260&lt;M260,1,0)</f>
        <v/>
      </c>
      <c r="AB260" s="15" t="n"/>
      <c r="AC260" s="15">
        <f>LEFT(AG260,2)&amp;LEFT(AI260,2)</f>
        <v/>
      </c>
      <c r="AD260" s="15" t="n"/>
      <c r="AE260" s="15">
        <f>IF(K260&gt;L260,1,0)</f>
        <v/>
      </c>
      <c r="AF260" s="16">
        <f>IF(H260&gt;I260,1,0)</f>
        <v/>
      </c>
      <c r="AG260" s="16">
        <f>IF(SUM(AE260:AF260)=2,"Anticipatory_Buy","No_Action")</f>
        <v/>
      </c>
      <c r="AH260" s="15" t="n"/>
      <c r="AI260" s="15">
        <f>IF(SUM(AJ260:AK260)=2,"Confirm_Buy","No_Action")</f>
        <v/>
      </c>
      <c r="AJ260" s="15">
        <f>IF(H260&gt;I260,1,0)</f>
        <v/>
      </c>
      <c r="AK260" s="15">
        <f>IF(K260&gt;M260,1,0)</f>
        <v/>
      </c>
    </row>
    <row r="261" ht="14.5" customHeight="1">
      <c r="A261" s="12" t="inlineStr">
        <is>
          <t>RAMKY</t>
        </is>
      </c>
      <c r="B261" s="13">
        <f>IFERROR(__xludf.DUMMYFUNCTION("GOOGLEFINANCE(""NSE:""&amp;A261,""PRICE"")"),658)</f>
        <v/>
      </c>
      <c r="C261" s="13">
        <f>IFERROR(__xludf.DUMMYFUNCTION("GOOGLEFINANCE(""NSE:""&amp;A261,""PRICEOPEN"")"),656)</f>
        <v/>
      </c>
      <c r="D261" s="13">
        <f>IFERROR(__xludf.DUMMYFUNCTION("GOOGLEFINANCE(""NSE:""&amp;A261,""HIGH"")"),693.2)</f>
        <v/>
      </c>
      <c r="E261" s="13">
        <f>IFERROR(__xludf.DUMMYFUNCTION("GOOGLEFINANCE(""NSE:""&amp;A261,""LOW"")"),650.45)</f>
        <v/>
      </c>
      <c r="F261" s="13">
        <f>IFERROR(__xludf.DUMMYFUNCTION("GOOGLEFINANCE(""NSE:""&amp;A261,""closeyest"")"),663)</f>
        <v/>
      </c>
      <c r="G261" s="14">
        <f>(B261-C261)/B261</f>
        <v/>
      </c>
      <c r="H261" s="13">
        <f>IFERROR(__xludf.DUMMYFUNCTION("GOOGLEFINANCE(""NSE:""&amp;A261,""VOLUME"")"),199316)</f>
        <v/>
      </c>
      <c r="I261" s="13">
        <f>IFERROR(__xludf.DUMMYFUNCTION("AVERAGE(index(GOOGLEFINANCE(""NSE:""&amp;$A261, ""volume"", today()-21, today()-1), , 2))"),"#N/A")</f>
        <v/>
      </c>
      <c r="J261" s="14">
        <f>(H261-I261)/I261</f>
        <v/>
      </c>
      <c r="K261" s="13">
        <f>IFERROR(__xludf.DUMMYFUNCTION("AVERAGE(index(GOOGLEFINANCE(""NSE:""&amp;$A261, ""close"", today()-6, today()-1), , 2))"),"#N/A")</f>
        <v/>
      </c>
      <c r="L261" s="13">
        <f>IFERROR(__xludf.DUMMYFUNCTION("AVERAGE(index(GOOGLEFINANCE(""NSE:""&amp;$A261, ""close"", today()-14, today()-1), , 2))"),"#N/A")</f>
        <v/>
      </c>
      <c r="M261" s="13">
        <f>IFERROR(__xludf.DUMMYFUNCTION("AVERAGE(index(GOOGLEFINANCE(""NSE:""&amp;$A261, ""close"", today()-22, today()-1), , 2))"),"#N/A")</f>
        <v/>
      </c>
      <c r="N261" s="13">
        <f>AG261</f>
        <v/>
      </c>
      <c r="O261" s="13">
        <f>AI261</f>
        <v/>
      </c>
      <c r="P261" s="13">
        <f>W261</f>
        <v/>
      </c>
      <c r="Q261" s="13">
        <f>Y261</f>
        <v/>
      </c>
      <c r="R261" s="15" t="n"/>
      <c r="S261" s="15">
        <f>LEFT(W261,2)&amp;LEFT(Y261,2)</f>
        <v/>
      </c>
      <c r="T261" s="15" t="n"/>
      <c r="U261" s="15">
        <f>IF(K261&lt;L261,1,0)</f>
        <v/>
      </c>
      <c r="V261" s="15">
        <f>IF(H261&gt;I261,1,0)</f>
        <v/>
      </c>
      <c r="W261" s="15">
        <f>IF(SUM(U261:V261)=2,"Anticipatory_Sell","No_Action")</f>
        <v/>
      </c>
      <c r="X261" s="15" t="n"/>
      <c r="Y261" s="15">
        <f>IF(SUM(Z261:AA261)=2,"Confirm_Sell","No_Action")</f>
        <v/>
      </c>
      <c r="Z261" s="15">
        <f>IF(H261&gt;I261,1,0)</f>
        <v/>
      </c>
      <c r="AA261" s="15">
        <f>IF(K261&lt;M261,1,0)</f>
        <v/>
      </c>
      <c r="AB261" s="15" t="n"/>
      <c r="AC261" s="15">
        <f>LEFT(AG261,2)&amp;LEFT(AI261,2)</f>
        <v/>
      </c>
      <c r="AD261" s="15" t="n"/>
      <c r="AE261" s="15">
        <f>IF(K261&gt;L261,1,0)</f>
        <v/>
      </c>
      <c r="AF261" s="16">
        <f>IF(H261&gt;I261,1,0)</f>
        <v/>
      </c>
      <c r="AG261" s="16">
        <f>IF(SUM(AE261:AF261)=2,"Anticipatory_Buy","No_Action")</f>
        <v/>
      </c>
      <c r="AH261" s="15" t="n"/>
      <c r="AI261" s="15">
        <f>IF(SUM(AJ261:AK261)=2,"Confirm_Buy","No_Action")</f>
        <v/>
      </c>
      <c r="AJ261" s="15">
        <f>IF(H261&gt;I261,1,0)</f>
        <v/>
      </c>
      <c r="AK261" s="15">
        <f>IF(K261&gt;M261,1,0)</f>
        <v/>
      </c>
    </row>
    <row r="262" ht="14.5" customHeight="1">
      <c r="A262" s="12" t="inlineStr">
        <is>
          <t>RATNAMANI</t>
        </is>
      </c>
      <c r="B262" s="13">
        <f>IFERROR(__xludf.DUMMYFUNCTION("GOOGLEFINANCE(""NSE:""&amp;A262,""PRICE"")"),3409)</f>
        <v/>
      </c>
      <c r="C262" s="13">
        <f>IFERROR(__xludf.DUMMYFUNCTION("GOOGLEFINANCE(""NSE:""&amp;A262,""PRICEOPEN"")"),3326)</f>
        <v/>
      </c>
      <c r="D262" s="13">
        <f>IFERROR(__xludf.DUMMYFUNCTION("GOOGLEFINANCE(""NSE:""&amp;A262,""HIGH"")"),3430.5)</f>
        <v/>
      </c>
      <c r="E262" s="13">
        <f>IFERROR(__xludf.DUMMYFUNCTION("GOOGLEFINANCE(""NSE:""&amp;A262,""LOW"")"),3320)</f>
        <v/>
      </c>
      <c r="F262" s="13">
        <f>IFERROR(__xludf.DUMMYFUNCTION("GOOGLEFINANCE(""NSE:""&amp;A262,""closeyest"")"),3344.3)</f>
        <v/>
      </c>
      <c r="G262" s="14">
        <f>(B262-C262)/B262</f>
        <v/>
      </c>
      <c r="H262" s="13">
        <f>IFERROR(__xludf.DUMMYFUNCTION("GOOGLEFINANCE(""NSE:""&amp;A262,""VOLUME"")"),31916)</f>
        <v/>
      </c>
      <c r="I262" s="13">
        <f>IFERROR(__xludf.DUMMYFUNCTION("AVERAGE(index(GOOGLEFINANCE(""NSE:""&amp;$A262, ""volume"", today()-21, today()-1), , 2))"),"#N/A")</f>
        <v/>
      </c>
      <c r="J262" s="14">
        <f>(H262-I262)/I262</f>
        <v/>
      </c>
      <c r="K262" s="13">
        <f>IFERROR(__xludf.DUMMYFUNCTION("AVERAGE(index(GOOGLEFINANCE(""NSE:""&amp;$A262, ""close"", today()-6, today()-1), , 2))"),"#N/A")</f>
        <v/>
      </c>
      <c r="L262" s="13">
        <f>IFERROR(__xludf.DUMMYFUNCTION("AVERAGE(index(GOOGLEFINANCE(""NSE:""&amp;$A262, ""close"", today()-14, today()-1), , 2))"),"#N/A")</f>
        <v/>
      </c>
      <c r="M262" s="13">
        <f>IFERROR(__xludf.DUMMYFUNCTION("AVERAGE(index(GOOGLEFINANCE(""NSE:""&amp;$A262, ""close"", today()-22, today()-1), , 2))"),"#N/A")</f>
        <v/>
      </c>
      <c r="N262" s="13">
        <f>AG262</f>
        <v/>
      </c>
      <c r="O262" s="13">
        <f>AI262</f>
        <v/>
      </c>
      <c r="P262" s="13">
        <f>W262</f>
        <v/>
      </c>
      <c r="Q262" s="13">
        <f>Y262</f>
        <v/>
      </c>
      <c r="R262" s="15" t="n"/>
      <c r="S262" s="15">
        <f>LEFT(W262,2)&amp;LEFT(Y262,2)</f>
        <v/>
      </c>
      <c r="T262" s="15" t="n"/>
      <c r="U262" s="15">
        <f>IF(K262&lt;L262,1,0)</f>
        <v/>
      </c>
      <c r="V262" s="15">
        <f>IF(H262&gt;I262,1,0)</f>
        <v/>
      </c>
      <c r="W262" s="15">
        <f>IF(SUM(U262:V262)=2,"Anticipatory_Sell","No_Action")</f>
        <v/>
      </c>
      <c r="X262" s="15" t="n"/>
      <c r="Y262" s="15">
        <f>IF(SUM(Z262:AA262)=2,"Confirm_Sell","No_Action")</f>
        <v/>
      </c>
      <c r="Z262" s="15">
        <f>IF(H262&gt;I262,1,0)</f>
        <v/>
      </c>
      <c r="AA262" s="15">
        <f>IF(K262&lt;M262,1,0)</f>
        <v/>
      </c>
      <c r="AB262" s="15" t="n"/>
      <c r="AC262" s="15">
        <f>LEFT(AG262,2)&amp;LEFT(AI262,2)</f>
        <v/>
      </c>
      <c r="AD262" s="15" t="n"/>
      <c r="AE262" s="15">
        <f>IF(K262&gt;L262,1,0)</f>
        <v/>
      </c>
      <c r="AF262" s="16">
        <f>IF(H262&gt;I262,1,0)</f>
        <v/>
      </c>
      <c r="AG262" s="16">
        <f>IF(SUM(AE262:AF262)=2,"Anticipatory_Buy","No_Action")</f>
        <v/>
      </c>
      <c r="AH262" s="15" t="n"/>
      <c r="AI262" s="15">
        <f>IF(SUM(AJ262:AK262)=2,"Confirm_Buy","No_Action")</f>
        <v/>
      </c>
      <c r="AJ262" s="15">
        <f>IF(H262&gt;I262,1,0)</f>
        <v/>
      </c>
      <c r="AK262" s="15">
        <f>IF(K262&gt;M262,1,0)</f>
        <v/>
      </c>
    </row>
    <row r="263" ht="14.5" customHeight="1">
      <c r="A263" s="12" t="inlineStr">
        <is>
          <t>RELIANCE</t>
        </is>
      </c>
      <c r="B263" s="13">
        <f>IFERROR(__xludf.DUMMYFUNCTION("GOOGLEFINANCE(""NSE:""&amp;A263,""PRICE"")"),1296.4)</f>
        <v/>
      </c>
      <c r="C263" s="13">
        <f>IFERROR(__xludf.DUMMYFUNCTION("GOOGLEFINANCE(""NSE:""&amp;A263,""PRICEOPEN"")"),1303)</f>
        <v/>
      </c>
      <c r="D263" s="13">
        <f>IFERROR(__xludf.DUMMYFUNCTION("GOOGLEFINANCE(""NSE:""&amp;A263,""HIGH"")"),1315)</f>
        <v/>
      </c>
      <c r="E263" s="13">
        <f>IFERROR(__xludf.DUMMYFUNCTION("GOOGLEFINANCE(""NSE:""&amp;A263,""LOW"")"),1293.1)</f>
        <v/>
      </c>
      <c r="F263" s="13">
        <f>IFERROR(__xludf.DUMMYFUNCTION("GOOGLEFINANCE(""NSE:""&amp;A263,""closeyest"")"),1311.55)</f>
        <v/>
      </c>
      <c r="G263" s="14">
        <f>(B263-C263)/B263</f>
        <v/>
      </c>
      <c r="H263" s="13">
        <f>IFERROR(__xludf.DUMMYFUNCTION("GOOGLEFINANCE(""NSE:""&amp;A263,""VOLUME"")"),14650002)</f>
        <v/>
      </c>
      <c r="I263" s="13">
        <f>IFERROR(__xludf.DUMMYFUNCTION("AVERAGE(index(GOOGLEFINANCE(""NSE:""&amp;$A263, ""volume"", today()-21, today()-1), , 2))"),"#N/A")</f>
        <v/>
      </c>
      <c r="J263" s="14">
        <f>(H263-I263)/I263</f>
        <v/>
      </c>
      <c r="K263" s="13">
        <f>IFERROR(__xludf.DUMMYFUNCTION("AVERAGE(index(GOOGLEFINANCE(""NSE:""&amp;$A263, ""close"", today()-6, today()-1), , 2))"),"#N/A")</f>
        <v/>
      </c>
      <c r="L263" s="13">
        <f>IFERROR(__xludf.DUMMYFUNCTION("AVERAGE(index(GOOGLEFINANCE(""NSE:""&amp;$A263, ""close"", today()-14, today()-1), , 2))"),"#N/A")</f>
        <v/>
      </c>
      <c r="M263" s="13">
        <f>IFERROR(__xludf.DUMMYFUNCTION("AVERAGE(index(GOOGLEFINANCE(""NSE:""&amp;$A263, ""close"", today()-22, today()-1), , 2))"),"#N/A")</f>
        <v/>
      </c>
      <c r="N263" s="13">
        <f>AG263</f>
        <v/>
      </c>
      <c r="O263" s="13">
        <f>AI263</f>
        <v/>
      </c>
      <c r="P263" s="13">
        <f>W263</f>
        <v/>
      </c>
      <c r="Q263" s="13">
        <f>Y263</f>
        <v/>
      </c>
      <c r="R263" s="15" t="n"/>
      <c r="S263" s="15">
        <f>LEFT(W263,2)&amp;LEFT(Y263,2)</f>
        <v/>
      </c>
      <c r="T263" s="15" t="n"/>
      <c r="U263" s="15">
        <f>IF(K263&lt;L263,1,0)</f>
        <v/>
      </c>
      <c r="V263" s="15">
        <f>IF(H263&gt;I263,1,0)</f>
        <v/>
      </c>
      <c r="W263" s="15">
        <f>IF(SUM(U263:V263)=2,"Anticipatory_Sell","No_Action")</f>
        <v/>
      </c>
      <c r="X263" s="15" t="n"/>
      <c r="Y263" s="15">
        <f>IF(SUM(Z263:AA263)=2,"Confirm_Sell","No_Action")</f>
        <v/>
      </c>
      <c r="Z263" s="15">
        <f>IF(H263&gt;I263,1,0)</f>
        <v/>
      </c>
      <c r="AA263" s="15">
        <f>IF(K263&lt;M263,1,0)</f>
        <v/>
      </c>
      <c r="AB263" s="15" t="n"/>
      <c r="AC263" s="15">
        <f>LEFT(AG263,2)&amp;LEFT(AI263,2)</f>
        <v/>
      </c>
      <c r="AD263" s="15" t="n"/>
      <c r="AE263" s="15">
        <f>IF(K263&gt;L263,1,0)</f>
        <v/>
      </c>
      <c r="AF263" s="16">
        <f>IF(H263&gt;I263,1,0)</f>
        <v/>
      </c>
      <c r="AG263" s="16">
        <f>IF(SUM(AE263:AF263)=2,"Anticipatory_Buy","No_Action")</f>
        <v/>
      </c>
      <c r="AH263" s="15" t="n"/>
      <c r="AI263" s="15">
        <f>IF(SUM(AJ263:AK263)=2,"Confirm_Buy","No_Action")</f>
        <v/>
      </c>
      <c r="AJ263" s="15">
        <f>IF(H263&gt;I263,1,0)</f>
        <v/>
      </c>
      <c r="AK263" s="15">
        <f>IF(K263&gt;M263,1,0)</f>
        <v/>
      </c>
    </row>
    <row r="264" ht="14.5" customHeight="1">
      <c r="A264" s="12" t="inlineStr">
        <is>
          <t>REPCOHOME</t>
        </is>
      </c>
      <c r="B264" s="13">
        <f>IFERROR(__xludf.DUMMYFUNCTION("GOOGLEFINANCE(""NSE:""&amp;A264,""PRICE"")"),474)</f>
        <v/>
      </c>
      <c r="C264" s="13">
        <f>IFERROR(__xludf.DUMMYFUNCTION("GOOGLEFINANCE(""NSE:""&amp;A264,""PRICEOPEN"")"),479.45)</f>
        <v/>
      </c>
      <c r="D264" s="13">
        <f>IFERROR(__xludf.DUMMYFUNCTION("GOOGLEFINANCE(""NSE:""&amp;A264,""HIGH"")"),493)</f>
        <v/>
      </c>
      <c r="E264" s="13">
        <f>IFERROR(__xludf.DUMMYFUNCTION("GOOGLEFINANCE(""NSE:""&amp;A264,""LOW"")"),472)</f>
        <v/>
      </c>
      <c r="F264" s="13">
        <f>IFERROR(__xludf.DUMMYFUNCTION("GOOGLEFINANCE(""NSE:""&amp;A264,""closeyest"")"),474.55)</f>
        <v/>
      </c>
      <c r="G264" s="14">
        <f>(B264-C264)/B264</f>
        <v/>
      </c>
      <c r="H264" s="13">
        <f>IFERROR(__xludf.DUMMYFUNCTION("GOOGLEFINANCE(""NSE:""&amp;A264,""VOLUME"")"),276843)</f>
        <v/>
      </c>
      <c r="I264" s="13">
        <f>IFERROR(__xludf.DUMMYFUNCTION("AVERAGE(index(GOOGLEFINANCE(""NSE:""&amp;$A264, ""volume"", today()-21, today()-1), , 2))"),"#N/A")</f>
        <v/>
      </c>
      <c r="J264" s="14">
        <f>(H264-I264)/I264</f>
        <v/>
      </c>
      <c r="K264" s="13">
        <f>IFERROR(__xludf.DUMMYFUNCTION("AVERAGE(index(GOOGLEFINANCE(""NSE:""&amp;$A264, ""close"", today()-6, today()-1), , 2))"),"#N/A")</f>
        <v/>
      </c>
      <c r="L264" s="13">
        <f>IFERROR(__xludf.DUMMYFUNCTION("AVERAGE(index(GOOGLEFINANCE(""NSE:""&amp;$A264, ""close"", today()-14, today()-1), , 2))"),"#N/A")</f>
        <v/>
      </c>
      <c r="M264" s="13">
        <f>IFERROR(__xludf.DUMMYFUNCTION("AVERAGE(index(GOOGLEFINANCE(""NSE:""&amp;$A264, ""close"", today()-22, today()-1), , 2))"),"#N/A")</f>
        <v/>
      </c>
      <c r="N264" s="13">
        <f>AG264</f>
        <v/>
      </c>
      <c r="O264" s="13">
        <f>AI264</f>
        <v/>
      </c>
      <c r="P264" s="13">
        <f>W264</f>
        <v/>
      </c>
      <c r="Q264" s="13">
        <f>Y264</f>
        <v/>
      </c>
      <c r="R264" s="15" t="n"/>
      <c r="S264" s="15">
        <f>LEFT(W264,2)&amp;LEFT(Y264,2)</f>
        <v/>
      </c>
      <c r="T264" s="15" t="n"/>
      <c r="U264" s="15">
        <f>IF(K264&lt;L264,1,0)</f>
        <v/>
      </c>
      <c r="V264" s="15">
        <f>IF(H264&gt;I264,1,0)</f>
        <v/>
      </c>
      <c r="W264" s="15">
        <f>IF(SUM(U264:V264)=2,"Anticipatory_Sell","No_Action")</f>
        <v/>
      </c>
      <c r="X264" s="15" t="n"/>
      <c r="Y264" s="15">
        <f>IF(SUM(Z264:AA264)=2,"Confirm_Sell","No_Action")</f>
        <v/>
      </c>
      <c r="Z264" s="15">
        <f>IF(H264&gt;I264,1,0)</f>
        <v/>
      </c>
      <c r="AA264" s="15">
        <f>IF(K264&lt;M264,1,0)</f>
        <v/>
      </c>
      <c r="AB264" s="15" t="n"/>
      <c r="AC264" s="15">
        <f>LEFT(AG264,2)&amp;LEFT(AI264,2)</f>
        <v/>
      </c>
      <c r="AD264" s="15" t="n"/>
      <c r="AE264" s="15">
        <f>IF(K264&gt;L264,1,0)</f>
        <v/>
      </c>
      <c r="AF264" s="16">
        <f>IF(H264&gt;I264,1,0)</f>
        <v/>
      </c>
      <c r="AG264" s="16">
        <f>IF(SUM(AE264:AF264)=2,"Anticipatory_Buy","No_Action")</f>
        <v/>
      </c>
      <c r="AH264" s="15" t="n"/>
      <c r="AI264" s="15">
        <f>IF(SUM(AJ264:AK264)=2,"Confirm_Buy","No_Action")</f>
        <v/>
      </c>
      <c r="AJ264" s="15">
        <f>IF(H264&gt;I264,1,0)</f>
        <v/>
      </c>
      <c r="AK264" s="15">
        <f>IF(K264&gt;M264,1,0)</f>
        <v/>
      </c>
    </row>
    <row r="265" ht="14.5" customHeight="1">
      <c r="A265" s="12" t="inlineStr">
        <is>
          <t>RESPONIND</t>
        </is>
      </c>
      <c r="B265" s="13">
        <f>IFERROR(__xludf.DUMMYFUNCTION("GOOGLEFINANCE(""NSE:""&amp;A265,""PRICE"")"),268)</f>
        <v/>
      </c>
      <c r="C265" s="13">
        <f>IFERROR(__xludf.DUMMYFUNCTION("GOOGLEFINANCE(""NSE:""&amp;A265,""PRICEOPEN"")"),269)</f>
        <v/>
      </c>
      <c r="D265" s="13">
        <f>IFERROR(__xludf.DUMMYFUNCTION("GOOGLEFINANCE(""NSE:""&amp;A265,""HIGH"")"),269.9)</f>
        <v/>
      </c>
      <c r="E265" s="13">
        <f>IFERROR(__xludf.DUMMYFUNCTION("GOOGLEFINANCE(""NSE:""&amp;A265,""LOW"")"),266)</f>
        <v/>
      </c>
      <c r="F265" s="13">
        <f>IFERROR(__xludf.DUMMYFUNCTION("GOOGLEFINANCE(""NSE:""&amp;A265,""closeyest"")"),268.8)</f>
        <v/>
      </c>
      <c r="G265" s="14">
        <f>(B265-C265)/B265</f>
        <v/>
      </c>
      <c r="H265" s="13">
        <f>IFERROR(__xludf.DUMMYFUNCTION("GOOGLEFINANCE(""NSE:""&amp;A265,""VOLUME"")"),173871)</f>
        <v/>
      </c>
      <c r="I265" s="13">
        <f>IFERROR(__xludf.DUMMYFUNCTION("AVERAGE(index(GOOGLEFINANCE(""NSE:""&amp;$A265, ""volume"", today()-21, today()-1), , 2))"),"#N/A")</f>
        <v/>
      </c>
      <c r="J265" s="14">
        <f>(H265-I265)/I265</f>
        <v/>
      </c>
      <c r="K265" s="13">
        <f>IFERROR(__xludf.DUMMYFUNCTION("AVERAGE(index(GOOGLEFINANCE(""NSE:""&amp;$A265, ""close"", today()-6, today()-1), , 2))"),"#N/A")</f>
        <v/>
      </c>
      <c r="L265" s="13">
        <f>IFERROR(__xludf.DUMMYFUNCTION("AVERAGE(index(GOOGLEFINANCE(""NSE:""&amp;$A265, ""close"", today()-14, today()-1), , 2))"),"#N/A")</f>
        <v/>
      </c>
      <c r="M265" s="13">
        <f>IFERROR(__xludf.DUMMYFUNCTION("AVERAGE(index(GOOGLEFINANCE(""NSE:""&amp;$A265, ""close"", today()-22, today()-1), , 2))"),"#N/A")</f>
        <v/>
      </c>
      <c r="N265" s="13">
        <f>AG265</f>
        <v/>
      </c>
      <c r="O265" s="13">
        <f>AI265</f>
        <v/>
      </c>
      <c r="P265" s="13">
        <f>W265</f>
        <v/>
      </c>
      <c r="Q265" s="13">
        <f>Y265</f>
        <v/>
      </c>
      <c r="R265" s="15" t="n"/>
      <c r="S265" s="15">
        <f>LEFT(W265,2)&amp;LEFT(Y265,2)</f>
        <v/>
      </c>
      <c r="T265" s="15" t="n"/>
      <c r="U265" s="15">
        <f>IF(K265&lt;L265,1,0)</f>
        <v/>
      </c>
      <c r="V265" s="15">
        <f>IF(H265&gt;I265,1,0)</f>
        <v/>
      </c>
      <c r="W265" s="15">
        <f>IF(SUM(U265:V265)=2,"Anticipatory_Sell","No_Action")</f>
        <v/>
      </c>
      <c r="X265" s="15" t="n"/>
      <c r="Y265" s="15">
        <f>IF(SUM(Z265:AA265)=2,"Confirm_Sell","No_Action")</f>
        <v/>
      </c>
      <c r="Z265" s="15">
        <f>IF(H265&gt;I265,1,0)</f>
        <v/>
      </c>
      <c r="AA265" s="15">
        <f>IF(K265&lt;M265,1,0)</f>
        <v/>
      </c>
      <c r="AB265" s="15" t="n"/>
      <c r="AC265" s="15">
        <f>LEFT(AG265,2)&amp;LEFT(AI265,2)</f>
        <v/>
      </c>
      <c r="AD265" s="15" t="n"/>
      <c r="AE265" s="15">
        <f>IF(K265&gt;L265,1,0)</f>
        <v/>
      </c>
      <c r="AF265" s="16">
        <f>IF(H265&gt;I265,1,0)</f>
        <v/>
      </c>
      <c r="AG265" s="16">
        <f>IF(SUM(AE265:AF265)=2,"Anticipatory_Buy","No_Action")</f>
        <v/>
      </c>
      <c r="AH265" s="15" t="n"/>
      <c r="AI265" s="15">
        <f>IF(SUM(AJ265:AK265)=2,"Confirm_Buy","No_Action")</f>
        <v/>
      </c>
      <c r="AJ265" s="15">
        <f>IF(H265&gt;I265,1,0)</f>
        <v/>
      </c>
      <c r="AK265" s="15">
        <f>IF(K265&gt;M265,1,0)</f>
        <v/>
      </c>
    </row>
    <row r="266" ht="14.5" customHeight="1">
      <c r="A266" s="12" t="inlineStr">
        <is>
          <t>RITES</t>
        </is>
      </c>
      <c r="B266" s="13">
        <f>IFERROR(__xludf.DUMMYFUNCTION("GOOGLEFINANCE(""NSE:""&amp;A266,""PRICE"")"),302.2)</f>
        <v/>
      </c>
      <c r="C266" s="13">
        <f>IFERROR(__xludf.DUMMYFUNCTION("GOOGLEFINANCE(""NSE:""&amp;A266,""PRICEOPEN"")"),303)</f>
        <v/>
      </c>
      <c r="D266" s="13">
        <f>IFERROR(__xludf.DUMMYFUNCTION("GOOGLEFINANCE(""NSE:""&amp;A266,""HIGH"")"),309.85)</f>
        <v/>
      </c>
      <c r="E266" s="13">
        <f>IFERROR(__xludf.DUMMYFUNCTION("GOOGLEFINANCE(""NSE:""&amp;A266,""LOW"")"),299.7)</f>
        <v/>
      </c>
      <c r="F266" s="13">
        <f>IFERROR(__xludf.DUMMYFUNCTION("GOOGLEFINANCE(""NSE:""&amp;A266,""closeyest"")"),296.2)</f>
        <v/>
      </c>
      <c r="G266" s="14">
        <f>(B266-C266)/B266</f>
        <v/>
      </c>
      <c r="H266" s="13">
        <f>IFERROR(__xludf.DUMMYFUNCTION("GOOGLEFINANCE(""NSE:""&amp;A266,""VOLUME"")"),6341544)</f>
        <v/>
      </c>
      <c r="I266" s="13">
        <f>IFERROR(__xludf.DUMMYFUNCTION("AVERAGE(index(GOOGLEFINANCE(""NSE:""&amp;$A266, ""volume"", today()-21, today()-1), , 2))"),"#N/A")</f>
        <v/>
      </c>
      <c r="J266" s="14">
        <f>(H266-I266)/I266</f>
        <v/>
      </c>
      <c r="K266" s="13">
        <f>IFERROR(__xludf.DUMMYFUNCTION("AVERAGE(index(GOOGLEFINANCE(""NSE:""&amp;$A266, ""close"", today()-6, today()-1), , 2))"),"#N/A")</f>
        <v/>
      </c>
      <c r="L266" s="13">
        <f>IFERROR(__xludf.DUMMYFUNCTION("AVERAGE(index(GOOGLEFINANCE(""NSE:""&amp;$A266, ""close"", today()-14, today()-1), , 2))"),"#N/A")</f>
        <v/>
      </c>
      <c r="M266" s="13">
        <f>IFERROR(__xludf.DUMMYFUNCTION("AVERAGE(index(GOOGLEFINANCE(""NSE:""&amp;$A266, ""close"", today()-22, today()-1), , 2))"),"#N/A")</f>
        <v/>
      </c>
      <c r="N266" s="13">
        <f>AG266</f>
        <v/>
      </c>
      <c r="O266" s="13">
        <f>AI266</f>
        <v/>
      </c>
      <c r="P266" s="13">
        <f>W266</f>
        <v/>
      </c>
      <c r="Q266" s="13">
        <f>Y266</f>
        <v/>
      </c>
      <c r="R266" s="15" t="n"/>
      <c r="S266" s="15">
        <f>LEFT(W266,2)&amp;LEFT(Y266,2)</f>
        <v/>
      </c>
      <c r="T266" s="15" t="n"/>
      <c r="U266" s="15">
        <f>IF(K266&lt;L266,1,0)</f>
        <v/>
      </c>
      <c r="V266" s="15">
        <f>IF(H266&gt;I266,1,0)</f>
        <v/>
      </c>
      <c r="W266" s="15">
        <f>IF(SUM(U266:V266)=2,"Anticipatory_Sell","No_Action")</f>
        <v/>
      </c>
      <c r="X266" s="15" t="n"/>
      <c r="Y266" s="15">
        <f>IF(SUM(Z266:AA266)=2,"Confirm_Sell","No_Action")</f>
        <v/>
      </c>
      <c r="Z266" s="15">
        <f>IF(H266&gt;I266,1,0)</f>
        <v/>
      </c>
      <c r="AA266" s="15">
        <f>IF(K266&lt;M266,1,0)</f>
        <v/>
      </c>
      <c r="AB266" s="15" t="n"/>
      <c r="AC266" s="15">
        <f>LEFT(AG266,2)&amp;LEFT(AI266,2)</f>
        <v/>
      </c>
      <c r="AD266" s="15" t="n"/>
      <c r="AE266" s="15">
        <f>IF(K266&gt;L266,1,0)</f>
        <v/>
      </c>
      <c r="AF266" s="16">
        <f>IF(H266&gt;I266,1,0)</f>
        <v/>
      </c>
      <c r="AG266" s="16">
        <f>IF(SUM(AE266:AF266)=2,"Anticipatory_Buy","No_Action")</f>
        <v/>
      </c>
      <c r="AH266" s="15" t="n"/>
      <c r="AI266" s="15">
        <f>IF(SUM(AJ266:AK266)=2,"Confirm_Buy","No_Action")</f>
        <v/>
      </c>
      <c r="AJ266" s="15">
        <f>IF(H266&gt;I266,1,0)</f>
        <v/>
      </c>
      <c r="AK266" s="15">
        <f>IF(K266&gt;M266,1,0)</f>
        <v/>
      </c>
    </row>
    <row r="267" ht="14.5" customHeight="1">
      <c r="A267" s="12" t="inlineStr">
        <is>
          <t>ROSSARI</t>
        </is>
      </c>
      <c r="B267" s="13">
        <f>IFERROR(__xludf.DUMMYFUNCTION("GOOGLEFINANCE(""NSE:""&amp;A267,""PRICE"")"),819.55)</f>
        <v/>
      </c>
      <c r="C267" s="13">
        <f>IFERROR(__xludf.DUMMYFUNCTION("GOOGLEFINANCE(""NSE:""&amp;A267,""PRICEOPEN"")"),825)</f>
        <v/>
      </c>
      <c r="D267" s="13">
        <f>IFERROR(__xludf.DUMMYFUNCTION("GOOGLEFINANCE(""NSE:""&amp;A267,""HIGH"")"),831.5)</f>
        <v/>
      </c>
      <c r="E267" s="13">
        <f>IFERROR(__xludf.DUMMYFUNCTION("GOOGLEFINANCE(""NSE:""&amp;A267,""LOW"")"),818.05)</f>
        <v/>
      </c>
      <c r="F267" s="13">
        <f>IFERROR(__xludf.DUMMYFUNCTION("GOOGLEFINANCE(""NSE:""&amp;A267,""closeyest"")"),822.4)</f>
        <v/>
      </c>
      <c r="G267" s="14">
        <f>(B267-C267)/B267</f>
        <v/>
      </c>
      <c r="H267" s="13">
        <f>IFERROR(__xludf.DUMMYFUNCTION("GOOGLEFINANCE(""NSE:""&amp;A267,""VOLUME"")"),34729)</f>
        <v/>
      </c>
      <c r="I267" s="13">
        <f>IFERROR(__xludf.DUMMYFUNCTION("AVERAGE(index(GOOGLEFINANCE(""NSE:""&amp;$A267, ""volume"", today()-21, today()-1), , 2))"),"#N/A")</f>
        <v/>
      </c>
      <c r="J267" s="14">
        <f>(H267-I267)/I267</f>
        <v/>
      </c>
      <c r="K267" s="13">
        <f>IFERROR(__xludf.DUMMYFUNCTION("AVERAGE(index(GOOGLEFINANCE(""NSE:""&amp;$A267, ""close"", today()-6, today()-1), , 2))"),"#N/A")</f>
        <v/>
      </c>
      <c r="L267" s="13">
        <f>IFERROR(__xludf.DUMMYFUNCTION("AVERAGE(index(GOOGLEFINANCE(""NSE:""&amp;$A267, ""close"", today()-14, today()-1), , 2))"),"#N/A")</f>
        <v/>
      </c>
      <c r="M267" s="13">
        <f>IFERROR(__xludf.DUMMYFUNCTION("AVERAGE(index(GOOGLEFINANCE(""NSE:""&amp;$A267, ""close"", today()-22, today()-1), , 2))"),"#N/A")</f>
        <v/>
      </c>
      <c r="N267" s="13">
        <f>AG267</f>
        <v/>
      </c>
      <c r="O267" s="13">
        <f>AI267</f>
        <v/>
      </c>
      <c r="P267" s="13">
        <f>W267</f>
        <v/>
      </c>
      <c r="Q267" s="13">
        <f>Y267</f>
        <v/>
      </c>
      <c r="R267" s="15" t="n"/>
      <c r="S267" s="15">
        <f>LEFT(W267,2)&amp;LEFT(Y267,2)</f>
        <v/>
      </c>
      <c r="T267" s="15" t="n"/>
      <c r="U267" s="15">
        <f>IF(K267&lt;L267,1,0)</f>
        <v/>
      </c>
      <c r="V267" s="15">
        <f>IF(H267&gt;I267,1,0)</f>
        <v/>
      </c>
      <c r="W267" s="15">
        <f>IF(SUM(U267:V267)=2,"Anticipatory_Sell","No_Action")</f>
        <v/>
      </c>
      <c r="X267" s="15" t="n"/>
      <c r="Y267" s="15">
        <f>IF(SUM(Z267:AA267)=2,"Confirm_Sell","No_Action")</f>
        <v/>
      </c>
      <c r="Z267" s="15">
        <f>IF(H267&gt;I267,1,0)</f>
        <v/>
      </c>
      <c r="AA267" s="15">
        <f>IF(K267&lt;M267,1,0)</f>
        <v/>
      </c>
      <c r="AB267" s="15" t="n"/>
      <c r="AC267" s="15">
        <f>LEFT(AG267,2)&amp;LEFT(AI267,2)</f>
        <v/>
      </c>
      <c r="AD267" s="15" t="n"/>
      <c r="AE267" s="15">
        <f>IF(K267&gt;L267,1,0)</f>
        <v/>
      </c>
      <c r="AF267" s="16">
        <f>IF(H267&gt;I267,1,0)</f>
        <v/>
      </c>
      <c r="AG267" s="16">
        <f>IF(SUM(AE267:AF267)=2,"Anticipatory_Buy","No_Action")</f>
        <v/>
      </c>
      <c r="AH267" s="15" t="n"/>
      <c r="AI267" s="15">
        <f>IF(SUM(AJ267:AK267)=2,"Confirm_Buy","No_Action")</f>
        <v/>
      </c>
      <c r="AJ267" s="15">
        <f>IF(H267&gt;I267,1,0)</f>
        <v/>
      </c>
      <c r="AK267" s="15">
        <f>IF(K267&gt;M267,1,0)</f>
        <v/>
      </c>
    </row>
    <row r="268" ht="14.5" customHeight="1">
      <c r="A268" s="12" t="inlineStr">
        <is>
          <t>ROTO</t>
        </is>
      </c>
      <c r="B268" s="13">
        <f>IFERROR(__xludf.DUMMYFUNCTION("GOOGLEFINANCE(""NSE:""&amp;A268,""PRICE"")"),304.7)</f>
        <v/>
      </c>
      <c r="C268" s="13">
        <f>IFERROR(__xludf.DUMMYFUNCTION("GOOGLEFINANCE(""NSE:""&amp;A268,""PRICEOPEN"")"),303)</f>
        <v/>
      </c>
      <c r="D268" s="13">
        <f>IFERROR(__xludf.DUMMYFUNCTION("GOOGLEFINANCE(""NSE:""&amp;A268,""HIGH"")"),320)</f>
        <v/>
      </c>
      <c r="E268" s="13">
        <f>IFERROR(__xludf.DUMMYFUNCTION("GOOGLEFINANCE(""NSE:""&amp;A268,""LOW"")"),297.1)</f>
        <v/>
      </c>
      <c r="F268" s="13">
        <f>IFERROR(__xludf.DUMMYFUNCTION("GOOGLEFINANCE(""NSE:""&amp;A268,""closeyest"")"),282.2)</f>
        <v/>
      </c>
      <c r="G268" s="14">
        <f>(B268-C268)/B268</f>
        <v/>
      </c>
      <c r="H268" s="13">
        <f>IFERROR(__xludf.DUMMYFUNCTION("GOOGLEFINANCE(""NSE:""&amp;A268,""VOLUME"")"),2652122)</f>
        <v/>
      </c>
      <c r="I268" s="13">
        <f>IFERROR(__xludf.DUMMYFUNCTION("AVERAGE(index(GOOGLEFINANCE(""NSE:""&amp;$A268, ""volume"", today()-21, today()-1), , 2))"),"#N/A")</f>
        <v/>
      </c>
      <c r="J268" s="14">
        <f>(H268-I268)/I268</f>
        <v/>
      </c>
      <c r="K268" s="13">
        <f>IFERROR(__xludf.DUMMYFUNCTION("AVERAGE(index(GOOGLEFINANCE(""NSE:""&amp;$A268, ""close"", today()-6, today()-1), , 2))"),"#N/A")</f>
        <v/>
      </c>
      <c r="L268" s="13">
        <f>IFERROR(__xludf.DUMMYFUNCTION("AVERAGE(index(GOOGLEFINANCE(""NSE:""&amp;$A268, ""close"", today()-14, today()-1), , 2))"),"#N/A")</f>
        <v/>
      </c>
      <c r="M268" s="13">
        <f>IFERROR(__xludf.DUMMYFUNCTION("AVERAGE(index(GOOGLEFINANCE(""NSE:""&amp;$A268, ""close"", today()-22, today()-1), , 2))"),"#N/A")</f>
        <v/>
      </c>
      <c r="N268" s="13">
        <f>AG268</f>
        <v/>
      </c>
      <c r="O268" s="13">
        <f>AI268</f>
        <v/>
      </c>
      <c r="P268" s="13">
        <f>W268</f>
        <v/>
      </c>
      <c r="Q268" s="13">
        <f>Y268</f>
        <v/>
      </c>
      <c r="R268" s="15" t="n"/>
      <c r="S268" s="15">
        <f>LEFT(W268,2)&amp;LEFT(Y268,2)</f>
        <v/>
      </c>
      <c r="T268" s="15" t="n"/>
      <c r="U268" s="15">
        <f>IF(K268&lt;L268,1,0)</f>
        <v/>
      </c>
      <c r="V268" s="15">
        <f>IF(H268&gt;I268,1,0)</f>
        <v/>
      </c>
      <c r="W268" s="15">
        <f>IF(SUM(U268:V268)=2,"Anticipatory_Sell","No_Action")</f>
        <v/>
      </c>
      <c r="X268" s="15" t="n"/>
      <c r="Y268" s="15">
        <f>IF(SUM(Z268:AA268)=2,"Confirm_Sell","No_Action")</f>
        <v/>
      </c>
      <c r="Z268" s="15">
        <f>IF(H268&gt;I268,1,0)</f>
        <v/>
      </c>
      <c r="AA268" s="15">
        <f>IF(K268&lt;M268,1,0)</f>
        <v/>
      </c>
      <c r="AB268" s="15" t="n"/>
      <c r="AC268" s="15">
        <f>LEFT(AG268,2)&amp;LEFT(AI268,2)</f>
        <v/>
      </c>
      <c r="AD268" s="15" t="n"/>
      <c r="AE268" s="15">
        <f>IF(K268&gt;L268,1,0)</f>
        <v/>
      </c>
      <c r="AF268" s="16">
        <f>IF(H268&gt;I268,1,0)</f>
        <v/>
      </c>
      <c r="AG268" s="16">
        <f>IF(SUM(AE268:AF268)=2,"Anticipatory_Buy","No_Action")</f>
        <v/>
      </c>
      <c r="AH268" s="15" t="n"/>
      <c r="AI268" s="15">
        <f>IF(SUM(AJ268:AK268)=2,"Confirm_Buy","No_Action")</f>
        <v/>
      </c>
      <c r="AJ268" s="15">
        <f>IF(H268&gt;I268,1,0)</f>
        <v/>
      </c>
      <c r="AK268" s="15">
        <f>IF(K268&gt;M268,1,0)</f>
        <v/>
      </c>
    </row>
    <row r="269" ht="14.5" customHeight="1">
      <c r="A269" s="12" t="inlineStr">
        <is>
          <t>ROHLTD</t>
        </is>
      </c>
      <c r="B269" s="13">
        <f>IFERROR(__xludf.DUMMYFUNCTION("GOOGLEFINANCE(""NSE:""&amp;A269,""PRICE"")"),345)</f>
        <v/>
      </c>
      <c r="C269" s="13">
        <f>IFERROR(__xludf.DUMMYFUNCTION("GOOGLEFINANCE(""NSE:""&amp;A269,""PRICEOPEN"")"),345)</f>
        <v/>
      </c>
      <c r="D269" s="13">
        <f>IFERROR(__xludf.DUMMYFUNCTION("GOOGLEFINANCE(""NSE:""&amp;A269,""HIGH"")"),348.1)</f>
        <v/>
      </c>
      <c r="E269" s="13">
        <f>IFERROR(__xludf.DUMMYFUNCTION("GOOGLEFINANCE(""NSE:""&amp;A269,""LOW"")"),341.15)</f>
        <v/>
      </c>
      <c r="F269" s="13">
        <f>IFERROR(__xludf.DUMMYFUNCTION("GOOGLEFINANCE(""NSE:""&amp;A269,""closeyest"")"),345.15)</f>
        <v/>
      </c>
      <c r="G269" s="14">
        <f>(B269-C269)/B269</f>
        <v/>
      </c>
      <c r="H269" s="13">
        <f>IFERROR(__xludf.DUMMYFUNCTION("GOOGLEFINANCE(""NSE:""&amp;A269,""VOLUME"")"),43287)</f>
        <v/>
      </c>
      <c r="I269" s="13">
        <f>IFERROR(__xludf.DUMMYFUNCTION("AVERAGE(index(GOOGLEFINANCE(""NSE:""&amp;$A269, ""volume"", today()-21, today()-1), , 2))"),"#N/A")</f>
        <v/>
      </c>
      <c r="J269" s="14">
        <f>(H269-I269)/I269</f>
        <v/>
      </c>
      <c r="K269" s="13">
        <f>IFERROR(__xludf.DUMMYFUNCTION("AVERAGE(index(GOOGLEFINANCE(""NSE:""&amp;$A269, ""close"", today()-6, today()-1), , 2))"),"#N/A")</f>
        <v/>
      </c>
      <c r="L269" s="13">
        <f>IFERROR(__xludf.DUMMYFUNCTION("AVERAGE(index(GOOGLEFINANCE(""NSE:""&amp;$A269, ""close"", today()-14, today()-1), , 2))"),"#N/A")</f>
        <v/>
      </c>
      <c r="M269" s="13">
        <f>IFERROR(__xludf.DUMMYFUNCTION("AVERAGE(index(GOOGLEFINANCE(""NSE:""&amp;$A269, ""close"", today()-22, today()-1), , 2))"),"#N/A")</f>
        <v/>
      </c>
      <c r="N269" s="13">
        <f>AG269</f>
        <v/>
      </c>
      <c r="O269" s="13">
        <f>AI269</f>
        <v/>
      </c>
      <c r="P269" s="13">
        <f>W269</f>
        <v/>
      </c>
      <c r="Q269" s="13">
        <f>Y269</f>
        <v/>
      </c>
      <c r="R269" s="15" t="n"/>
      <c r="S269" s="15">
        <f>LEFT(W269,2)&amp;LEFT(Y269,2)</f>
        <v/>
      </c>
      <c r="T269" s="15" t="n"/>
      <c r="U269" s="15">
        <f>IF(K269&lt;L269,1,0)</f>
        <v/>
      </c>
      <c r="V269" s="15">
        <f>IF(H269&gt;I269,1,0)</f>
        <v/>
      </c>
      <c r="W269" s="15">
        <f>IF(SUM(U269:V269)=2,"Anticipatory_Sell","No_Action")</f>
        <v/>
      </c>
      <c r="X269" s="15" t="n"/>
      <c r="Y269" s="15">
        <f>IF(SUM(Z269:AA269)=2,"Confirm_Sell","No_Action")</f>
        <v/>
      </c>
      <c r="Z269" s="15">
        <f>IF(H269&gt;I269,1,0)</f>
        <v/>
      </c>
      <c r="AA269" s="15">
        <f>IF(K269&lt;M269,1,0)</f>
        <v/>
      </c>
      <c r="AB269" s="15" t="n"/>
      <c r="AC269" s="15">
        <f>LEFT(AG269,2)&amp;LEFT(AI269,2)</f>
        <v/>
      </c>
      <c r="AD269" s="15" t="n"/>
      <c r="AE269" s="15">
        <f>IF(K269&gt;L269,1,0)</f>
        <v/>
      </c>
      <c r="AF269" s="16">
        <f>IF(H269&gt;I269,1,0)</f>
        <v/>
      </c>
      <c r="AG269" s="16">
        <f>IF(SUM(AE269:AF269)=2,"Anticipatory_Buy","No_Action")</f>
        <v/>
      </c>
      <c r="AH269" s="15" t="n"/>
      <c r="AI269" s="15">
        <f>IF(SUM(AJ269:AK269)=2,"Confirm_Buy","No_Action")</f>
        <v/>
      </c>
      <c r="AJ269" s="15">
        <f>IF(H269&gt;I269,1,0)</f>
        <v/>
      </c>
      <c r="AK269" s="15">
        <f>IF(K269&gt;M269,1,0)</f>
        <v/>
      </c>
    </row>
    <row r="270" ht="14.5" customHeight="1">
      <c r="A270" s="12" t="inlineStr">
        <is>
          <t>SCI</t>
        </is>
      </c>
      <c r="B270" s="13">
        <f>IFERROR(__xludf.DUMMYFUNCTION("GOOGLEFINANCE(""NSE:""&amp;A270,""PRICE"")"),237.75)</f>
        <v/>
      </c>
      <c r="C270" s="13">
        <f>IFERROR(__xludf.DUMMYFUNCTION("GOOGLEFINANCE(""NSE:""&amp;A270,""PRICEOPEN"")"),239.06)</f>
        <v/>
      </c>
      <c r="D270" s="13">
        <f>IFERROR(__xludf.DUMMYFUNCTION("GOOGLEFINANCE(""NSE:""&amp;A270,""HIGH"")"),241.78)</f>
        <v/>
      </c>
      <c r="E270" s="13">
        <f>IFERROR(__xludf.DUMMYFUNCTION("GOOGLEFINANCE(""NSE:""&amp;A270,""LOW"")"),237.5)</f>
        <v/>
      </c>
      <c r="F270" s="13">
        <f>IFERROR(__xludf.DUMMYFUNCTION("GOOGLEFINANCE(""NSE:""&amp;A270,""closeyest"")"),238.86)</f>
        <v/>
      </c>
      <c r="G270" s="14">
        <f>(B270-C270)/B270</f>
        <v/>
      </c>
      <c r="H270" s="13">
        <f>IFERROR(__xludf.DUMMYFUNCTION("GOOGLEFINANCE(""NSE:""&amp;A270,""VOLUME"")"),1289079)</f>
        <v/>
      </c>
      <c r="I270" s="13">
        <f>IFERROR(__xludf.DUMMYFUNCTION("AVERAGE(index(GOOGLEFINANCE(""NSE:""&amp;$A270, ""volume"", today()-21, today()-1), , 2))"),"#N/A")</f>
        <v/>
      </c>
      <c r="J270" s="14">
        <f>(H270-I270)/I270</f>
        <v/>
      </c>
      <c r="K270" s="13">
        <f>IFERROR(__xludf.DUMMYFUNCTION("AVERAGE(index(GOOGLEFINANCE(""NSE:""&amp;$A270, ""close"", today()-6, today()-1), , 2))"),"#N/A")</f>
        <v/>
      </c>
      <c r="L270" s="13">
        <f>IFERROR(__xludf.DUMMYFUNCTION("AVERAGE(index(GOOGLEFINANCE(""NSE:""&amp;$A270, ""close"", today()-14, today()-1), , 2))"),"#N/A")</f>
        <v/>
      </c>
      <c r="M270" s="13">
        <f>IFERROR(__xludf.DUMMYFUNCTION("AVERAGE(index(GOOGLEFINANCE(""NSE:""&amp;$A270, ""close"", today()-22, today()-1), , 2))"),"#N/A")</f>
        <v/>
      </c>
      <c r="N270" s="13">
        <f>AG270</f>
        <v/>
      </c>
      <c r="O270" s="13">
        <f>AI270</f>
        <v/>
      </c>
      <c r="P270" s="13">
        <f>W270</f>
        <v/>
      </c>
      <c r="Q270" s="13">
        <f>Y270</f>
        <v/>
      </c>
      <c r="R270" s="15" t="n"/>
      <c r="S270" s="15">
        <f>LEFT(W270,2)&amp;LEFT(Y270,2)</f>
        <v/>
      </c>
      <c r="T270" s="15" t="n"/>
      <c r="U270" s="15">
        <f>IF(K270&lt;L270,1,0)</f>
        <v/>
      </c>
      <c r="V270" s="15">
        <f>IF(H270&gt;I270,1,0)</f>
        <v/>
      </c>
      <c r="W270" s="15">
        <f>IF(SUM(U270:V270)=2,"Anticipatory_Sell","No_Action")</f>
        <v/>
      </c>
      <c r="X270" s="15" t="n"/>
      <c r="Y270" s="15">
        <f>IF(SUM(Z270:AA270)=2,"Confirm_Sell","No_Action")</f>
        <v/>
      </c>
      <c r="Z270" s="15">
        <f>IF(H270&gt;I270,1,0)</f>
        <v/>
      </c>
      <c r="AA270" s="15">
        <f>IF(K270&lt;M270,1,0)</f>
        <v/>
      </c>
      <c r="AB270" s="15" t="n"/>
      <c r="AC270" s="15">
        <f>LEFT(AG270,2)&amp;LEFT(AI270,2)</f>
        <v/>
      </c>
      <c r="AD270" s="15" t="n"/>
      <c r="AE270" s="15">
        <f>IF(K270&gt;L270,1,0)</f>
        <v/>
      </c>
      <c r="AF270" s="16">
        <f>IF(H270&gt;I270,1,0)</f>
        <v/>
      </c>
      <c r="AG270" s="16">
        <f>IF(SUM(AE270:AF270)=2,"Anticipatory_Buy","No_Action")</f>
        <v/>
      </c>
      <c r="AH270" s="15" t="n"/>
      <c r="AI270" s="15">
        <f>IF(SUM(AJ270:AK270)=2,"Confirm_Buy","No_Action")</f>
        <v/>
      </c>
      <c r="AJ270" s="15">
        <f>IF(H270&gt;I270,1,0)</f>
        <v/>
      </c>
      <c r="AK270" s="15">
        <f>IF(K270&gt;M270,1,0)</f>
        <v/>
      </c>
    </row>
    <row r="271" ht="14.5" customHeight="1">
      <c r="A271" s="12" t="inlineStr">
        <is>
          <t>SPAL</t>
        </is>
      </c>
      <c r="B271" s="13">
        <f>IFERROR(__xludf.DUMMYFUNCTION("GOOGLEFINANCE(""NSE:""&amp;A271,""PRICE"")"),947.95)</f>
        <v/>
      </c>
      <c r="C271" s="13">
        <f>IFERROR(__xludf.DUMMYFUNCTION("GOOGLEFINANCE(""NSE:""&amp;A271,""PRICEOPEN"")"),928.25)</f>
        <v/>
      </c>
      <c r="D271" s="13">
        <f>IFERROR(__xludf.DUMMYFUNCTION("GOOGLEFINANCE(""NSE:""&amp;A271,""HIGH"")"),965)</f>
        <v/>
      </c>
      <c r="E271" s="13">
        <f>IFERROR(__xludf.DUMMYFUNCTION("GOOGLEFINANCE(""NSE:""&amp;A271,""LOW"")"),928.25)</f>
        <v/>
      </c>
      <c r="F271" s="13">
        <f>IFERROR(__xludf.DUMMYFUNCTION("GOOGLEFINANCE(""NSE:""&amp;A271,""closeyest"")"),919.45)</f>
        <v/>
      </c>
      <c r="G271" s="14">
        <f>(B271-C271)/B271</f>
        <v/>
      </c>
      <c r="H271" s="13">
        <f>IFERROR(__xludf.DUMMYFUNCTION("GOOGLEFINANCE(""NSE:""&amp;A271,""VOLUME"")"),84525)</f>
        <v/>
      </c>
      <c r="I271" s="13">
        <f>IFERROR(__xludf.DUMMYFUNCTION("AVERAGE(index(GOOGLEFINANCE(""NSE:""&amp;$A271, ""volume"", today()-21, today()-1), , 2))"),"#N/A")</f>
        <v/>
      </c>
      <c r="J271" s="14">
        <f>(H271-I271)/I271</f>
        <v/>
      </c>
      <c r="K271" s="13">
        <f>IFERROR(__xludf.DUMMYFUNCTION("AVERAGE(index(GOOGLEFINANCE(""NSE:""&amp;$A271, ""close"", today()-6, today()-1), , 2))"),"#N/A")</f>
        <v/>
      </c>
      <c r="L271" s="13">
        <f>IFERROR(__xludf.DUMMYFUNCTION("AVERAGE(index(GOOGLEFINANCE(""NSE:""&amp;$A271, ""close"", today()-14, today()-1), , 2))"),"#N/A")</f>
        <v/>
      </c>
      <c r="M271" s="13">
        <f>IFERROR(__xludf.DUMMYFUNCTION("AVERAGE(index(GOOGLEFINANCE(""NSE:""&amp;$A271, ""close"", today()-22, today()-1), , 2))"),"#N/A")</f>
        <v/>
      </c>
      <c r="N271" s="13">
        <f>AG271</f>
        <v/>
      </c>
      <c r="O271" s="13">
        <f>AI271</f>
        <v/>
      </c>
      <c r="P271" s="13">
        <f>W271</f>
        <v/>
      </c>
      <c r="Q271" s="13">
        <f>Y271</f>
        <v/>
      </c>
      <c r="R271" s="15" t="n"/>
      <c r="S271" s="15">
        <f>LEFT(W271,2)&amp;LEFT(Y271,2)</f>
        <v/>
      </c>
      <c r="T271" s="15" t="n"/>
      <c r="U271" s="15">
        <f>IF(K271&lt;L271,1,0)</f>
        <v/>
      </c>
      <c r="V271" s="15">
        <f>IF(H271&gt;I271,1,0)</f>
        <v/>
      </c>
      <c r="W271" s="15">
        <f>IF(SUM(U271:V271)=2,"Anticipatory_Sell","No_Action")</f>
        <v/>
      </c>
      <c r="X271" s="15" t="n"/>
      <c r="Y271" s="15">
        <f>IF(SUM(Z271:AA271)=2,"Confirm_Sell","No_Action")</f>
        <v/>
      </c>
      <c r="Z271" s="15">
        <f>IF(H271&gt;I271,1,0)</f>
        <v/>
      </c>
      <c r="AA271" s="15">
        <f>IF(K271&lt;M271,1,0)</f>
        <v/>
      </c>
      <c r="AB271" s="15" t="n"/>
      <c r="AC271" s="15">
        <f>LEFT(AG271,2)&amp;LEFT(AI271,2)</f>
        <v/>
      </c>
      <c r="AD271" s="15" t="n"/>
      <c r="AE271" s="15">
        <f>IF(K271&gt;L271,1,0)</f>
        <v/>
      </c>
      <c r="AF271" s="16">
        <f>IF(H271&gt;I271,1,0)</f>
        <v/>
      </c>
      <c r="AG271" s="16">
        <f>IF(SUM(AE271:AF271)=2,"Anticipatory_Buy","No_Action")</f>
        <v/>
      </c>
      <c r="AH271" s="15" t="n"/>
      <c r="AI271" s="15">
        <f>IF(SUM(AJ271:AK271)=2,"Confirm_Buy","No_Action")</f>
        <v/>
      </c>
      <c r="AJ271" s="15">
        <f>IF(H271&gt;I271,1,0)</f>
        <v/>
      </c>
      <c r="AK271" s="15">
        <f>IF(K271&gt;M271,1,0)</f>
        <v/>
      </c>
    </row>
    <row r="272" ht="14.5" customHeight="1">
      <c r="A272" s="12" t="inlineStr">
        <is>
          <t>SAFARI</t>
        </is>
      </c>
      <c r="B272" s="13">
        <f>IFERROR(__xludf.DUMMYFUNCTION("GOOGLEFINANCE(""NSE:""&amp;A272,""PRICE"")"),2622.95)</f>
        <v/>
      </c>
      <c r="C272" s="13">
        <f>IFERROR(__xludf.DUMMYFUNCTION("GOOGLEFINANCE(""NSE:""&amp;A272,""PRICEOPEN"")"),2685)</f>
        <v/>
      </c>
      <c r="D272" s="13">
        <f>IFERROR(__xludf.DUMMYFUNCTION("GOOGLEFINANCE(""NSE:""&amp;A272,""HIGH"")"),2685)</f>
        <v/>
      </c>
      <c r="E272" s="13">
        <f>IFERROR(__xludf.DUMMYFUNCTION("GOOGLEFINANCE(""NSE:""&amp;A272,""LOW"")"),2612)</f>
        <v/>
      </c>
      <c r="F272" s="13">
        <f>IFERROR(__xludf.DUMMYFUNCTION("GOOGLEFINANCE(""NSE:""&amp;A272,""closeyest"")"),2661.05)</f>
        <v/>
      </c>
      <c r="G272" s="14">
        <f>(B272-C272)/B272</f>
        <v/>
      </c>
      <c r="H272" s="13">
        <f>IFERROR(__xludf.DUMMYFUNCTION("GOOGLEFINANCE(""NSE:""&amp;A272,""VOLUME"")"),50582)</f>
        <v/>
      </c>
      <c r="I272" s="13">
        <f>IFERROR(__xludf.DUMMYFUNCTION("AVERAGE(index(GOOGLEFINANCE(""NSE:""&amp;$A272, ""volume"", today()-21, today()-1), , 2))"),"#N/A")</f>
        <v/>
      </c>
      <c r="J272" s="14">
        <f>(H272-I272)/I272</f>
        <v/>
      </c>
      <c r="K272" s="13">
        <f>IFERROR(__xludf.DUMMYFUNCTION("AVERAGE(index(GOOGLEFINANCE(""NSE:""&amp;$A272, ""close"", today()-6, today()-1), , 2))"),"#N/A")</f>
        <v/>
      </c>
      <c r="L272" s="13">
        <f>IFERROR(__xludf.DUMMYFUNCTION("AVERAGE(index(GOOGLEFINANCE(""NSE:""&amp;$A272, ""close"", today()-14, today()-1), , 2))"),"#N/A")</f>
        <v/>
      </c>
      <c r="M272" s="13">
        <f>IFERROR(__xludf.DUMMYFUNCTION("AVERAGE(index(GOOGLEFINANCE(""NSE:""&amp;$A272, ""close"", today()-22, today()-1), , 2))"),"#N/A")</f>
        <v/>
      </c>
      <c r="N272" s="13">
        <f>AG272</f>
        <v/>
      </c>
      <c r="O272" s="13">
        <f>AI272</f>
        <v/>
      </c>
      <c r="P272" s="13">
        <f>W272</f>
        <v/>
      </c>
      <c r="Q272" s="13">
        <f>Y272</f>
        <v/>
      </c>
      <c r="R272" s="15" t="n"/>
      <c r="S272" s="15">
        <f>LEFT(W272,2)&amp;LEFT(Y272,2)</f>
        <v/>
      </c>
      <c r="T272" s="15" t="n"/>
      <c r="U272" s="15">
        <f>IF(K272&lt;L272,1,0)</f>
        <v/>
      </c>
      <c r="V272" s="15">
        <f>IF(H272&gt;I272,1,0)</f>
        <v/>
      </c>
      <c r="W272" s="15">
        <f>IF(SUM(U272:V272)=2,"Anticipatory_Sell","No_Action")</f>
        <v/>
      </c>
      <c r="X272" s="15" t="n"/>
      <c r="Y272" s="15">
        <f>IF(SUM(Z272:AA272)=2,"Confirm_Sell","No_Action")</f>
        <v/>
      </c>
      <c r="Z272" s="15">
        <f>IF(H272&gt;I272,1,0)</f>
        <v/>
      </c>
      <c r="AA272" s="15">
        <f>IF(K272&lt;M272,1,0)</f>
        <v/>
      </c>
      <c r="AB272" s="15" t="n"/>
      <c r="AC272" s="15">
        <f>LEFT(AG272,2)&amp;LEFT(AI272,2)</f>
        <v/>
      </c>
      <c r="AD272" s="15" t="n"/>
      <c r="AE272" s="15">
        <f>IF(K272&gt;L272,1,0)</f>
        <v/>
      </c>
      <c r="AF272" s="16">
        <f>IF(H272&gt;I272,1,0)</f>
        <v/>
      </c>
      <c r="AG272" s="16">
        <f>IF(SUM(AE272:AF272)=2,"Anticipatory_Buy","No_Action")</f>
        <v/>
      </c>
      <c r="AH272" s="15" t="n"/>
      <c r="AI272" s="15">
        <f>IF(SUM(AJ272:AK272)=2,"Confirm_Buy","No_Action")</f>
        <v/>
      </c>
      <c r="AJ272" s="15">
        <f>IF(H272&gt;I272,1,0)</f>
        <v/>
      </c>
      <c r="AK272" s="15">
        <f>IF(K272&gt;M272,1,0)</f>
        <v/>
      </c>
    </row>
    <row r="273" ht="14.5" customHeight="1">
      <c r="A273" s="12" t="inlineStr">
        <is>
          <t>SAMMAANCAP</t>
        </is>
      </c>
      <c r="B273" s="13">
        <f>IFERROR(__xludf.DUMMYFUNCTION("GOOGLEFINANCE(""NSE:""&amp;A273,""PRICE"")"),167.51)</f>
        <v/>
      </c>
      <c r="C273" s="13">
        <f>IFERROR(__xludf.DUMMYFUNCTION("GOOGLEFINANCE(""NSE:""&amp;A273,""PRICEOPEN"")"),162.2)</f>
        <v/>
      </c>
      <c r="D273" s="13">
        <f>IFERROR(__xludf.DUMMYFUNCTION("GOOGLEFINANCE(""NSE:""&amp;A273,""HIGH"")"),168.7)</f>
        <v/>
      </c>
      <c r="E273" s="13">
        <f>IFERROR(__xludf.DUMMYFUNCTION("GOOGLEFINANCE(""NSE:""&amp;A273,""LOW"")"),160.5)</f>
        <v/>
      </c>
      <c r="F273" s="13">
        <f>IFERROR(__xludf.DUMMYFUNCTION("GOOGLEFINANCE(""NSE:""&amp;A273,""closeyest"")"),161.02)</f>
        <v/>
      </c>
      <c r="G273" s="14">
        <f>(B273-C273)/B273</f>
        <v/>
      </c>
      <c r="H273" s="13">
        <f>IFERROR(__xludf.DUMMYFUNCTION("GOOGLEFINANCE(""NSE:""&amp;A273,""VOLUME"")"),15521205)</f>
        <v/>
      </c>
      <c r="I273" s="13">
        <f>IFERROR(__xludf.DUMMYFUNCTION("AVERAGE(index(GOOGLEFINANCE(""NSE:""&amp;$A273, ""volume"", today()-21, today()-1), , 2))"),"#N/A")</f>
        <v/>
      </c>
      <c r="J273" s="14">
        <f>(H273-I273)/I273</f>
        <v/>
      </c>
      <c r="K273" s="13">
        <f>IFERROR(__xludf.DUMMYFUNCTION("AVERAGE(index(GOOGLEFINANCE(""NSE:""&amp;$A273, ""close"", today()-6, today()-1), , 2))"),"#N/A")</f>
        <v/>
      </c>
      <c r="L273" s="13">
        <f>IFERROR(__xludf.DUMMYFUNCTION("AVERAGE(index(GOOGLEFINANCE(""NSE:""&amp;$A273, ""close"", today()-14, today()-1), , 2))"),"#N/A")</f>
        <v/>
      </c>
      <c r="M273" s="13">
        <f>IFERROR(__xludf.DUMMYFUNCTION("AVERAGE(index(GOOGLEFINANCE(""NSE:""&amp;$A273, ""close"", today()-22, today()-1), , 2))"),"#N/A")</f>
        <v/>
      </c>
      <c r="N273" s="13">
        <f>AG273</f>
        <v/>
      </c>
      <c r="O273" s="13">
        <f>AI273</f>
        <v/>
      </c>
      <c r="P273" s="13">
        <f>W273</f>
        <v/>
      </c>
      <c r="Q273" s="13">
        <f>Y273</f>
        <v/>
      </c>
      <c r="R273" s="15" t="n"/>
      <c r="S273" s="15">
        <f>LEFT(W273,2)&amp;LEFT(Y273,2)</f>
        <v/>
      </c>
      <c r="T273" s="15" t="n"/>
      <c r="U273" s="15">
        <f>IF(K273&lt;L273,1,0)</f>
        <v/>
      </c>
      <c r="V273" s="15">
        <f>IF(H273&gt;I273,1,0)</f>
        <v/>
      </c>
      <c r="W273" s="15">
        <f>IF(SUM(U273:V273)=2,"Anticipatory_Sell","No_Action")</f>
        <v/>
      </c>
      <c r="X273" s="15" t="n"/>
      <c r="Y273" s="15">
        <f>IF(SUM(Z273:AA273)=2,"Confirm_Sell","No_Action")</f>
        <v/>
      </c>
      <c r="Z273" s="15">
        <f>IF(H273&gt;I273,1,0)</f>
        <v/>
      </c>
      <c r="AA273" s="15">
        <f>IF(K273&lt;M273,1,0)</f>
        <v/>
      </c>
      <c r="AB273" s="15" t="n"/>
      <c r="AC273" s="15">
        <f>LEFT(AG273,2)&amp;LEFT(AI273,2)</f>
        <v/>
      </c>
      <c r="AD273" s="15" t="n"/>
      <c r="AE273" s="15">
        <f>IF(K273&gt;L273,1,0)</f>
        <v/>
      </c>
      <c r="AF273" s="16">
        <f>IF(H273&gt;I273,1,0)</f>
        <v/>
      </c>
      <c r="AG273" s="16">
        <f>IF(SUM(AE273:AF273)=2,"Anticipatory_Buy","No_Action")</f>
        <v/>
      </c>
      <c r="AH273" s="15" t="n"/>
      <c r="AI273" s="15">
        <f>IF(SUM(AJ273:AK273)=2,"Confirm_Buy","No_Action")</f>
        <v/>
      </c>
      <c r="AJ273" s="15">
        <f>IF(H273&gt;I273,1,0)</f>
        <v/>
      </c>
      <c r="AK273" s="15">
        <f>IF(K273&gt;M273,1,0)</f>
        <v/>
      </c>
    </row>
    <row r="274" ht="14.5" customHeight="1">
      <c r="A274" s="12" t="inlineStr">
        <is>
          <t>SANDUMA</t>
        </is>
      </c>
      <c r="B274" s="13">
        <f>IFERROR(__xludf.DUMMYFUNCTION("GOOGLEFINANCE(""NSE:""&amp;A274,""PRICE"")"),532.5)</f>
        <v/>
      </c>
      <c r="C274" s="13">
        <f>IFERROR(__xludf.DUMMYFUNCTION("GOOGLEFINANCE(""NSE:""&amp;A274,""PRICEOPEN"")"),530)</f>
        <v/>
      </c>
      <c r="D274" s="13">
        <f>IFERROR(__xludf.DUMMYFUNCTION("GOOGLEFINANCE(""NSE:""&amp;A274,""HIGH"")"),540)</f>
        <v/>
      </c>
      <c r="E274" s="13">
        <f>IFERROR(__xludf.DUMMYFUNCTION("GOOGLEFINANCE(""NSE:""&amp;A274,""LOW"")"),528.05)</f>
        <v/>
      </c>
      <c r="F274" s="13">
        <f>IFERROR(__xludf.DUMMYFUNCTION("GOOGLEFINANCE(""NSE:""&amp;A274,""closeyest"")"),527.5)</f>
        <v/>
      </c>
      <c r="G274" s="14">
        <f>(B274-C274)/B274</f>
        <v/>
      </c>
      <c r="H274" s="13">
        <f>IFERROR(__xludf.DUMMYFUNCTION("GOOGLEFINANCE(""NSE:""&amp;A274,""VOLUME"")"),148788)</f>
        <v/>
      </c>
      <c r="I274" s="13">
        <f>IFERROR(__xludf.DUMMYFUNCTION("AVERAGE(index(GOOGLEFINANCE(""NSE:""&amp;$A274, ""volume"", today()-21, today()-1), , 2))"),"#N/A")</f>
        <v/>
      </c>
      <c r="J274" s="14">
        <f>(H274-I274)/I274</f>
        <v/>
      </c>
      <c r="K274" s="13">
        <f>IFERROR(__xludf.DUMMYFUNCTION("AVERAGE(index(GOOGLEFINANCE(""NSE:""&amp;$A274, ""close"", today()-6, today()-1), , 2))"),"#N/A")</f>
        <v/>
      </c>
      <c r="L274" s="13">
        <f>IFERROR(__xludf.DUMMYFUNCTION("AVERAGE(index(GOOGLEFINANCE(""NSE:""&amp;$A274, ""close"", today()-14, today()-1), , 2))"),"#N/A")</f>
        <v/>
      </c>
      <c r="M274" s="13">
        <f>IFERROR(__xludf.DUMMYFUNCTION("AVERAGE(index(GOOGLEFINANCE(""NSE:""&amp;$A274, ""close"", today()-22, today()-1), , 2))"),"#N/A")</f>
        <v/>
      </c>
      <c r="N274" s="13">
        <f>AG274</f>
        <v/>
      </c>
      <c r="O274" s="13">
        <f>AI274</f>
        <v/>
      </c>
      <c r="P274" s="13">
        <f>W274</f>
        <v/>
      </c>
      <c r="Q274" s="13">
        <f>Y274</f>
        <v/>
      </c>
      <c r="R274" s="15" t="n"/>
      <c r="S274" s="15">
        <f>LEFT(W274,2)&amp;LEFT(Y274,2)</f>
        <v/>
      </c>
      <c r="T274" s="15" t="n"/>
      <c r="U274" s="15">
        <f>IF(K274&lt;L274,1,0)</f>
        <v/>
      </c>
      <c r="V274" s="15">
        <f>IF(H274&gt;I274,1,0)</f>
        <v/>
      </c>
      <c r="W274" s="15">
        <f>IF(SUM(U274:V274)=2,"Anticipatory_Sell","No_Action")</f>
        <v/>
      </c>
      <c r="X274" s="15" t="n"/>
      <c r="Y274" s="15">
        <f>IF(SUM(Z274:AA274)=2,"Confirm_Sell","No_Action")</f>
        <v/>
      </c>
      <c r="Z274" s="15">
        <f>IF(H274&gt;I274,1,0)</f>
        <v/>
      </c>
      <c r="AA274" s="15">
        <f>IF(K274&lt;M274,1,0)</f>
        <v/>
      </c>
      <c r="AB274" s="15" t="n"/>
      <c r="AC274" s="15">
        <f>LEFT(AG274,2)&amp;LEFT(AI274,2)</f>
        <v/>
      </c>
      <c r="AD274" s="15" t="n"/>
      <c r="AE274" s="15">
        <f>IF(K274&gt;L274,1,0)</f>
        <v/>
      </c>
      <c r="AF274" s="16">
        <f>IF(H274&gt;I274,1,0)</f>
        <v/>
      </c>
      <c r="AG274" s="16">
        <f>IF(SUM(AE274:AF274)=2,"Anticipatory_Buy","No_Action")</f>
        <v/>
      </c>
      <c r="AH274" s="15" t="n"/>
      <c r="AI274" s="15">
        <f>IF(SUM(AJ274:AK274)=2,"Confirm_Buy","No_Action")</f>
        <v/>
      </c>
      <c r="AJ274" s="15">
        <f>IF(H274&gt;I274,1,0)</f>
        <v/>
      </c>
      <c r="AK274" s="15">
        <f>IF(K274&gt;M274,1,0)</f>
        <v/>
      </c>
    </row>
    <row r="275" ht="14.5" customHeight="1">
      <c r="A275" s="12" t="inlineStr">
        <is>
          <t>SANGHVIMOV</t>
        </is>
      </c>
      <c r="B275" s="13">
        <f>IFERROR(__xludf.DUMMYFUNCTION("GOOGLEFINANCE(""NSE:""&amp;A275,""PRICE"")"),346.8)</f>
        <v/>
      </c>
      <c r="C275" s="13">
        <f>IFERROR(__xludf.DUMMYFUNCTION("GOOGLEFINANCE(""NSE:""&amp;A275,""PRICEOPEN"")"),332)</f>
        <v/>
      </c>
      <c r="D275" s="13">
        <f>IFERROR(__xludf.DUMMYFUNCTION("GOOGLEFINANCE(""NSE:""&amp;A275,""HIGH"")"),350.95)</f>
        <v/>
      </c>
      <c r="E275" s="13">
        <f>IFERROR(__xludf.DUMMYFUNCTION("GOOGLEFINANCE(""NSE:""&amp;A275,""LOW"")"),330.05)</f>
        <v/>
      </c>
      <c r="F275" s="13">
        <f>IFERROR(__xludf.DUMMYFUNCTION("GOOGLEFINANCE(""NSE:""&amp;A275,""closeyest"")"),331.7)</f>
        <v/>
      </c>
      <c r="G275" s="14">
        <f>(B275-C275)/B275</f>
        <v/>
      </c>
      <c r="H275" s="13">
        <f>IFERROR(__xludf.DUMMYFUNCTION("GOOGLEFINANCE(""NSE:""&amp;A275,""VOLUME"")"),755410)</f>
        <v/>
      </c>
      <c r="I275" s="13">
        <f>IFERROR(__xludf.DUMMYFUNCTION("AVERAGE(index(GOOGLEFINANCE(""NSE:""&amp;$A275, ""volume"", today()-21, today()-1), , 2))"),"#N/A")</f>
        <v/>
      </c>
      <c r="J275" s="14">
        <f>(H275-I275)/I275</f>
        <v/>
      </c>
      <c r="K275" s="13">
        <f>IFERROR(__xludf.DUMMYFUNCTION("AVERAGE(index(GOOGLEFINANCE(""NSE:""&amp;$A275, ""close"", today()-6, today()-1), , 2))"),"#N/A")</f>
        <v/>
      </c>
      <c r="L275" s="13">
        <f>IFERROR(__xludf.DUMMYFUNCTION("AVERAGE(index(GOOGLEFINANCE(""NSE:""&amp;$A275, ""close"", today()-14, today()-1), , 2))"),"#N/A")</f>
        <v/>
      </c>
      <c r="M275" s="13">
        <f>IFERROR(__xludf.DUMMYFUNCTION("AVERAGE(index(GOOGLEFINANCE(""NSE:""&amp;$A275, ""close"", today()-22, today()-1), , 2))"),"#N/A")</f>
        <v/>
      </c>
      <c r="N275" s="13">
        <f>AG275</f>
        <v/>
      </c>
      <c r="O275" s="13">
        <f>AI275</f>
        <v/>
      </c>
      <c r="P275" s="13">
        <f>W275</f>
        <v/>
      </c>
      <c r="Q275" s="13">
        <f>Y275</f>
        <v/>
      </c>
      <c r="R275" s="15" t="n"/>
      <c r="S275" s="15">
        <f>LEFT(W275,2)&amp;LEFT(Y275,2)</f>
        <v/>
      </c>
      <c r="T275" s="15" t="n"/>
      <c r="U275" s="15">
        <f>IF(K275&lt;L275,1,0)</f>
        <v/>
      </c>
      <c r="V275" s="15">
        <f>IF(H275&gt;I275,1,0)</f>
        <v/>
      </c>
      <c r="W275" s="15">
        <f>IF(SUM(U275:V275)=2,"Anticipatory_Sell","No_Action")</f>
        <v/>
      </c>
      <c r="X275" s="15" t="n"/>
      <c r="Y275" s="15">
        <f>IF(SUM(Z275:AA275)=2,"Confirm_Sell","No_Action")</f>
        <v/>
      </c>
      <c r="Z275" s="15">
        <f>IF(H275&gt;I275,1,0)</f>
        <v/>
      </c>
      <c r="AA275" s="15">
        <f>IF(K275&lt;M275,1,0)</f>
        <v/>
      </c>
      <c r="AB275" s="15" t="n"/>
      <c r="AC275" s="15">
        <f>LEFT(AG275,2)&amp;LEFT(AI275,2)</f>
        <v/>
      </c>
      <c r="AD275" s="15" t="n"/>
      <c r="AE275" s="15">
        <f>IF(K275&gt;L275,1,0)</f>
        <v/>
      </c>
      <c r="AF275" s="16">
        <f>IF(H275&gt;I275,1,0)</f>
        <v/>
      </c>
      <c r="AG275" s="16">
        <f>IF(SUM(AE275:AF275)=2,"Anticipatory_Buy","No_Action")</f>
        <v/>
      </c>
      <c r="AH275" s="15" t="n"/>
      <c r="AI275" s="15">
        <f>IF(SUM(AJ275:AK275)=2,"Confirm_Buy","No_Action")</f>
        <v/>
      </c>
      <c r="AJ275" s="15">
        <f>IF(H275&gt;I275,1,0)</f>
        <v/>
      </c>
      <c r="AK275" s="15">
        <f>IF(K275&gt;M275,1,0)</f>
        <v/>
      </c>
    </row>
    <row r="276" ht="14.5" customHeight="1">
      <c r="A276" s="12" t="inlineStr">
        <is>
          <t>SANOFI</t>
        </is>
      </c>
      <c r="B276" s="13">
        <f>IFERROR(__xludf.DUMMYFUNCTION("GOOGLEFINANCE(""NSE:""&amp;A276,""PRICE"")"),6265)</f>
        <v/>
      </c>
      <c r="C276" s="13">
        <f>IFERROR(__xludf.DUMMYFUNCTION("GOOGLEFINANCE(""NSE:""&amp;A276,""PRICEOPEN"")"),6242)</f>
        <v/>
      </c>
      <c r="D276" s="13">
        <f>IFERROR(__xludf.DUMMYFUNCTION("GOOGLEFINANCE(""NSE:""&amp;A276,""HIGH"")"),6354.65)</f>
        <v/>
      </c>
      <c r="E276" s="13">
        <f>IFERROR(__xludf.DUMMYFUNCTION("GOOGLEFINANCE(""NSE:""&amp;A276,""LOW"")"),6182.85)</f>
        <v/>
      </c>
      <c r="F276" s="13">
        <f>IFERROR(__xludf.DUMMYFUNCTION("GOOGLEFINANCE(""NSE:""&amp;A276,""closeyest"")"),6242.3)</f>
        <v/>
      </c>
      <c r="G276" s="14">
        <f>(B276-C276)/B276</f>
        <v/>
      </c>
      <c r="H276" s="13">
        <f>IFERROR(__xludf.DUMMYFUNCTION("GOOGLEFINANCE(""NSE:""&amp;A276,""VOLUME"")"),9455)</f>
        <v/>
      </c>
      <c r="I276" s="13">
        <f>IFERROR(__xludf.DUMMYFUNCTION("AVERAGE(index(GOOGLEFINANCE(""NSE:""&amp;$A276, ""volume"", today()-21, today()-1), , 2))"),"#N/A")</f>
        <v/>
      </c>
      <c r="J276" s="14">
        <f>(H276-I276)/I276</f>
        <v/>
      </c>
      <c r="K276" s="13">
        <f>IFERROR(__xludf.DUMMYFUNCTION("AVERAGE(index(GOOGLEFINANCE(""NSE:""&amp;$A276, ""close"", today()-6, today()-1), , 2))"),"#N/A")</f>
        <v/>
      </c>
      <c r="L276" s="13">
        <f>IFERROR(__xludf.DUMMYFUNCTION("AVERAGE(index(GOOGLEFINANCE(""NSE:""&amp;$A276, ""close"", today()-14, today()-1), , 2))"),"#N/A")</f>
        <v/>
      </c>
      <c r="M276" s="13">
        <f>IFERROR(__xludf.DUMMYFUNCTION("AVERAGE(index(GOOGLEFINANCE(""NSE:""&amp;$A276, ""close"", today()-22, today()-1), , 2))"),"#N/A")</f>
        <v/>
      </c>
      <c r="N276" s="13">
        <f>AG276</f>
        <v/>
      </c>
      <c r="O276" s="13">
        <f>AI276</f>
        <v/>
      </c>
      <c r="P276" s="13">
        <f>W276</f>
        <v/>
      </c>
      <c r="Q276" s="13">
        <f>Y276</f>
        <v/>
      </c>
      <c r="R276" s="15" t="n"/>
      <c r="S276" s="15">
        <f>LEFT(W276,2)&amp;LEFT(Y276,2)</f>
        <v/>
      </c>
      <c r="T276" s="15" t="n"/>
      <c r="U276" s="15">
        <f>IF(K276&lt;L276,1,0)</f>
        <v/>
      </c>
      <c r="V276" s="15">
        <f>IF(H276&gt;I276,1,0)</f>
        <v/>
      </c>
      <c r="W276" s="15">
        <f>IF(SUM(U276:V276)=2,"Anticipatory_Sell","No_Action")</f>
        <v/>
      </c>
      <c r="X276" s="15" t="n"/>
      <c r="Y276" s="15">
        <f>IF(SUM(Z276:AA276)=2,"Confirm_Sell","No_Action")</f>
        <v/>
      </c>
      <c r="Z276" s="15">
        <f>IF(H276&gt;I276,1,0)</f>
        <v/>
      </c>
      <c r="AA276" s="15">
        <f>IF(K276&lt;M276,1,0)</f>
        <v/>
      </c>
      <c r="AB276" s="15" t="n"/>
      <c r="AC276" s="15">
        <f>LEFT(AG276,2)&amp;LEFT(AI276,2)</f>
        <v/>
      </c>
      <c r="AD276" s="15" t="n"/>
      <c r="AE276" s="15">
        <f>IF(K276&gt;L276,1,0)</f>
        <v/>
      </c>
      <c r="AF276" s="16">
        <f>IF(H276&gt;I276,1,0)</f>
        <v/>
      </c>
      <c r="AG276" s="16">
        <f>IF(SUM(AE276:AF276)=2,"Anticipatory_Buy","No_Action")</f>
        <v/>
      </c>
      <c r="AH276" s="15" t="n"/>
      <c r="AI276" s="15">
        <f>IF(SUM(AJ276:AK276)=2,"Confirm_Buy","No_Action")</f>
        <v/>
      </c>
      <c r="AJ276" s="15">
        <f>IF(H276&gt;I276,1,0)</f>
        <v/>
      </c>
      <c r="AK276" s="15">
        <f>IF(K276&gt;M276,1,0)</f>
        <v/>
      </c>
    </row>
    <row r="277" ht="14.5" customHeight="1">
      <c r="A277" s="12" t="inlineStr">
        <is>
          <t>SARDAEN</t>
        </is>
      </c>
      <c r="B277" s="13">
        <f>IFERROR(__xludf.DUMMYFUNCTION("GOOGLEFINANCE(""NSE:""&amp;A277,""PRICE"")"),486)</f>
        <v/>
      </c>
      <c r="C277" s="13">
        <f>IFERROR(__xludf.DUMMYFUNCTION("GOOGLEFINANCE(""NSE:""&amp;A277,""PRICEOPEN"")"),471.7)</f>
        <v/>
      </c>
      <c r="D277" s="13">
        <f>IFERROR(__xludf.DUMMYFUNCTION("GOOGLEFINANCE(""NSE:""&amp;A277,""HIGH"")"),488.7)</f>
        <v/>
      </c>
      <c r="E277" s="13">
        <f>IFERROR(__xludf.DUMMYFUNCTION("GOOGLEFINANCE(""NSE:""&amp;A277,""LOW"")"),469.7)</f>
        <v/>
      </c>
      <c r="F277" s="13">
        <f>IFERROR(__xludf.DUMMYFUNCTION("GOOGLEFINANCE(""NSE:""&amp;A277,""closeyest"")"),472.5)</f>
        <v/>
      </c>
      <c r="G277" s="14">
        <f>(B277-C277)/B277</f>
        <v/>
      </c>
      <c r="H277" s="13">
        <f>IFERROR(__xludf.DUMMYFUNCTION("GOOGLEFINANCE(""NSE:""&amp;A277,""VOLUME"")"),502887)</f>
        <v/>
      </c>
      <c r="I277" s="13">
        <f>IFERROR(__xludf.DUMMYFUNCTION("AVERAGE(index(GOOGLEFINANCE(""NSE:""&amp;$A277, ""volume"", today()-21, today()-1), , 2))"),"#N/A")</f>
        <v/>
      </c>
      <c r="J277" s="14">
        <f>(H277-I277)/I277</f>
        <v/>
      </c>
      <c r="K277" s="13">
        <f>IFERROR(__xludf.DUMMYFUNCTION("AVERAGE(index(GOOGLEFINANCE(""NSE:""&amp;$A277, ""close"", today()-6, today()-1), , 2))"),"#N/A")</f>
        <v/>
      </c>
      <c r="L277" s="13">
        <f>IFERROR(__xludf.DUMMYFUNCTION("AVERAGE(index(GOOGLEFINANCE(""NSE:""&amp;$A277, ""close"", today()-14, today()-1), , 2))"),"#N/A")</f>
        <v/>
      </c>
      <c r="M277" s="13">
        <f>IFERROR(__xludf.DUMMYFUNCTION("AVERAGE(index(GOOGLEFINANCE(""NSE:""&amp;$A277, ""close"", today()-22, today()-1), , 2))"),"#N/A")</f>
        <v/>
      </c>
      <c r="N277" s="13">
        <f>AG277</f>
        <v/>
      </c>
      <c r="O277" s="13">
        <f>AI277</f>
        <v/>
      </c>
      <c r="P277" s="13">
        <f>W277</f>
        <v/>
      </c>
      <c r="Q277" s="13">
        <f>Y277</f>
        <v/>
      </c>
      <c r="R277" s="15" t="n"/>
      <c r="S277" s="15">
        <f>LEFT(W277,2)&amp;LEFT(Y277,2)</f>
        <v/>
      </c>
      <c r="T277" s="15" t="n"/>
      <c r="U277" s="15">
        <f>IF(K277&lt;L277,1,0)</f>
        <v/>
      </c>
      <c r="V277" s="15">
        <f>IF(H277&gt;I277,1,0)</f>
        <v/>
      </c>
      <c r="W277" s="15">
        <f>IF(SUM(U277:V277)=2,"Anticipatory_Sell","No_Action")</f>
        <v/>
      </c>
      <c r="X277" s="15" t="n"/>
      <c r="Y277" s="15">
        <f>IF(SUM(Z277:AA277)=2,"Confirm_Sell","No_Action")</f>
        <v/>
      </c>
      <c r="Z277" s="15">
        <f>IF(H277&gt;I277,1,0)</f>
        <v/>
      </c>
      <c r="AA277" s="15">
        <f>IF(K277&lt;M277,1,0)</f>
        <v/>
      </c>
      <c r="AB277" s="15" t="n"/>
      <c r="AC277" s="15">
        <f>LEFT(AG277,2)&amp;LEFT(AI277,2)</f>
        <v/>
      </c>
      <c r="AD277" s="15" t="n"/>
      <c r="AE277" s="15">
        <f>IF(K277&gt;L277,1,0)</f>
        <v/>
      </c>
      <c r="AF277" s="16">
        <f>IF(H277&gt;I277,1,0)</f>
        <v/>
      </c>
      <c r="AG277" s="16">
        <f>IF(SUM(AE277:AF277)=2,"Anticipatory_Buy","No_Action")</f>
        <v/>
      </c>
      <c r="AH277" s="15" t="n"/>
      <c r="AI277" s="15">
        <f>IF(SUM(AJ277:AK277)=2,"Confirm_Buy","No_Action")</f>
        <v/>
      </c>
      <c r="AJ277" s="15">
        <f>IF(H277&gt;I277,1,0)</f>
        <v/>
      </c>
      <c r="AK277" s="15">
        <f>IF(K277&gt;M277,1,0)</f>
        <v/>
      </c>
    </row>
    <row r="278" ht="14.5" customHeight="1">
      <c r="A278" s="12" t="inlineStr">
        <is>
          <t>SATINDLTD</t>
        </is>
      </c>
      <c r="B278" s="13">
        <f>IFERROR(__xludf.DUMMYFUNCTION("GOOGLEFINANCE(""NSE:""&amp;A278,""PRICE"")"),119.59)</f>
        <v/>
      </c>
      <c r="C278" s="13">
        <f>IFERROR(__xludf.DUMMYFUNCTION("GOOGLEFINANCE(""NSE:""&amp;A278,""PRICEOPEN"")"),120.95)</f>
        <v/>
      </c>
      <c r="D278" s="13">
        <f>IFERROR(__xludf.DUMMYFUNCTION("GOOGLEFINANCE(""NSE:""&amp;A278,""HIGH"")"),122.45)</f>
        <v/>
      </c>
      <c r="E278" s="13">
        <f>IFERROR(__xludf.DUMMYFUNCTION("GOOGLEFINANCE(""NSE:""&amp;A278,""LOW"")"),118.71)</f>
        <v/>
      </c>
      <c r="F278" s="13">
        <f>IFERROR(__xludf.DUMMYFUNCTION("GOOGLEFINANCE(""NSE:""&amp;A278,""closeyest"")"),121.37)</f>
        <v/>
      </c>
      <c r="G278" s="14">
        <f>(B278-C278)/B278</f>
        <v/>
      </c>
      <c r="H278" s="13">
        <f>IFERROR(__xludf.DUMMYFUNCTION("GOOGLEFINANCE(""NSE:""&amp;A278,""VOLUME"")"),238245)</f>
        <v/>
      </c>
      <c r="I278" s="13">
        <f>IFERROR(__xludf.DUMMYFUNCTION("AVERAGE(index(GOOGLEFINANCE(""NSE:""&amp;$A278, ""volume"", today()-21, today()-1), , 2))"),"#N/A")</f>
        <v/>
      </c>
      <c r="J278" s="14">
        <f>(H278-I278)/I278</f>
        <v/>
      </c>
      <c r="K278" s="13">
        <f>IFERROR(__xludf.DUMMYFUNCTION("AVERAGE(index(GOOGLEFINANCE(""NSE:""&amp;$A278, ""close"", today()-6, today()-1), , 2))"),"#N/A")</f>
        <v/>
      </c>
      <c r="L278" s="13">
        <f>IFERROR(__xludf.DUMMYFUNCTION("AVERAGE(index(GOOGLEFINANCE(""NSE:""&amp;$A278, ""close"", today()-14, today()-1), , 2))"),"#N/A")</f>
        <v/>
      </c>
      <c r="M278" s="13">
        <f>IFERROR(__xludf.DUMMYFUNCTION("AVERAGE(index(GOOGLEFINANCE(""NSE:""&amp;$A278, ""close"", today()-22, today()-1), , 2))"),"#N/A")</f>
        <v/>
      </c>
      <c r="N278" s="13">
        <f>AG278</f>
        <v/>
      </c>
      <c r="O278" s="13">
        <f>AI278</f>
        <v/>
      </c>
      <c r="P278" s="13">
        <f>W278</f>
        <v/>
      </c>
      <c r="Q278" s="13">
        <f>Y278</f>
        <v/>
      </c>
      <c r="R278" s="15" t="n"/>
      <c r="S278" s="15">
        <f>LEFT(W278,2)&amp;LEFT(Y278,2)</f>
        <v/>
      </c>
      <c r="T278" s="15" t="n"/>
      <c r="U278" s="15">
        <f>IF(K278&lt;L278,1,0)</f>
        <v/>
      </c>
      <c r="V278" s="15">
        <f>IF(H278&gt;I278,1,0)</f>
        <v/>
      </c>
      <c r="W278" s="15">
        <f>IF(SUM(U278:V278)=2,"Anticipatory_Sell","No_Action")</f>
        <v/>
      </c>
      <c r="X278" s="15" t="n"/>
      <c r="Y278" s="15">
        <f>IF(SUM(Z278:AA278)=2,"Confirm_Sell","No_Action")</f>
        <v/>
      </c>
      <c r="Z278" s="15">
        <f>IF(H278&gt;I278,1,0)</f>
        <v/>
      </c>
      <c r="AA278" s="15">
        <f>IF(K278&lt;M278,1,0)</f>
        <v/>
      </c>
      <c r="AB278" s="15" t="n"/>
      <c r="AC278" s="15">
        <f>LEFT(AG278,2)&amp;LEFT(AI278,2)</f>
        <v/>
      </c>
      <c r="AD278" s="15" t="n"/>
      <c r="AE278" s="15">
        <f>IF(K278&gt;L278,1,0)</f>
        <v/>
      </c>
      <c r="AF278" s="16">
        <f>IF(H278&gt;I278,1,0)</f>
        <v/>
      </c>
      <c r="AG278" s="16">
        <f>IF(SUM(AE278:AF278)=2,"Anticipatory_Buy","No_Action")</f>
        <v/>
      </c>
      <c r="AH278" s="15" t="n"/>
      <c r="AI278" s="15">
        <f>IF(SUM(AJ278:AK278)=2,"Confirm_Buy","No_Action")</f>
        <v/>
      </c>
      <c r="AJ278" s="15">
        <f>IF(H278&gt;I278,1,0)</f>
        <v/>
      </c>
      <c r="AK278" s="15">
        <f>IF(K278&gt;M278,1,0)</f>
        <v/>
      </c>
    </row>
    <row r="279" ht="14.5" customHeight="1">
      <c r="A279" s="12" t="inlineStr">
        <is>
          <t>SEAMECLTD</t>
        </is>
      </c>
      <c r="B279" s="13">
        <f>IFERROR(__xludf.DUMMYFUNCTION("GOOGLEFINANCE(""NSE:""&amp;A279,""PRICE"")"),1198.5)</f>
        <v/>
      </c>
      <c r="C279" s="13">
        <f>IFERROR(__xludf.DUMMYFUNCTION("GOOGLEFINANCE(""NSE:""&amp;A279,""PRICEOPEN"")"),1186.15)</f>
        <v/>
      </c>
      <c r="D279" s="13">
        <f>IFERROR(__xludf.DUMMYFUNCTION("GOOGLEFINANCE(""NSE:""&amp;A279,""HIGH"")"),1221)</f>
        <v/>
      </c>
      <c r="E279" s="13">
        <f>IFERROR(__xludf.DUMMYFUNCTION("GOOGLEFINANCE(""NSE:""&amp;A279,""LOW"")"),1186.15)</f>
        <v/>
      </c>
      <c r="F279" s="13">
        <f>IFERROR(__xludf.DUMMYFUNCTION("GOOGLEFINANCE(""NSE:""&amp;A279,""closeyest"")"),1195.3)</f>
        <v/>
      </c>
      <c r="G279" s="14">
        <f>(B279-C279)/B279</f>
        <v/>
      </c>
      <c r="H279" s="13">
        <f>IFERROR(__xludf.DUMMYFUNCTION("GOOGLEFINANCE(""NSE:""&amp;A279,""VOLUME"")"),10849)</f>
        <v/>
      </c>
      <c r="I279" s="13">
        <f>IFERROR(__xludf.DUMMYFUNCTION("AVERAGE(index(GOOGLEFINANCE(""NSE:""&amp;$A279, ""volume"", today()-21, today()-1), , 2))"),"#N/A")</f>
        <v/>
      </c>
      <c r="J279" s="14">
        <f>(H279-I279)/I279</f>
        <v/>
      </c>
      <c r="K279" s="13">
        <f>IFERROR(__xludf.DUMMYFUNCTION("AVERAGE(index(GOOGLEFINANCE(""NSE:""&amp;$A279, ""close"", today()-6, today()-1), , 2))"),"#N/A")</f>
        <v/>
      </c>
      <c r="L279" s="13">
        <f>IFERROR(__xludf.DUMMYFUNCTION("AVERAGE(index(GOOGLEFINANCE(""NSE:""&amp;$A279, ""close"", today()-14, today()-1), , 2))"),"#N/A")</f>
        <v/>
      </c>
      <c r="M279" s="13">
        <f>IFERROR(__xludf.DUMMYFUNCTION("AVERAGE(index(GOOGLEFINANCE(""NSE:""&amp;$A279, ""close"", today()-22, today()-1), , 2))"),"#N/A")</f>
        <v/>
      </c>
      <c r="N279" s="13">
        <f>AG279</f>
        <v/>
      </c>
      <c r="O279" s="13">
        <f>AI279</f>
        <v/>
      </c>
      <c r="P279" s="13">
        <f>W279</f>
        <v/>
      </c>
      <c r="Q279" s="13">
        <f>Y279</f>
        <v/>
      </c>
      <c r="R279" s="15" t="n"/>
      <c r="S279" s="15">
        <f>LEFT(W279,2)&amp;LEFT(Y279,2)</f>
        <v/>
      </c>
      <c r="T279" s="15" t="n"/>
      <c r="U279" s="15">
        <f>IF(K279&lt;L279,1,0)</f>
        <v/>
      </c>
      <c r="V279" s="15">
        <f>IF(H279&gt;I279,1,0)</f>
        <v/>
      </c>
      <c r="W279" s="15">
        <f>IF(SUM(U279:V279)=2,"Anticipatory_Sell","No_Action")</f>
        <v/>
      </c>
      <c r="X279" s="15" t="n"/>
      <c r="Y279" s="15">
        <f>IF(SUM(Z279:AA279)=2,"Confirm_Sell","No_Action")</f>
        <v/>
      </c>
      <c r="Z279" s="15">
        <f>IF(H279&gt;I279,1,0)</f>
        <v/>
      </c>
      <c r="AA279" s="15">
        <f>IF(K279&lt;M279,1,0)</f>
        <v/>
      </c>
      <c r="AB279" s="15" t="n"/>
      <c r="AC279" s="15">
        <f>LEFT(AG279,2)&amp;LEFT(AI279,2)</f>
        <v/>
      </c>
      <c r="AD279" s="15" t="n"/>
      <c r="AE279" s="15">
        <f>IF(K279&gt;L279,1,0)</f>
        <v/>
      </c>
      <c r="AF279" s="16">
        <f>IF(H279&gt;I279,1,0)</f>
        <v/>
      </c>
      <c r="AG279" s="16">
        <f>IF(SUM(AE279:AF279)=2,"Anticipatory_Buy","No_Action")</f>
        <v/>
      </c>
      <c r="AH279" s="15" t="n"/>
      <c r="AI279" s="15">
        <f>IF(SUM(AJ279:AK279)=2,"Confirm_Buy","No_Action")</f>
        <v/>
      </c>
      <c r="AJ279" s="15">
        <f>IF(H279&gt;I279,1,0)</f>
        <v/>
      </c>
      <c r="AK279" s="15">
        <f>IF(K279&gt;M279,1,0)</f>
        <v/>
      </c>
    </row>
    <row r="280" ht="14.5" customHeight="1">
      <c r="A280" s="12" t="inlineStr">
        <is>
          <t>SESHAPAPER</t>
        </is>
      </c>
      <c r="B280" s="13">
        <f>IFERROR(__xludf.DUMMYFUNCTION("GOOGLEFINANCE(""NSE:""&amp;A280,""PRICE"")"),316.6)</f>
        <v/>
      </c>
      <c r="C280" s="13">
        <f>IFERROR(__xludf.DUMMYFUNCTION("GOOGLEFINANCE(""NSE:""&amp;A280,""PRICEOPEN"")"),322.1)</f>
        <v/>
      </c>
      <c r="D280" s="13">
        <f>IFERROR(__xludf.DUMMYFUNCTION("GOOGLEFINANCE(""NSE:""&amp;A280,""HIGH"")"),323.15)</f>
        <v/>
      </c>
      <c r="E280" s="13">
        <f>IFERROR(__xludf.DUMMYFUNCTION("GOOGLEFINANCE(""NSE:""&amp;A280,""LOW"")"),316.6)</f>
        <v/>
      </c>
      <c r="F280" s="13">
        <f>IFERROR(__xludf.DUMMYFUNCTION("GOOGLEFINANCE(""NSE:""&amp;A280,""closeyest"")"),320.2)</f>
        <v/>
      </c>
      <c r="G280" s="14">
        <f>(B280-C280)/B280</f>
        <v/>
      </c>
      <c r="H280" s="13">
        <f>IFERROR(__xludf.DUMMYFUNCTION("GOOGLEFINANCE(""NSE:""&amp;A280,""VOLUME"")"),10307)</f>
        <v/>
      </c>
      <c r="I280" s="13">
        <f>IFERROR(__xludf.DUMMYFUNCTION("AVERAGE(index(GOOGLEFINANCE(""NSE:""&amp;$A280, ""volume"", today()-21, today()-1), , 2))"),"#N/A")</f>
        <v/>
      </c>
      <c r="J280" s="14">
        <f>(H280-I280)/I280</f>
        <v/>
      </c>
      <c r="K280" s="13">
        <f>IFERROR(__xludf.DUMMYFUNCTION("AVERAGE(index(GOOGLEFINANCE(""NSE:""&amp;$A280, ""close"", today()-6, today()-1), , 2))"),"#N/A")</f>
        <v/>
      </c>
      <c r="L280" s="13">
        <f>IFERROR(__xludf.DUMMYFUNCTION("AVERAGE(index(GOOGLEFINANCE(""NSE:""&amp;$A280, ""close"", today()-14, today()-1), , 2))"),"#N/A")</f>
        <v/>
      </c>
      <c r="M280" s="13">
        <f>IFERROR(__xludf.DUMMYFUNCTION("AVERAGE(index(GOOGLEFINANCE(""NSE:""&amp;$A280, ""close"", today()-22, today()-1), , 2))"),"#N/A")</f>
        <v/>
      </c>
      <c r="N280" s="13">
        <f>AG280</f>
        <v/>
      </c>
      <c r="O280" s="13">
        <f>AI280</f>
        <v/>
      </c>
      <c r="P280" s="13">
        <f>W280</f>
        <v/>
      </c>
      <c r="Q280" s="13">
        <f>Y280</f>
        <v/>
      </c>
      <c r="R280" s="15" t="n"/>
      <c r="S280" s="15">
        <f>LEFT(W280,2)&amp;LEFT(Y280,2)</f>
        <v/>
      </c>
      <c r="T280" s="15" t="n"/>
      <c r="U280" s="15">
        <f>IF(K280&lt;L280,1,0)</f>
        <v/>
      </c>
      <c r="V280" s="15">
        <f>IF(H280&gt;I280,1,0)</f>
        <v/>
      </c>
      <c r="W280" s="15">
        <f>IF(SUM(U280:V280)=2,"Anticipatory_Sell","No_Action")</f>
        <v/>
      </c>
      <c r="X280" s="15" t="n"/>
      <c r="Y280" s="15">
        <f>IF(SUM(Z280:AA280)=2,"Confirm_Sell","No_Action")</f>
        <v/>
      </c>
      <c r="Z280" s="15">
        <f>IF(H280&gt;I280,1,0)</f>
        <v/>
      </c>
      <c r="AA280" s="15">
        <f>IF(K280&lt;M280,1,0)</f>
        <v/>
      </c>
      <c r="AB280" s="15" t="n"/>
      <c r="AC280" s="15">
        <f>LEFT(AG280,2)&amp;LEFT(AI280,2)</f>
        <v/>
      </c>
      <c r="AD280" s="15" t="n"/>
      <c r="AE280" s="15">
        <f>IF(K280&gt;L280,1,0)</f>
        <v/>
      </c>
      <c r="AF280" s="16">
        <f>IF(H280&gt;I280,1,0)</f>
        <v/>
      </c>
      <c r="AG280" s="16">
        <f>IF(SUM(AE280:AF280)=2,"Anticipatory_Buy","No_Action")</f>
        <v/>
      </c>
      <c r="AH280" s="15" t="n"/>
      <c r="AI280" s="15">
        <f>IF(SUM(AJ280:AK280)=2,"Confirm_Buy","No_Action")</f>
        <v/>
      </c>
      <c r="AJ280" s="15">
        <f>IF(H280&gt;I280,1,0)</f>
        <v/>
      </c>
      <c r="AK280" s="15">
        <f>IF(K280&gt;M280,1,0)</f>
        <v/>
      </c>
    </row>
    <row r="281" ht="14.5" customHeight="1">
      <c r="A281" s="12" t="inlineStr">
        <is>
          <t>SHREDIGCEM</t>
        </is>
      </c>
      <c r="B281" s="13">
        <f>IFERROR(__xludf.DUMMYFUNCTION("GOOGLEFINANCE(""NSE:""&amp;A281,""PRICE"")"),90.73)</f>
        <v/>
      </c>
      <c r="C281" s="13">
        <f>IFERROR(__xludf.DUMMYFUNCTION("GOOGLEFINANCE(""NSE:""&amp;A281,""PRICEOPEN"")"),91)</f>
        <v/>
      </c>
      <c r="D281" s="13">
        <f>IFERROR(__xludf.DUMMYFUNCTION("GOOGLEFINANCE(""NSE:""&amp;A281,""HIGH"")"),91.99)</f>
        <v/>
      </c>
      <c r="E281" s="13">
        <f>IFERROR(__xludf.DUMMYFUNCTION("GOOGLEFINANCE(""NSE:""&amp;A281,""LOW"")"),90.07)</f>
        <v/>
      </c>
      <c r="F281" s="13">
        <f>IFERROR(__xludf.DUMMYFUNCTION("GOOGLEFINANCE(""NSE:""&amp;A281,""closeyest"")"),91.63)</f>
        <v/>
      </c>
      <c r="G281" s="14">
        <f>(B281-C281)/B281</f>
        <v/>
      </c>
      <c r="H281" s="13">
        <f>IFERROR(__xludf.DUMMYFUNCTION("GOOGLEFINANCE(""NSE:""&amp;A281,""VOLUME"")"),250262)</f>
        <v/>
      </c>
      <c r="I281" s="13">
        <f>IFERROR(__xludf.DUMMYFUNCTION("AVERAGE(index(GOOGLEFINANCE(""NSE:""&amp;$A281, ""volume"", today()-21, today()-1), , 2))"),"#N/A")</f>
        <v/>
      </c>
      <c r="J281" s="14">
        <f>(H281-I281)/I281</f>
        <v/>
      </c>
      <c r="K281" s="13">
        <f>IFERROR(__xludf.DUMMYFUNCTION("AVERAGE(index(GOOGLEFINANCE(""NSE:""&amp;$A281, ""close"", today()-6, today()-1), , 2))"),"#N/A")</f>
        <v/>
      </c>
      <c r="L281" s="13">
        <f>IFERROR(__xludf.DUMMYFUNCTION("AVERAGE(index(GOOGLEFINANCE(""NSE:""&amp;$A281, ""close"", today()-14, today()-1), , 2))"),"#N/A")</f>
        <v/>
      </c>
      <c r="M281" s="13">
        <f>IFERROR(__xludf.DUMMYFUNCTION("AVERAGE(index(GOOGLEFINANCE(""NSE:""&amp;$A281, ""close"", today()-22, today()-1), , 2))"),"#N/A")</f>
        <v/>
      </c>
      <c r="N281" s="13">
        <f>AG281</f>
        <v/>
      </c>
      <c r="O281" s="13">
        <f>AI281</f>
        <v/>
      </c>
      <c r="P281" s="13">
        <f>W281</f>
        <v/>
      </c>
      <c r="Q281" s="13">
        <f>Y281</f>
        <v/>
      </c>
      <c r="R281" s="15" t="n"/>
      <c r="S281" s="15">
        <f>LEFT(W281,2)&amp;LEFT(Y281,2)</f>
        <v/>
      </c>
      <c r="T281" s="15" t="n"/>
      <c r="U281" s="15">
        <f>IF(K281&lt;L281,1,0)</f>
        <v/>
      </c>
      <c r="V281" s="15">
        <f>IF(H281&gt;I281,1,0)</f>
        <v/>
      </c>
      <c r="W281" s="15">
        <f>IF(SUM(U281:V281)=2,"Anticipatory_Sell","No_Action")</f>
        <v/>
      </c>
      <c r="X281" s="15" t="n"/>
      <c r="Y281" s="15">
        <f>IF(SUM(Z281:AA281)=2,"Confirm_Sell","No_Action")</f>
        <v/>
      </c>
      <c r="Z281" s="15">
        <f>IF(H281&gt;I281,1,0)</f>
        <v/>
      </c>
      <c r="AA281" s="15">
        <f>IF(K281&lt;M281,1,0)</f>
        <v/>
      </c>
      <c r="AB281" s="15" t="n"/>
      <c r="AC281" s="15">
        <f>LEFT(AG281,2)&amp;LEFT(AI281,2)</f>
        <v/>
      </c>
      <c r="AD281" s="15" t="n"/>
      <c r="AE281" s="15">
        <f>IF(K281&gt;L281,1,0)</f>
        <v/>
      </c>
      <c r="AF281" s="16">
        <f>IF(H281&gt;I281,1,0)</f>
        <v/>
      </c>
      <c r="AG281" s="16">
        <f>IF(SUM(AE281:AF281)=2,"Anticipatory_Buy","No_Action")</f>
        <v/>
      </c>
      <c r="AH281" s="15" t="n"/>
      <c r="AI281" s="15">
        <f>IF(SUM(AJ281:AK281)=2,"Confirm_Buy","No_Action")</f>
        <v/>
      </c>
      <c r="AJ281" s="15">
        <f>IF(H281&gt;I281,1,0)</f>
        <v/>
      </c>
      <c r="AK281" s="15">
        <f>IF(K281&gt;M281,1,0)</f>
        <v/>
      </c>
    </row>
    <row r="282" ht="14.5" customHeight="1">
      <c r="A282" s="12" t="inlineStr">
        <is>
          <t>SBCL</t>
        </is>
      </c>
      <c r="B282" s="13">
        <f>IFERROR(__xludf.DUMMYFUNCTION("GOOGLEFINANCE(""NSE:""&amp;A282,""PRICE"")"),583.9)</f>
        <v/>
      </c>
      <c r="C282" s="13">
        <f>IFERROR(__xludf.DUMMYFUNCTION("GOOGLEFINANCE(""NSE:""&amp;A282,""PRICEOPEN"")"),590)</f>
        <v/>
      </c>
      <c r="D282" s="13">
        <f>IFERROR(__xludf.DUMMYFUNCTION("GOOGLEFINANCE(""NSE:""&amp;A282,""HIGH"")"),598.95)</f>
        <v/>
      </c>
      <c r="E282" s="13">
        <f>IFERROR(__xludf.DUMMYFUNCTION("GOOGLEFINANCE(""NSE:""&amp;A282,""LOW"")"),578)</f>
        <v/>
      </c>
      <c r="F282" s="13">
        <f>IFERROR(__xludf.DUMMYFUNCTION("GOOGLEFINANCE(""NSE:""&amp;A282,""closeyest"")"),589.1)</f>
        <v/>
      </c>
      <c r="G282" s="14">
        <f>(B282-C282)/B282</f>
        <v/>
      </c>
      <c r="H282" s="13">
        <f>IFERROR(__xludf.DUMMYFUNCTION("GOOGLEFINANCE(""NSE:""&amp;A282,""VOLUME"")"),67950)</f>
        <v/>
      </c>
      <c r="I282" s="13">
        <f>IFERROR(__xludf.DUMMYFUNCTION("AVERAGE(index(GOOGLEFINANCE(""NSE:""&amp;$A282, ""volume"", today()-21, today()-1), , 2))"),"#N/A")</f>
        <v/>
      </c>
      <c r="J282" s="14">
        <f>(H282-I282)/I282</f>
        <v/>
      </c>
      <c r="K282" s="13">
        <f>IFERROR(__xludf.DUMMYFUNCTION("AVERAGE(index(GOOGLEFINANCE(""NSE:""&amp;$A282, ""close"", today()-6, today()-1), , 2))"),"#N/A")</f>
        <v/>
      </c>
      <c r="L282" s="13">
        <f>IFERROR(__xludf.DUMMYFUNCTION("AVERAGE(index(GOOGLEFINANCE(""NSE:""&amp;$A282, ""close"", today()-14, today()-1), , 2))"),"#N/A")</f>
        <v/>
      </c>
      <c r="M282" s="13">
        <f>IFERROR(__xludf.DUMMYFUNCTION("AVERAGE(index(GOOGLEFINANCE(""NSE:""&amp;$A282, ""close"", today()-22, today()-1), , 2))"),"#N/A")</f>
        <v/>
      </c>
      <c r="N282" s="13">
        <f>AG282</f>
        <v/>
      </c>
      <c r="O282" s="13">
        <f>AI282</f>
        <v/>
      </c>
      <c r="P282" s="13">
        <f>W282</f>
        <v/>
      </c>
      <c r="Q282" s="13">
        <f>Y282</f>
        <v/>
      </c>
      <c r="R282" s="15" t="n"/>
      <c r="S282" s="15">
        <f>LEFT(W282,2)&amp;LEFT(Y282,2)</f>
        <v/>
      </c>
      <c r="T282" s="15" t="n"/>
      <c r="U282" s="15">
        <f>IF(K282&lt;L282,1,0)</f>
        <v/>
      </c>
      <c r="V282" s="15">
        <f>IF(H282&gt;I282,1,0)</f>
        <v/>
      </c>
      <c r="W282" s="15">
        <f>IF(SUM(U282:V282)=2,"Anticipatory_Sell","No_Action")</f>
        <v/>
      </c>
      <c r="X282" s="15" t="n"/>
      <c r="Y282" s="15">
        <f>IF(SUM(Z282:AA282)=2,"Confirm_Sell","No_Action")</f>
        <v/>
      </c>
      <c r="Z282" s="15">
        <f>IF(H282&gt;I282,1,0)</f>
        <v/>
      </c>
      <c r="AA282" s="15">
        <f>IF(K282&lt;M282,1,0)</f>
        <v/>
      </c>
      <c r="AB282" s="15" t="n"/>
      <c r="AC282" s="15">
        <f>LEFT(AG282,2)&amp;LEFT(AI282,2)</f>
        <v/>
      </c>
      <c r="AD282" s="15" t="n"/>
      <c r="AE282" s="15">
        <f>IF(K282&gt;L282,1,0)</f>
        <v/>
      </c>
      <c r="AF282" s="16">
        <f>IF(H282&gt;I282,1,0)</f>
        <v/>
      </c>
      <c r="AG282" s="16">
        <f>IF(SUM(AE282:AF282)=2,"Anticipatory_Buy","No_Action")</f>
        <v/>
      </c>
      <c r="AH282" s="15" t="n"/>
      <c r="AI282" s="15">
        <f>IF(SUM(AJ282:AK282)=2,"Confirm_Buy","No_Action")</f>
        <v/>
      </c>
      <c r="AJ282" s="15">
        <f>IF(H282&gt;I282,1,0)</f>
        <v/>
      </c>
      <c r="AK282" s="15">
        <f>IF(K282&gt;M282,1,0)</f>
        <v/>
      </c>
    </row>
    <row r="283" ht="14.5" customHeight="1">
      <c r="A283" s="12" t="inlineStr">
        <is>
          <t>SHREECEM</t>
        </is>
      </c>
      <c r="B283" s="13">
        <f>IFERROR(__xludf.DUMMYFUNCTION("GOOGLEFINANCE(""NSE:""&amp;A283,""PRICE"")"),26748)</f>
        <v/>
      </c>
      <c r="C283" s="13">
        <f>IFERROR(__xludf.DUMMYFUNCTION("GOOGLEFINANCE(""NSE:""&amp;A283,""PRICEOPEN"")"),27076)</f>
        <v/>
      </c>
      <c r="D283" s="13">
        <f>IFERROR(__xludf.DUMMYFUNCTION("GOOGLEFINANCE(""NSE:""&amp;A283,""HIGH"")"),27097)</f>
        <v/>
      </c>
      <c r="E283" s="13">
        <f>IFERROR(__xludf.DUMMYFUNCTION("GOOGLEFINANCE(""NSE:""&amp;A283,""LOW"")"),26453.05)</f>
        <v/>
      </c>
      <c r="F283" s="13">
        <f>IFERROR(__xludf.DUMMYFUNCTION("GOOGLEFINANCE(""NSE:""&amp;A283,""closeyest"")"),27076.65)</f>
        <v/>
      </c>
      <c r="G283" s="14">
        <f>(B283-C283)/B283</f>
        <v/>
      </c>
      <c r="H283" s="13">
        <f>IFERROR(__xludf.DUMMYFUNCTION("GOOGLEFINANCE(""NSE:""&amp;A283,""VOLUME"")"),24896)</f>
        <v/>
      </c>
      <c r="I283" s="13">
        <f>IFERROR(__xludf.DUMMYFUNCTION("AVERAGE(index(GOOGLEFINANCE(""NSE:""&amp;$A283, ""volume"", today()-21, today()-1), , 2))"),"#N/A")</f>
        <v/>
      </c>
      <c r="J283" s="14">
        <f>(H283-I283)/I283</f>
        <v/>
      </c>
      <c r="K283" s="13">
        <f>IFERROR(__xludf.DUMMYFUNCTION("AVERAGE(index(GOOGLEFINANCE(""NSE:""&amp;$A283, ""close"", today()-6, today()-1), , 2))"),"#N/A")</f>
        <v/>
      </c>
      <c r="L283" s="13">
        <f>IFERROR(__xludf.DUMMYFUNCTION("AVERAGE(index(GOOGLEFINANCE(""NSE:""&amp;$A283, ""close"", today()-14, today()-1), , 2))"),"#N/A")</f>
        <v/>
      </c>
      <c r="M283" s="13">
        <f>IFERROR(__xludf.DUMMYFUNCTION("AVERAGE(index(GOOGLEFINANCE(""NSE:""&amp;$A283, ""close"", today()-22, today()-1), , 2))"),"#N/A")</f>
        <v/>
      </c>
      <c r="N283" s="13">
        <f>AG283</f>
        <v/>
      </c>
      <c r="O283" s="13">
        <f>AI283</f>
        <v/>
      </c>
      <c r="P283" s="13">
        <f>W283</f>
        <v/>
      </c>
      <c r="Q283" s="13">
        <f>Y283</f>
        <v/>
      </c>
      <c r="R283" s="15" t="n"/>
      <c r="S283" s="15">
        <f>LEFT(W283,2)&amp;LEFT(Y283,2)</f>
        <v/>
      </c>
      <c r="T283" s="15" t="n"/>
      <c r="U283" s="15">
        <f>IF(K283&lt;L283,1,0)</f>
        <v/>
      </c>
      <c r="V283" s="15">
        <f>IF(H283&gt;I283,1,0)</f>
        <v/>
      </c>
      <c r="W283" s="15">
        <f>IF(SUM(U283:V283)=2,"Anticipatory_Sell","No_Action")</f>
        <v/>
      </c>
      <c r="X283" s="15" t="n"/>
      <c r="Y283" s="15">
        <f>IF(SUM(Z283:AA283)=2,"Confirm_Sell","No_Action")</f>
        <v/>
      </c>
      <c r="Z283" s="15">
        <f>IF(H283&gt;I283,1,0)</f>
        <v/>
      </c>
      <c r="AA283" s="15">
        <f>IF(K283&lt;M283,1,0)</f>
        <v/>
      </c>
      <c r="AB283" s="15" t="n"/>
      <c r="AC283" s="15">
        <f>LEFT(AG283,2)&amp;LEFT(AI283,2)</f>
        <v/>
      </c>
      <c r="AD283" s="15" t="n"/>
      <c r="AE283" s="15">
        <f>IF(K283&gt;L283,1,0)</f>
        <v/>
      </c>
      <c r="AF283" s="16">
        <f>IF(H283&gt;I283,1,0)</f>
        <v/>
      </c>
      <c r="AG283" s="16">
        <f>IF(SUM(AE283:AF283)=2,"Anticipatory_Buy","No_Action")</f>
        <v/>
      </c>
      <c r="AH283" s="15" t="n"/>
      <c r="AI283" s="15">
        <f>IF(SUM(AJ283:AK283)=2,"Confirm_Buy","No_Action")</f>
        <v/>
      </c>
      <c r="AJ283" s="15">
        <f>IF(H283&gt;I283,1,0)</f>
        <v/>
      </c>
      <c r="AK283" s="15">
        <f>IF(K283&gt;M283,1,0)</f>
        <v/>
      </c>
    </row>
    <row r="284" ht="14.5" customHeight="1">
      <c r="A284" s="12" t="inlineStr">
        <is>
          <t>SHRIRAMFIN</t>
        </is>
      </c>
      <c r="B284" s="13">
        <f>IFERROR(__xludf.DUMMYFUNCTION("GOOGLEFINANCE(""NSE:""&amp;A284,""PRICE"")"),3105)</f>
        <v/>
      </c>
      <c r="C284" s="13">
        <f>IFERROR(__xludf.DUMMYFUNCTION("GOOGLEFINANCE(""NSE:""&amp;A284,""PRICEOPEN"")"),3100.6)</f>
        <v/>
      </c>
      <c r="D284" s="13">
        <f>IFERROR(__xludf.DUMMYFUNCTION("GOOGLEFINANCE(""NSE:""&amp;A284,""HIGH"")"),3163.35)</f>
        <v/>
      </c>
      <c r="E284" s="13">
        <f>IFERROR(__xludf.DUMMYFUNCTION("GOOGLEFINANCE(""NSE:""&amp;A284,""LOW"")"),3095.5)</f>
        <v/>
      </c>
      <c r="F284" s="13">
        <f>IFERROR(__xludf.DUMMYFUNCTION("GOOGLEFINANCE(""NSE:""&amp;A284,""closeyest"")"),3126.35)</f>
        <v/>
      </c>
      <c r="G284" s="14">
        <f>(B284-C284)/B284</f>
        <v/>
      </c>
      <c r="H284" s="13">
        <f>IFERROR(__xludf.DUMMYFUNCTION("GOOGLEFINANCE(""NSE:""&amp;A284,""VOLUME"")"),792799)</f>
        <v/>
      </c>
      <c r="I284" s="13">
        <f>IFERROR(__xludf.DUMMYFUNCTION("AVERAGE(index(GOOGLEFINANCE(""NSE:""&amp;$A284, ""volume"", today()-21, today()-1), , 2))"),"#N/A")</f>
        <v/>
      </c>
      <c r="J284" s="14">
        <f>(H284-I284)/I284</f>
        <v/>
      </c>
      <c r="K284" s="13">
        <f>IFERROR(__xludf.DUMMYFUNCTION("AVERAGE(index(GOOGLEFINANCE(""NSE:""&amp;$A284, ""close"", today()-6, today()-1), , 2))"),"#N/A")</f>
        <v/>
      </c>
      <c r="L284" s="13">
        <f>IFERROR(__xludf.DUMMYFUNCTION("AVERAGE(index(GOOGLEFINANCE(""NSE:""&amp;$A284, ""close"", today()-14, today()-1), , 2))"),"#N/A")</f>
        <v/>
      </c>
      <c r="M284" s="13">
        <f>IFERROR(__xludf.DUMMYFUNCTION("AVERAGE(index(GOOGLEFINANCE(""NSE:""&amp;$A284, ""close"", today()-22, today()-1), , 2))"),"#N/A")</f>
        <v/>
      </c>
      <c r="N284" s="13">
        <f>AG284</f>
        <v/>
      </c>
      <c r="O284" s="13">
        <f>AI284</f>
        <v/>
      </c>
      <c r="P284" s="13">
        <f>W284</f>
        <v/>
      </c>
      <c r="Q284" s="13">
        <f>Y284</f>
        <v/>
      </c>
      <c r="R284" s="15" t="n"/>
      <c r="S284" s="15">
        <f>LEFT(W284,2)&amp;LEFT(Y284,2)</f>
        <v/>
      </c>
      <c r="T284" s="15" t="n"/>
      <c r="U284" s="15">
        <f>IF(K284&lt;L284,1,0)</f>
        <v/>
      </c>
      <c r="V284" s="15">
        <f>IF(H284&gt;I284,1,0)</f>
        <v/>
      </c>
      <c r="W284" s="15">
        <f>IF(SUM(U284:V284)=2,"Anticipatory_Sell","No_Action")</f>
        <v/>
      </c>
      <c r="X284" s="15" t="n"/>
      <c r="Y284" s="15">
        <f>IF(SUM(Z284:AA284)=2,"Confirm_Sell","No_Action")</f>
        <v/>
      </c>
      <c r="Z284" s="15">
        <f>IF(H284&gt;I284,1,0)</f>
        <v/>
      </c>
      <c r="AA284" s="15">
        <f>IF(K284&lt;M284,1,0)</f>
        <v/>
      </c>
      <c r="AB284" s="15" t="n"/>
      <c r="AC284" s="15">
        <f>LEFT(AG284,2)&amp;LEFT(AI284,2)</f>
        <v/>
      </c>
      <c r="AD284" s="15" t="n"/>
      <c r="AE284" s="15">
        <f>IF(K284&gt;L284,1,0)</f>
        <v/>
      </c>
      <c r="AF284" s="16">
        <f>IF(H284&gt;I284,1,0)</f>
        <v/>
      </c>
      <c r="AG284" s="16">
        <f>IF(SUM(AE284:AF284)=2,"Anticipatory_Buy","No_Action")</f>
        <v/>
      </c>
      <c r="AH284" s="15" t="n"/>
      <c r="AI284" s="15">
        <f>IF(SUM(AJ284:AK284)=2,"Confirm_Buy","No_Action")</f>
        <v/>
      </c>
      <c r="AJ284" s="15">
        <f>IF(H284&gt;I284,1,0)</f>
        <v/>
      </c>
      <c r="AK284" s="15">
        <f>IF(K284&gt;M284,1,0)</f>
        <v/>
      </c>
    </row>
    <row r="285" ht="14.5" customHeight="1">
      <c r="A285" s="12" t="inlineStr">
        <is>
          <t>SHYAMMETL</t>
        </is>
      </c>
      <c r="B285" s="13">
        <f>IFERROR(__xludf.DUMMYFUNCTION("GOOGLEFINANCE(""NSE:""&amp;A285,""PRICE"")"),848.35)</f>
        <v/>
      </c>
      <c r="C285" s="13">
        <f>IFERROR(__xludf.DUMMYFUNCTION("GOOGLEFINANCE(""NSE:""&amp;A285,""PRICEOPEN"")"),852.8)</f>
        <v/>
      </c>
      <c r="D285" s="13">
        <f>IFERROR(__xludf.DUMMYFUNCTION("GOOGLEFINANCE(""NSE:""&amp;A285,""HIGH"")"),854.45)</f>
        <v/>
      </c>
      <c r="E285" s="13">
        <f>IFERROR(__xludf.DUMMYFUNCTION("GOOGLEFINANCE(""NSE:""&amp;A285,""LOW"")"),835.5)</f>
        <v/>
      </c>
      <c r="F285" s="13">
        <f>IFERROR(__xludf.DUMMYFUNCTION("GOOGLEFINANCE(""NSE:""&amp;A285,""closeyest"")"),852.8)</f>
        <v/>
      </c>
      <c r="G285" s="14">
        <f>(B285-C285)/B285</f>
        <v/>
      </c>
      <c r="H285" s="13">
        <f>IFERROR(__xludf.DUMMYFUNCTION("GOOGLEFINANCE(""NSE:""&amp;A285,""VOLUME"")"),204127)</f>
        <v/>
      </c>
      <c r="I285" s="13">
        <f>IFERROR(__xludf.DUMMYFUNCTION("AVERAGE(index(GOOGLEFINANCE(""NSE:""&amp;$A285, ""volume"", today()-21, today()-1), , 2))"),"#N/A")</f>
        <v/>
      </c>
      <c r="J285" s="14">
        <f>(H285-I285)/I285</f>
        <v/>
      </c>
      <c r="K285" s="13">
        <f>IFERROR(__xludf.DUMMYFUNCTION("AVERAGE(index(GOOGLEFINANCE(""NSE:""&amp;$A285, ""close"", today()-6, today()-1), , 2))"),"#N/A")</f>
        <v/>
      </c>
      <c r="L285" s="13">
        <f>IFERROR(__xludf.DUMMYFUNCTION("AVERAGE(index(GOOGLEFINANCE(""NSE:""&amp;$A285, ""close"", today()-14, today()-1), , 2))"),"#N/A")</f>
        <v/>
      </c>
      <c r="M285" s="13">
        <f>IFERROR(__xludf.DUMMYFUNCTION("AVERAGE(index(GOOGLEFINANCE(""NSE:""&amp;$A285, ""close"", today()-22, today()-1), , 2))"),"#N/A")</f>
        <v/>
      </c>
      <c r="N285" s="13">
        <f>AG285</f>
        <v/>
      </c>
      <c r="O285" s="13">
        <f>AI285</f>
        <v/>
      </c>
      <c r="P285" s="13">
        <f>W285</f>
        <v/>
      </c>
      <c r="Q285" s="13">
        <f>Y285</f>
        <v/>
      </c>
      <c r="R285" s="15" t="n"/>
      <c r="S285" s="15">
        <f>LEFT(W285,2)&amp;LEFT(Y285,2)</f>
        <v/>
      </c>
      <c r="T285" s="15" t="n"/>
      <c r="U285" s="15">
        <f>IF(K285&lt;L285,1,0)</f>
        <v/>
      </c>
      <c r="V285" s="15">
        <f>IF(H285&gt;I285,1,0)</f>
        <v/>
      </c>
      <c r="W285" s="15">
        <f>IF(SUM(U285:V285)=2,"Anticipatory_Sell","No_Action")</f>
        <v/>
      </c>
      <c r="X285" s="15" t="n"/>
      <c r="Y285" s="15">
        <f>IF(SUM(Z285:AA285)=2,"Confirm_Sell","No_Action")</f>
        <v/>
      </c>
      <c r="Z285" s="15">
        <f>IF(H285&gt;I285,1,0)</f>
        <v/>
      </c>
      <c r="AA285" s="15">
        <f>IF(K285&lt;M285,1,0)</f>
        <v/>
      </c>
      <c r="AB285" s="15" t="n"/>
      <c r="AC285" s="15">
        <f>LEFT(AG285,2)&amp;LEFT(AI285,2)</f>
        <v/>
      </c>
      <c r="AD285" s="15" t="n"/>
      <c r="AE285" s="15">
        <f>IF(K285&gt;L285,1,0)</f>
        <v/>
      </c>
      <c r="AF285" s="16">
        <f>IF(H285&gt;I285,1,0)</f>
        <v/>
      </c>
      <c r="AG285" s="16">
        <f>IF(SUM(AE285:AF285)=2,"Anticipatory_Buy","No_Action")</f>
        <v/>
      </c>
      <c r="AH285" s="15" t="n"/>
      <c r="AI285" s="15">
        <f>IF(SUM(AJ285:AK285)=2,"Confirm_Buy","No_Action")</f>
        <v/>
      </c>
      <c r="AJ285" s="15">
        <f>IF(H285&gt;I285,1,0)</f>
        <v/>
      </c>
      <c r="AK285" s="15">
        <f>IF(K285&gt;M285,1,0)</f>
        <v/>
      </c>
    </row>
    <row r="286" ht="14.5" customHeight="1">
      <c r="A286" s="12" t="inlineStr">
        <is>
          <t>SIGACHI</t>
        </is>
      </c>
      <c r="B286" s="13">
        <f>IFERROR(__xludf.DUMMYFUNCTION("GOOGLEFINANCE(""NSE:""&amp;A286,""PRICE"")"),54.04)</f>
        <v/>
      </c>
      <c r="C286" s="13">
        <f>IFERROR(__xludf.DUMMYFUNCTION("GOOGLEFINANCE(""NSE:""&amp;A286,""PRICEOPEN"")"),53.92)</f>
        <v/>
      </c>
      <c r="D286" s="13">
        <f>IFERROR(__xludf.DUMMYFUNCTION("GOOGLEFINANCE(""NSE:""&amp;A286,""HIGH"")"),55.4)</f>
        <v/>
      </c>
      <c r="E286" s="13">
        <f>IFERROR(__xludf.DUMMYFUNCTION("GOOGLEFINANCE(""NSE:""&amp;A286,""LOW"")"),53.5)</f>
        <v/>
      </c>
      <c r="F286" s="13">
        <f>IFERROR(__xludf.DUMMYFUNCTION("GOOGLEFINANCE(""NSE:""&amp;A286,""closeyest"")"),53.71)</f>
        <v/>
      </c>
      <c r="G286" s="14">
        <f>(B286-C286)/B286</f>
        <v/>
      </c>
      <c r="H286" s="13">
        <f>IFERROR(__xludf.DUMMYFUNCTION("GOOGLEFINANCE(""NSE:""&amp;A286,""VOLUME"")"),1309047)</f>
        <v/>
      </c>
      <c r="I286" s="13">
        <f>IFERROR(__xludf.DUMMYFUNCTION("AVERAGE(index(GOOGLEFINANCE(""NSE:""&amp;$A286, ""volume"", today()-21, today()-1), , 2))"),"#N/A")</f>
        <v/>
      </c>
      <c r="J286" s="14">
        <f>(H286-I286)/I286</f>
        <v/>
      </c>
      <c r="K286" s="13">
        <f>IFERROR(__xludf.DUMMYFUNCTION("AVERAGE(index(GOOGLEFINANCE(""NSE:""&amp;$A286, ""close"", today()-6, today()-1), , 2))"),"#N/A")</f>
        <v/>
      </c>
      <c r="L286" s="13">
        <f>IFERROR(__xludf.DUMMYFUNCTION("AVERAGE(index(GOOGLEFINANCE(""NSE:""&amp;$A286, ""close"", today()-14, today()-1), , 2))"),"#N/A")</f>
        <v/>
      </c>
      <c r="M286" s="13">
        <f>IFERROR(__xludf.DUMMYFUNCTION("AVERAGE(index(GOOGLEFINANCE(""NSE:""&amp;$A286, ""close"", today()-22, today()-1), , 2))"),"#N/A")</f>
        <v/>
      </c>
      <c r="N286" s="13">
        <f>AG286</f>
        <v/>
      </c>
      <c r="O286" s="13">
        <f>AI286</f>
        <v/>
      </c>
      <c r="P286" s="13">
        <f>W286</f>
        <v/>
      </c>
      <c r="Q286" s="13">
        <f>Y286</f>
        <v/>
      </c>
      <c r="R286" s="15" t="n"/>
      <c r="S286" s="15">
        <f>LEFT(W286,2)&amp;LEFT(Y286,2)</f>
        <v/>
      </c>
      <c r="T286" s="15" t="n"/>
      <c r="U286" s="15">
        <f>IF(K286&lt;L286,1,0)</f>
        <v/>
      </c>
      <c r="V286" s="15">
        <f>IF(H286&gt;I286,1,0)</f>
        <v/>
      </c>
      <c r="W286" s="15">
        <f>IF(SUM(U286:V286)=2,"Anticipatory_Sell","No_Action")</f>
        <v/>
      </c>
      <c r="X286" s="15" t="n"/>
      <c r="Y286" s="15">
        <f>IF(SUM(Z286:AA286)=2,"Confirm_Sell","No_Action")</f>
        <v/>
      </c>
      <c r="Z286" s="15">
        <f>IF(H286&gt;I286,1,0)</f>
        <v/>
      </c>
      <c r="AA286" s="15">
        <f>IF(K286&lt;M286,1,0)</f>
        <v/>
      </c>
      <c r="AB286" s="15" t="n"/>
      <c r="AC286" s="15">
        <f>LEFT(AG286,2)&amp;LEFT(AI286,2)</f>
        <v/>
      </c>
      <c r="AD286" s="15" t="n"/>
      <c r="AE286" s="15">
        <f>IF(K286&gt;L286,1,0)</f>
        <v/>
      </c>
      <c r="AF286" s="16">
        <f>IF(H286&gt;I286,1,0)</f>
        <v/>
      </c>
      <c r="AG286" s="16">
        <f>IF(SUM(AE286:AF286)=2,"Anticipatory_Buy","No_Action")</f>
        <v/>
      </c>
      <c r="AH286" s="15" t="n"/>
      <c r="AI286" s="15">
        <f>IF(SUM(AJ286:AK286)=2,"Confirm_Buy","No_Action")</f>
        <v/>
      </c>
      <c r="AJ286" s="15">
        <f>IF(H286&gt;I286,1,0)</f>
        <v/>
      </c>
      <c r="AK286" s="15">
        <f>IF(K286&gt;M286,1,0)</f>
        <v/>
      </c>
    </row>
    <row r="287" ht="14.5" customHeight="1">
      <c r="A287" s="12" t="inlineStr">
        <is>
          <t>SIRCA</t>
        </is>
      </c>
      <c r="B287" s="13">
        <f>IFERROR(__xludf.DUMMYFUNCTION("GOOGLEFINANCE(""NSE:""&amp;A287,""PRICE"")"),335.3)</f>
        <v/>
      </c>
      <c r="C287" s="13">
        <f>IFERROR(__xludf.DUMMYFUNCTION("GOOGLEFINANCE(""NSE:""&amp;A287,""PRICEOPEN"")"),341.25)</f>
        <v/>
      </c>
      <c r="D287" s="13">
        <f>IFERROR(__xludf.DUMMYFUNCTION("GOOGLEFINANCE(""NSE:""&amp;A287,""HIGH"")"),343.5)</f>
        <v/>
      </c>
      <c r="E287" s="13">
        <f>IFERROR(__xludf.DUMMYFUNCTION("GOOGLEFINANCE(""NSE:""&amp;A287,""LOW"")"),333.95)</f>
        <v/>
      </c>
      <c r="F287" s="13">
        <f>IFERROR(__xludf.DUMMYFUNCTION("GOOGLEFINANCE(""NSE:""&amp;A287,""closeyest"")"),340.45)</f>
        <v/>
      </c>
      <c r="G287" s="14">
        <f>(B287-C287)/B287</f>
        <v/>
      </c>
      <c r="H287" s="13">
        <f>IFERROR(__xludf.DUMMYFUNCTION("GOOGLEFINANCE(""NSE:""&amp;A287,""VOLUME"")"),70300)</f>
        <v/>
      </c>
      <c r="I287" s="13">
        <f>IFERROR(__xludf.DUMMYFUNCTION("AVERAGE(index(GOOGLEFINANCE(""NSE:""&amp;$A287, ""volume"", today()-21, today()-1), , 2))"),"#N/A")</f>
        <v/>
      </c>
      <c r="J287" s="14">
        <f>(H287-I287)/I287</f>
        <v/>
      </c>
      <c r="K287" s="13">
        <f>IFERROR(__xludf.DUMMYFUNCTION("AVERAGE(index(GOOGLEFINANCE(""NSE:""&amp;$A287, ""close"", today()-6, today()-1), , 2))"),"#N/A")</f>
        <v/>
      </c>
      <c r="L287" s="13">
        <f>IFERROR(__xludf.DUMMYFUNCTION("AVERAGE(index(GOOGLEFINANCE(""NSE:""&amp;$A287, ""close"", today()-14, today()-1), , 2))"),"#N/A")</f>
        <v/>
      </c>
      <c r="M287" s="13">
        <f>IFERROR(__xludf.DUMMYFUNCTION("AVERAGE(index(GOOGLEFINANCE(""NSE:""&amp;$A287, ""close"", today()-22, today()-1), , 2))"),"#N/A")</f>
        <v/>
      </c>
      <c r="N287" s="13">
        <f>AG287</f>
        <v/>
      </c>
      <c r="O287" s="13">
        <f>AI287</f>
        <v/>
      </c>
      <c r="P287" s="13">
        <f>W287</f>
        <v/>
      </c>
      <c r="Q287" s="13">
        <f>Y287</f>
        <v/>
      </c>
      <c r="R287" s="15" t="n"/>
      <c r="S287" s="15">
        <f>LEFT(W287,2)&amp;LEFT(Y287,2)</f>
        <v/>
      </c>
      <c r="T287" s="15" t="n"/>
      <c r="U287" s="15">
        <f>IF(K287&lt;L287,1,0)</f>
        <v/>
      </c>
      <c r="V287" s="15">
        <f>IF(H287&gt;I287,1,0)</f>
        <v/>
      </c>
      <c r="W287" s="15">
        <f>IF(SUM(U287:V287)=2,"Anticipatory_Sell","No_Action")</f>
        <v/>
      </c>
      <c r="X287" s="15" t="n"/>
      <c r="Y287" s="15">
        <f>IF(SUM(Z287:AA287)=2,"Confirm_Sell","No_Action")</f>
        <v/>
      </c>
      <c r="Z287" s="15">
        <f>IF(H287&gt;I287,1,0)</f>
        <v/>
      </c>
      <c r="AA287" s="15">
        <f>IF(K287&lt;M287,1,0)</f>
        <v/>
      </c>
      <c r="AB287" s="15" t="n"/>
      <c r="AC287" s="15">
        <f>LEFT(AG287,2)&amp;LEFT(AI287,2)</f>
        <v/>
      </c>
      <c r="AD287" s="15" t="n"/>
      <c r="AE287" s="15">
        <f>IF(K287&gt;L287,1,0)</f>
        <v/>
      </c>
      <c r="AF287" s="16">
        <f>IF(H287&gt;I287,1,0)</f>
        <v/>
      </c>
      <c r="AG287" s="16">
        <f>IF(SUM(AE287:AF287)=2,"Anticipatory_Buy","No_Action")</f>
        <v/>
      </c>
      <c r="AH287" s="15" t="n"/>
      <c r="AI287" s="15">
        <f>IF(SUM(AJ287:AK287)=2,"Confirm_Buy","No_Action")</f>
        <v/>
      </c>
      <c r="AJ287" s="15">
        <f>IF(H287&gt;I287,1,0)</f>
        <v/>
      </c>
      <c r="AK287" s="15">
        <f>IF(K287&gt;M287,1,0)</f>
        <v/>
      </c>
    </row>
    <row r="288" ht="14.5" customHeight="1">
      <c r="A288" s="12" t="inlineStr">
        <is>
          <t>SIYSIL</t>
        </is>
      </c>
      <c r="B288" s="13">
        <f>IFERROR(__xludf.DUMMYFUNCTION("GOOGLEFINANCE(""NSE:""&amp;A288,""PRICE"")"),863.4)</f>
        <v/>
      </c>
      <c r="C288" s="13">
        <f>IFERROR(__xludf.DUMMYFUNCTION("GOOGLEFINANCE(""NSE:""&amp;A288,""PRICEOPEN"")"),887)</f>
        <v/>
      </c>
      <c r="D288" s="13">
        <f>IFERROR(__xludf.DUMMYFUNCTION("GOOGLEFINANCE(""NSE:""&amp;A288,""HIGH"")"),887)</f>
        <v/>
      </c>
      <c r="E288" s="13">
        <f>IFERROR(__xludf.DUMMYFUNCTION("GOOGLEFINANCE(""NSE:""&amp;A288,""LOW"")"),857.5)</f>
        <v/>
      </c>
      <c r="F288" s="13">
        <f>IFERROR(__xludf.DUMMYFUNCTION("GOOGLEFINANCE(""NSE:""&amp;A288,""closeyest"")"),867.65)</f>
        <v/>
      </c>
      <c r="G288" s="14">
        <f>(B288-C288)/B288</f>
        <v/>
      </c>
      <c r="H288" s="13">
        <f>IFERROR(__xludf.DUMMYFUNCTION("GOOGLEFINANCE(""NSE:""&amp;A288,""VOLUME"")"),205409)</f>
        <v/>
      </c>
      <c r="I288" s="13">
        <f>IFERROR(__xludf.DUMMYFUNCTION("AVERAGE(index(GOOGLEFINANCE(""NSE:""&amp;$A288, ""volume"", today()-21, today()-1), , 2))"),"#N/A")</f>
        <v/>
      </c>
      <c r="J288" s="14">
        <f>(H288-I288)/I288</f>
        <v/>
      </c>
      <c r="K288" s="13">
        <f>IFERROR(__xludf.DUMMYFUNCTION("AVERAGE(index(GOOGLEFINANCE(""NSE:""&amp;$A288, ""close"", today()-6, today()-1), , 2))"),"#N/A")</f>
        <v/>
      </c>
      <c r="L288" s="13">
        <f>IFERROR(__xludf.DUMMYFUNCTION("AVERAGE(index(GOOGLEFINANCE(""NSE:""&amp;$A288, ""close"", today()-14, today()-1), , 2))"),"#N/A")</f>
        <v/>
      </c>
      <c r="M288" s="13">
        <f>IFERROR(__xludf.DUMMYFUNCTION("AVERAGE(index(GOOGLEFINANCE(""NSE:""&amp;$A288, ""close"", today()-22, today()-1), , 2))"),"#N/A")</f>
        <v/>
      </c>
      <c r="N288" s="13">
        <f>AG288</f>
        <v/>
      </c>
      <c r="O288" s="13">
        <f>AI288</f>
        <v/>
      </c>
      <c r="P288" s="13">
        <f>W288</f>
        <v/>
      </c>
      <c r="Q288" s="13">
        <f>Y288</f>
        <v/>
      </c>
      <c r="R288" s="15" t="n"/>
      <c r="S288" s="15">
        <f>LEFT(W288,2)&amp;LEFT(Y288,2)</f>
        <v/>
      </c>
      <c r="T288" s="15" t="n"/>
      <c r="U288" s="15">
        <f>IF(K288&lt;L288,1,0)</f>
        <v/>
      </c>
      <c r="V288" s="15">
        <f>IF(H288&gt;I288,1,0)</f>
        <v/>
      </c>
      <c r="W288" s="15">
        <f>IF(SUM(U288:V288)=2,"Anticipatory_Sell","No_Action")</f>
        <v/>
      </c>
      <c r="X288" s="15" t="n"/>
      <c r="Y288" s="15">
        <f>IF(SUM(Z288:AA288)=2,"Confirm_Sell","No_Action")</f>
        <v/>
      </c>
      <c r="Z288" s="15">
        <f>IF(H288&gt;I288,1,0)</f>
        <v/>
      </c>
      <c r="AA288" s="15">
        <f>IF(K288&lt;M288,1,0)</f>
        <v/>
      </c>
      <c r="AB288" s="15" t="n"/>
      <c r="AC288" s="15">
        <f>LEFT(AG288,2)&amp;LEFT(AI288,2)</f>
        <v/>
      </c>
      <c r="AD288" s="15" t="n"/>
      <c r="AE288" s="15">
        <f>IF(K288&gt;L288,1,0)</f>
        <v/>
      </c>
      <c r="AF288" s="16">
        <f>IF(H288&gt;I288,1,0)</f>
        <v/>
      </c>
      <c r="AG288" s="16">
        <f>IF(SUM(AE288:AF288)=2,"Anticipatory_Buy","No_Action")</f>
        <v/>
      </c>
      <c r="AH288" s="15" t="n"/>
      <c r="AI288" s="15">
        <f>IF(SUM(AJ288:AK288)=2,"Confirm_Buy","No_Action")</f>
        <v/>
      </c>
      <c r="AJ288" s="15">
        <f>IF(H288&gt;I288,1,0)</f>
        <v/>
      </c>
      <c r="AK288" s="15">
        <f>IF(K288&gt;M288,1,0)</f>
        <v/>
      </c>
    </row>
    <row r="289" ht="14.5" customHeight="1">
      <c r="A289" s="12" t="inlineStr">
        <is>
          <t>SKFINDIA</t>
        </is>
      </c>
      <c r="B289" s="13">
        <f>IFERROR(__xludf.DUMMYFUNCTION("GOOGLEFINANCE(""NSE:""&amp;A289,""PRICE"")"),5019.95)</f>
        <v/>
      </c>
      <c r="C289" s="13">
        <f>IFERROR(__xludf.DUMMYFUNCTION("GOOGLEFINANCE(""NSE:""&amp;A289,""PRICEOPEN"")"),5080.6)</f>
        <v/>
      </c>
      <c r="D289" s="13">
        <f>IFERROR(__xludf.DUMMYFUNCTION("GOOGLEFINANCE(""NSE:""&amp;A289,""HIGH"")"),5083.5)</f>
        <v/>
      </c>
      <c r="E289" s="13">
        <f>IFERROR(__xludf.DUMMYFUNCTION("GOOGLEFINANCE(""NSE:""&amp;A289,""LOW"")"),5010)</f>
        <v/>
      </c>
      <c r="F289" s="13">
        <f>IFERROR(__xludf.DUMMYFUNCTION("GOOGLEFINANCE(""NSE:""&amp;A289,""closeyest"")"),5083.5)</f>
        <v/>
      </c>
      <c r="G289" s="14">
        <f>(B289-C289)/B289</f>
        <v/>
      </c>
      <c r="H289" s="13">
        <f>IFERROR(__xludf.DUMMYFUNCTION("GOOGLEFINANCE(""NSE:""&amp;A289,""VOLUME"")"),27196)</f>
        <v/>
      </c>
      <c r="I289" s="13">
        <f>IFERROR(__xludf.DUMMYFUNCTION("AVERAGE(index(GOOGLEFINANCE(""NSE:""&amp;$A289, ""volume"", today()-21, today()-1), , 2))"),"#N/A")</f>
        <v/>
      </c>
      <c r="J289" s="14">
        <f>(H289-I289)/I289</f>
        <v/>
      </c>
      <c r="K289" s="13">
        <f>IFERROR(__xludf.DUMMYFUNCTION("AVERAGE(index(GOOGLEFINANCE(""NSE:""&amp;$A289, ""close"", today()-6, today()-1), , 2))"),"#N/A")</f>
        <v/>
      </c>
      <c r="L289" s="13">
        <f>IFERROR(__xludf.DUMMYFUNCTION("AVERAGE(index(GOOGLEFINANCE(""NSE:""&amp;$A289, ""close"", today()-14, today()-1), , 2))"),"#N/A")</f>
        <v/>
      </c>
      <c r="M289" s="13">
        <f>IFERROR(__xludf.DUMMYFUNCTION("AVERAGE(index(GOOGLEFINANCE(""NSE:""&amp;$A289, ""close"", today()-22, today()-1), , 2))"),"#N/A")</f>
        <v/>
      </c>
      <c r="N289" s="13">
        <f>AG289</f>
        <v/>
      </c>
      <c r="O289" s="13">
        <f>AI289</f>
        <v/>
      </c>
      <c r="P289" s="13">
        <f>W289</f>
        <v/>
      </c>
      <c r="Q289" s="13">
        <f>Y289</f>
        <v/>
      </c>
      <c r="R289" s="15" t="n"/>
      <c r="S289" s="15">
        <f>LEFT(W289,2)&amp;LEFT(Y289,2)</f>
        <v/>
      </c>
      <c r="T289" s="15" t="n"/>
      <c r="U289" s="15">
        <f>IF(K289&lt;L289,1,0)</f>
        <v/>
      </c>
      <c r="V289" s="15">
        <f>IF(H289&gt;I289,1,0)</f>
        <v/>
      </c>
      <c r="W289" s="15">
        <f>IF(SUM(U289:V289)=2,"Anticipatory_Sell","No_Action")</f>
        <v/>
      </c>
      <c r="X289" s="15" t="n"/>
      <c r="Y289" s="15">
        <f>IF(SUM(Z289:AA289)=2,"Confirm_Sell","No_Action")</f>
        <v/>
      </c>
      <c r="Z289" s="15">
        <f>IF(H289&gt;I289,1,0)</f>
        <v/>
      </c>
      <c r="AA289" s="15">
        <f>IF(K289&lt;M289,1,0)</f>
        <v/>
      </c>
      <c r="AB289" s="15" t="n"/>
      <c r="AC289" s="15">
        <f>LEFT(AG289,2)&amp;LEFT(AI289,2)</f>
        <v/>
      </c>
      <c r="AD289" s="15" t="n"/>
      <c r="AE289" s="15">
        <f>IF(K289&gt;L289,1,0)</f>
        <v/>
      </c>
      <c r="AF289" s="16">
        <f>IF(H289&gt;I289,1,0)</f>
        <v/>
      </c>
      <c r="AG289" s="16">
        <f>IF(SUM(AE289:AF289)=2,"Anticipatory_Buy","No_Action")</f>
        <v/>
      </c>
      <c r="AH289" s="15" t="n"/>
      <c r="AI289" s="15">
        <f>IF(SUM(AJ289:AK289)=2,"Confirm_Buy","No_Action")</f>
        <v/>
      </c>
      <c r="AJ289" s="15">
        <f>IF(H289&gt;I289,1,0)</f>
        <v/>
      </c>
      <c r="AK289" s="15">
        <f>IF(K289&gt;M289,1,0)</f>
        <v/>
      </c>
    </row>
    <row r="290" ht="14.5" customHeight="1">
      <c r="A290" s="12" t="inlineStr">
        <is>
          <t>SOMANYCERA</t>
        </is>
      </c>
      <c r="B290" s="13">
        <f>IFERROR(__xludf.DUMMYFUNCTION("GOOGLEFINANCE(""NSE:""&amp;A290,""PRICE"")"),698)</f>
        <v/>
      </c>
      <c r="C290" s="13">
        <f>IFERROR(__xludf.DUMMYFUNCTION("GOOGLEFINANCE(""NSE:""&amp;A290,""PRICEOPEN"")"),710)</f>
        <v/>
      </c>
      <c r="D290" s="13">
        <f>IFERROR(__xludf.DUMMYFUNCTION("GOOGLEFINANCE(""NSE:""&amp;A290,""HIGH"")"),714.15)</f>
        <v/>
      </c>
      <c r="E290" s="13">
        <f>IFERROR(__xludf.DUMMYFUNCTION("GOOGLEFINANCE(""NSE:""&amp;A290,""LOW"")"),690)</f>
        <v/>
      </c>
      <c r="F290" s="13">
        <f>IFERROR(__xludf.DUMMYFUNCTION("GOOGLEFINANCE(""NSE:""&amp;A290,""closeyest"")"),702.75)</f>
        <v/>
      </c>
      <c r="G290" s="14">
        <f>(B290-C290)/B290</f>
        <v/>
      </c>
      <c r="H290" s="13">
        <f>IFERROR(__xludf.DUMMYFUNCTION("GOOGLEFINANCE(""NSE:""&amp;A290,""VOLUME"")"),25395)</f>
        <v/>
      </c>
      <c r="I290" s="13">
        <f>IFERROR(__xludf.DUMMYFUNCTION("AVERAGE(index(GOOGLEFINANCE(""NSE:""&amp;$A290, ""volume"", today()-21, today()-1), , 2))"),"#N/A")</f>
        <v/>
      </c>
      <c r="J290" s="14">
        <f>(H290-I290)/I290</f>
        <v/>
      </c>
      <c r="K290" s="13">
        <f>IFERROR(__xludf.DUMMYFUNCTION("AVERAGE(index(GOOGLEFINANCE(""NSE:""&amp;$A290, ""close"", today()-6, today()-1), , 2))"),"#N/A")</f>
        <v/>
      </c>
      <c r="L290" s="13">
        <f>IFERROR(__xludf.DUMMYFUNCTION("AVERAGE(index(GOOGLEFINANCE(""NSE:""&amp;$A290, ""close"", today()-14, today()-1), , 2))"),"#N/A")</f>
        <v/>
      </c>
      <c r="M290" s="13">
        <f>IFERROR(__xludf.DUMMYFUNCTION("AVERAGE(index(GOOGLEFINANCE(""NSE:""&amp;$A290, ""close"", today()-22, today()-1), , 2))"),"#N/A")</f>
        <v/>
      </c>
      <c r="N290" s="13">
        <f>AG290</f>
        <v/>
      </c>
      <c r="O290" s="13">
        <f>AI290</f>
        <v/>
      </c>
      <c r="P290" s="13">
        <f>W290</f>
        <v/>
      </c>
      <c r="Q290" s="13">
        <f>Y290</f>
        <v/>
      </c>
      <c r="R290" s="15" t="n"/>
      <c r="S290" s="15">
        <f>LEFT(W290,2)&amp;LEFT(Y290,2)</f>
        <v/>
      </c>
      <c r="T290" s="15" t="n"/>
      <c r="U290" s="15">
        <f>IF(K290&lt;L290,1,0)</f>
        <v/>
      </c>
      <c r="V290" s="15">
        <f>IF(H290&gt;I290,1,0)</f>
        <v/>
      </c>
      <c r="W290" s="15">
        <f>IF(SUM(U290:V290)=2,"Anticipatory_Sell","No_Action")</f>
        <v/>
      </c>
      <c r="X290" s="15" t="n"/>
      <c r="Y290" s="15">
        <f>IF(SUM(Z290:AA290)=2,"Confirm_Sell","No_Action")</f>
        <v/>
      </c>
      <c r="Z290" s="15">
        <f>IF(H290&gt;I290,1,0)</f>
        <v/>
      </c>
      <c r="AA290" s="15">
        <f>IF(K290&lt;M290,1,0)</f>
        <v/>
      </c>
      <c r="AB290" s="15" t="n"/>
      <c r="AC290" s="15">
        <f>LEFT(AG290,2)&amp;LEFT(AI290,2)</f>
        <v/>
      </c>
      <c r="AD290" s="15" t="n"/>
      <c r="AE290" s="15">
        <f>IF(K290&gt;L290,1,0)</f>
        <v/>
      </c>
      <c r="AF290" s="16">
        <f>IF(H290&gt;I290,1,0)</f>
        <v/>
      </c>
      <c r="AG290" s="16">
        <f>IF(SUM(AE290:AF290)=2,"Anticipatory_Buy","No_Action")</f>
        <v/>
      </c>
      <c r="AH290" s="15" t="n"/>
      <c r="AI290" s="15">
        <f>IF(SUM(AJ290:AK290)=2,"Confirm_Buy","No_Action")</f>
        <v/>
      </c>
      <c r="AJ290" s="15">
        <f>IF(H290&gt;I290,1,0)</f>
        <v/>
      </c>
      <c r="AK290" s="15">
        <f>IF(K290&gt;M290,1,0)</f>
        <v/>
      </c>
    </row>
    <row r="291" ht="14.5" customHeight="1">
      <c r="A291" s="12" t="inlineStr">
        <is>
          <t>SRF</t>
        </is>
      </c>
      <c r="B291" s="13">
        <f>IFERROR(__xludf.DUMMYFUNCTION("GOOGLEFINANCE(""NSE:""&amp;A291,""PRICE"")"),2318.1)</f>
        <v/>
      </c>
      <c r="C291" s="13">
        <f>IFERROR(__xludf.DUMMYFUNCTION("GOOGLEFINANCE(""NSE:""&amp;A291,""PRICEOPEN"")"),2290)</f>
        <v/>
      </c>
      <c r="D291" s="13">
        <f>IFERROR(__xludf.DUMMYFUNCTION("GOOGLEFINANCE(""NSE:""&amp;A291,""HIGH"")"),2318.15)</f>
        <v/>
      </c>
      <c r="E291" s="13">
        <f>IFERROR(__xludf.DUMMYFUNCTION("GOOGLEFINANCE(""NSE:""&amp;A291,""LOW"")"),2257.8)</f>
        <v/>
      </c>
      <c r="F291" s="13">
        <f>IFERROR(__xludf.DUMMYFUNCTION("GOOGLEFINANCE(""NSE:""&amp;A291,""closeyest"")"),2294.7)</f>
        <v/>
      </c>
      <c r="G291" s="14">
        <f>(B291-C291)/B291</f>
        <v/>
      </c>
      <c r="H291" s="13">
        <f>IFERROR(__xludf.DUMMYFUNCTION("GOOGLEFINANCE(""NSE:""&amp;A291,""VOLUME"")"),393791)</f>
        <v/>
      </c>
      <c r="I291" s="13">
        <f>IFERROR(__xludf.DUMMYFUNCTION("AVERAGE(index(GOOGLEFINANCE(""NSE:""&amp;$A291, ""volume"", today()-21, today()-1), , 2))"),"#N/A")</f>
        <v/>
      </c>
      <c r="J291" s="14">
        <f>(H291-I291)/I291</f>
        <v/>
      </c>
      <c r="K291" s="13">
        <f>IFERROR(__xludf.DUMMYFUNCTION("AVERAGE(index(GOOGLEFINANCE(""NSE:""&amp;$A291, ""close"", today()-6, today()-1), , 2))"),"#N/A")</f>
        <v/>
      </c>
      <c r="L291" s="13">
        <f>IFERROR(__xludf.DUMMYFUNCTION("AVERAGE(index(GOOGLEFINANCE(""NSE:""&amp;$A291, ""close"", today()-14, today()-1), , 2))"),"#N/A")</f>
        <v/>
      </c>
      <c r="M291" s="13">
        <f>IFERROR(__xludf.DUMMYFUNCTION("AVERAGE(index(GOOGLEFINANCE(""NSE:""&amp;$A291, ""close"", today()-22, today()-1), , 2))"),"#N/A")</f>
        <v/>
      </c>
      <c r="N291" s="13">
        <f>AG291</f>
        <v/>
      </c>
      <c r="O291" s="13">
        <f>AI291</f>
        <v/>
      </c>
      <c r="P291" s="13">
        <f>W291</f>
        <v/>
      </c>
      <c r="Q291" s="13">
        <f>Y291</f>
        <v/>
      </c>
      <c r="R291" s="15" t="n"/>
      <c r="S291" s="15">
        <f>LEFT(W291,2)&amp;LEFT(Y291,2)</f>
        <v/>
      </c>
      <c r="T291" s="15" t="n"/>
      <c r="U291" s="15">
        <f>IF(K291&lt;L291,1,0)</f>
        <v/>
      </c>
      <c r="V291" s="15">
        <f>IF(H291&gt;I291,1,0)</f>
        <v/>
      </c>
      <c r="W291" s="15">
        <f>IF(SUM(U291:V291)=2,"Anticipatory_Sell","No_Action")</f>
        <v/>
      </c>
      <c r="X291" s="15" t="n"/>
      <c r="Y291" s="15">
        <f>IF(SUM(Z291:AA291)=2,"Confirm_Sell","No_Action")</f>
        <v/>
      </c>
      <c r="Z291" s="15">
        <f>IF(H291&gt;I291,1,0)</f>
        <v/>
      </c>
      <c r="AA291" s="15">
        <f>IF(K291&lt;M291,1,0)</f>
        <v/>
      </c>
      <c r="AB291" s="15" t="n"/>
      <c r="AC291" s="15">
        <f>LEFT(AG291,2)&amp;LEFT(AI291,2)</f>
        <v/>
      </c>
      <c r="AD291" s="15" t="n"/>
      <c r="AE291" s="15">
        <f>IF(K291&gt;L291,1,0)</f>
        <v/>
      </c>
      <c r="AF291" s="16">
        <f>IF(H291&gt;I291,1,0)</f>
        <v/>
      </c>
      <c r="AG291" s="16">
        <f>IF(SUM(AE291:AF291)=2,"Anticipatory_Buy","No_Action")</f>
        <v/>
      </c>
      <c r="AH291" s="15" t="n"/>
      <c r="AI291" s="15">
        <f>IF(SUM(AJ291:AK291)=2,"Confirm_Buy","No_Action")</f>
        <v/>
      </c>
      <c r="AJ291" s="15">
        <f>IF(H291&gt;I291,1,0)</f>
        <v/>
      </c>
      <c r="AK291" s="15">
        <f>IF(K291&gt;M291,1,0)</f>
        <v/>
      </c>
    </row>
    <row r="292" ht="14.5" customHeight="1">
      <c r="A292" s="12" t="inlineStr">
        <is>
          <t>SBIN</t>
        </is>
      </c>
      <c r="B292" s="13">
        <f>IFERROR(__xludf.DUMMYFUNCTION("GOOGLEFINANCE(""NSE:""&amp;A292,""PRICE"")"),858.2)</f>
        <v/>
      </c>
      <c r="C292" s="13">
        <f>IFERROR(__xludf.DUMMYFUNCTION("GOOGLEFINANCE(""NSE:""&amp;A292,""PRICEOPEN"")"),859)</f>
        <v/>
      </c>
      <c r="D292" s="13">
        <f>IFERROR(__xludf.DUMMYFUNCTION("GOOGLEFINANCE(""NSE:""&amp;A292,""HIGH"")"),866.85)</f>
        <v/>
      </c>
      <c r="E292" s="13">
        <f>IFERROR(__xludf.DUMMYFUNCTION("GOOGLEFINANCE(""NSE:""&amp;A292,""LOW"")"),856.95)</f>
        <v/>
      </c>
      <c r="F292" s="13">
        <f>IFERROR(__xludf.DUMMYFUNCTION("GOOGLEFINANCE(""NSE:""&amp;A292,""closeyest"")"),863.65)</f>
        <v/>
      </c>
      <c r="G292" s="14">
        <f>(B292-C292)/B292</f>
        <v/>
      </c>
      <c r="H292" s="13">
        <f>IFERROR(__xludf.DUMMYFUNCTION("GOOGLEFINANCE(""NSE:""&amp;A292,""VOLUME"")"),9630346)</f>
        <v/>
      </c>
      <c r="I292" s="13">
        <f>IFERROR(__xludf.DUMMYFUNCTION("AVERAGE(index(GOOGLEFINANCE(""NSE:""&amp;$A292, ""volume"", today()-21, today()-1), , 2))"),"#N/A")</f>
        <v/>
      </c>
      <c r="J292" s="14">
        <f>(H292-I292)/I292</f>
        <v/>
      </c>
      <c r="K292" s="13">
        <f>IFERROR(__xludf.DUMMYFUNCTION("AVERAGE(index(GOOGLEFINANCE(""NSE:""&amp;$A292, ""close"", today()-6, today()-1), , 2))"),"#N/A")</f>
        <v/>
      </c>
      <c r="L292" s="13">
        <f>IFERROR(__xludf.DUMMYFUNCTION("AVERAGE(index(GOOGLEFINANCE(""NSE:""&amp;$A292, ""close"", today()-14, today()-1), , 2))"),"#N/A")</f>
        <v/>
      </c>
      <c r="M292" s="13">
        <f>IFERROR(__xludf.DUMMYFUNCTION("AVERAGE(index(GOOGLEFINANCE(""NSE:""&amp;$A292, ""close"", today()-22, today()-1), , 2))"),"#N/A")</f>
        <v/>
      </c>
      <c r="N292" s="13">
        <f>AG292</f>
        <v/>
      </c>
      <c r="O292" s="13">
        <f>AI292</f>
        <v/>
      </c>
      <c r="P292" s="13">
        <f>W292</f>
        <v/>
      </c>
      <c r="Q292" s="13">
        <f>Y292</f>
        <v/>
      </c>
      <c r="R292" s="15" t="n"/>
      <c r="S292" s="15">
        <f>LEFT(W292,2)&amp;LEFT(Y292,2)</f>
        <v/>
      </c>
      <c r="T292" s="15" t="n"/>
      <c r="U292" s="15">
        <f>IF(K292&lt;L292,1,0)</f>
        <v/>
      </c>
      <c r="V292" s="15">
        <f>IF(H292&gt;I292,1,0)</f>
        <v/>
      </c>
      <c r="W292" s="15">
        <f>IF(SUM(U292:V292)=2,"Anticipatory_Sell","No_Action")</f>
        <v/>
      </c>
      <c r="X292" s="15" t="n"/>
      <c r="Y292" s="15">
        <f>IF(SUM(Z292:AA292)=2,"Confirm_Sell","No_Action")</f>
        <v/>
      </c>
      <c r="Z292" s="15">
        <f>IF(H292&gt;I292,1,0)</f>
        <v/>
      </c>
      <c r="AA292" s="15">
        <f>IF(K292&lt;M292,1,0)</f>
        <v/>
      </c>
      <c r="AB292" s="15" t="n"/>
      <c r="AC292" s="15">
        <f>LEFT(AG292,2)&amp;LEFT(AI292,2)</f>
        <v/>
      </c>
      <c r="AD292" s="15" t="n"/>
      <c r="AE292" s="15">
        <f>IF(K292&gt;L292,1,0)</f>
        <v/>
      </c>
      <c r="AF292" s="16">
        <f>IF(H292&gt;I292,1,0)</f>
        <v/>
      </c>
      <c r="AG292" s="16">
        <f>IF(SUM(AE292:AF292)=2,"Anticipatory_Buy","No_Action")</f>
        <v/>
      </c>
      <c r="AH292" s="15" t="n"/>
      <c r="AI292" s="15">
        <f>IF(SUM(AJ292:AK292)=2,"Confirm_Buy","No_Action")</f>
        <v/>
      </c>
      <c r="AJ292" s="15">
        <f>IF(H292&gt;I292,1,0)</f>
        <v/>
      </c>
      <c r="AK292" s="15">
        <f>IF(K292&gt;M292,1,0)</f>
        <v/>
      </c>
    </row>
    <row r="293" ht="14.5" customHeight="1">
      <c r="A293" s="12" t="inlineStr">
        <is>
          <t>STARCEMENT</t>
        </is>
      </c>
      <c r="B293" s="13">
        <f>IFERROR(__xludf.DUMMYFUNCTION("GOOGLEFINANCE(""NSE:""&amp;A293,""PRICE"")"),197.5)</f>
        <v/>
      </c>
      <c r="C293" s="13">
        <f>IFERROR(__xludf.DUMMYFUNCTION("GOOGLEFINANCE(""NSE:""&amp;A293,""PRICEOPEN"")"),200.1)</f>
        <v/>
      </c>
      <c r="D293" s="13">
        <f>IFERROR(__xludf.DUMMYFUNCTION("GOOGLEFINANCE(""NSE:""&amp;A293,""HIGH"")"),202.06)</f>
        <v/>
      </c>
      <c r="E293" s="13">
        <f>IFERROR(__xludf.DUMMYFUNCTION("GOOGLEFINANCE(""NSE:""&amp;A293,""LOW"")"),197.26)</f>
        <v/>
      </c>
      <c r="F293" s="13">
        <f>IFERROR(__xludf.DUMMYFUNCTION("GOOGLEFINANCE(""NSE:""&amp;A293,""closeyest"")"),202.29)</f>
        <v/>
      </c>
      <c r="G293" s="14">
        <f>(B293-C293)/B293</f>
        <v/>
      </c>
      <c r="H293" s="13">
        <f>IFERROR(__xludf.DUMMYFUNCTION("GOOGLEFINANCE(""NSE:""&amp;A293,""VOLUME"")"),461765)</f>
        <v/>
      </c>
      <c r="I293" s="13">
        <f>IFERROR(__xludf.DUMMYFUNCTION("AVERAGE(index(GOOGLEFINANCE(""NSE:""&amp;$A293, ""volume"", today()-21, today()-1), , 2))"),"#N/A")</f>
        <v/>
      </c>
      <c r="J293" s="14">
        <f>(H293-I293)/I293</f>
        <v/>
      </c>
      <c r="K293" s="13">
        <f>IFERROR(__xludf.DUMMYFUNCTION("AVERAGE(index(GOOGLEFINANCE(""NSE:""&amp;$A293, ""close"", today()-6, today()-1), , 2))"),"#N/A")</f>
        <v/>
      </c>
      <c r="L293" s="13">
        <f>IFERROR(__xludf.DUMMYFUNCTION("AVERAGE(index(GOOGLEFINANCE(""NSE:""&amp;$A293, ""close"", today()-14, today()-1), , 2))"),"#N/A")</f>
        <v/>
      </c>
      <c r="M293" s="13">
        <f>IFERROR(__xludf.DUMMYFUNCTION("AVERAGE(index(GOOGLEFINANCE(""NSE:""&amp;$A293, ""close"", today()-22, today()-1), , 2))"),"#N/A")</f>
        <v/>
      </c>
      <c r="N293" s="13">
        <f>AG293</f>
        <v/>
      </c>
      <c r="O293" s="13">
        <f>AI293</f>
        <v/>
      </c>
      <c r="P293" s="13">
        <f>W293</f>
        <v/>
      </c>
      <c r="Q293" s="13">
        <f>Y293</f>
        <v/>
      </c>
      <c r="R293" s="15" t="n"/>
      <c r="S293" s="15">
        <f>LEFT(W293,2)&amp;LEFT(Y293,2)</f>
        <v/>
      </c>
      <c r="T293" s="15" t="n"/>
      <c r="U293" s="15">
        <f>IF(K293&lt;L293,1,0)</f>
        <v/>
      </c>
      <c r="V293" s="15">
        <f>IF(H293&gt;I293,1,0)</f>
        <v/>
      </c>
      <c r="W293" s="15">
        <f>IF(SUM(U293:V293)=2,"Anticipatory_Sell","No_Action")</f>
        <v/>
      </c>
      <c r="X293" s="15" t="n"/>
      <c r="Y293" s="15">
        <f>IF(SUM(Z293:AA293)=2,"Confirm_Sell","No_Action")</f>
        <v/>
      </c>
      <c r="Z293" s="15">
        <f>IF(H293&gt;I293,1,0)</f>
        <v/>
      </c>
      <c r="AA293" s="15">
        <f>IF(K293&lt;M293,1,0)</f>
        <v/>
      </c>
      <c r="AB293" s="15" t="n"/>
      <c r="AC293" s="15">
        <f>LEFT(AG293,2)&amp;LEFT(AI293,2)</f>
        <v/>
      </c>
      <c r="AD293" s="15" t="n"/>
      <c r="AE293" s="15">
        <f>IF(K293&gt;L293,1,0)</f>
        <v/>
      </c>
      <c r="AF293" s="16">
        <f>IF(H293&gt;I293,1,0)</f>
        <v/>
      </c>
      <c r="AG293" s="16">
        <f>IF(SUM(AE293:AF293)=2,"Anticipatory_Buy","No_Action")</f>
        <v/>
      </c>
      <c r="AH293" s="15" t="n"/>
      <c r="AI293" s="15">
        <f>IF(SUM(AJ293:AK293)=2,"Confirm_Buy","No_Action")</f>
        <v/>
      </c>
      <c r="AJ293" s="15">
        <f>IF(H293&gt;I293,1,0)</f>
        <v/>
      </c>
      <c r="AK293" s="15">
        <f>IF(K293&gt;M293,1,0)</f>
        <v/>
      </c>
    </row>
    <row r="294" ht="14.5" customHeight="1">
      <c r="A294" s="12" t="inlineStr">
        <is>
          <t>STERTOOLS</t>
        </is>
      </c>
      <c r="B294" s="13">
        <f>IFERROR(__xludf.DUMMYFUNCTION("GOOGLEFINANCE(""NSE:""&amp;A294,""PRICE"")"),665)</f>
        <v/>
      </c>
      <c r="C294" s="13">
        <f>IFERROR(__xludf.DUMMYFUNCTION("GOOGLEFINANCE(""NSE:""&amp;A294,""PRICEOPEN"")"),663.4)</f>
        <v/>
      </c>
      <c r="D294" s="13">
        <f>IFERROR(__xludf.DUMMYFUNCTION("GOOGLEFINANCE(""NSE:""&amp;A294,""HIGH"")"),682.35)</f>
        <v/>
      </c>
      <c r="E294" s="13">
        <f>IFERROR(__xludf.DUMMYFUNCTION("GOOGLEFINANCE(""NSE:""&amp;A294,""LOW"")"),660)</f>
        <v/>
      </c>
      <c r="F294" s="13">
        <f>IFERROR(__xludf.DUMMYFUNCTION("GOOGLEFINANCE(""NSE:""&amp;A294,""closeyest"")"),667.7)</f>
        <v/>
      </c>
      <c r="G294" s="14">
        <f>(B294-C294)/B294</f>
        <v/>
      </c>
      <c r="H294" s="13">
        <f>IFERROR(__xludf.DUMMYFUNCTION("GOOGLEFINANCE(""NSE:""&amp;A294,""VOLUME"")"),155028)</f>
        <v/>
      </c>
      <c r="I294" s="13">
        <f>IFERROR(__xludf.DUMMYFUNCTION("AVERAGE(index(GOOGLEFINANCE(""NSE:""&amp;$A294, ""volume"", today()-21, today()-1), , 2))"),"#N/A")</f>
        <v/>
      </c>
      <c r="J294" s="14">
        <f>(H294-I294)/I294</f>
        <v/>
      </c>
      <c r="K294" s="13">
        <f>IFERROR(__xludf.DUMMYFUNCTION("AVERAGE(index(GOOGLEFINANCE(""NSE:""&amp;$A294, ""close"", today()-6, today()-1), , 2))"),"#N/A")</f>
        <v/>
      </c>
      <c r="L294" s="13">
        <f>IFERROR(__xludf.DUMMYFUNCTION("AVERAGE(index(GOOGLEFINANCE(""NSE:""&amp;$A294, ""close"", today()-14, today()-1), , 2))"),"#N/A")</f>
        <v/>
      </c>
      <c r="M294" s="13">
        <f>IFERROR(__xludf.DUMMYFUNCTION("AVERAGE(index(GOOGLEFINANCE(""NSE:""&amp;$A294, ""close"", today()-22, today()-1), , 2))"),"#N/A")</f>
        <v/>
      </c>
      <c r="N294" s="13">
        <f>AG294</f>
        <v/>
      </c>
      <c r="O294" s="13">
        <f>AI294</f>
        <v/>
      </c>
      <c r="P294" s="13">
        <f>W294</f>
        <v/>
      </c>
      <c r="Q294" s="13">
        <f>Y294</f>
        <v/>
      </c>
      <c r="R294" s="15" t="n"/>
      <c r="S294" s="15">
        <f>LEFT(W294,2)&amp;LEFT(Y294,2)</f>
        <v/>
      </c>
      <c r="T294" s="15" t="n"/>
      <c r="U294" s="15">
        <f>IF(K294&lt;L294,1,0)</f>
        <v/>
      </c>
      <c r="V294" s="15">
        <f>IF(H294&gt;I294,1,0)</f>
        <v/>
      </c>
      <c r="W294" s="15">
        <f>IF(SUM(U294:V294)=2,"Anticipatory_Sell","No_Action")</f>
        <v/>
      </c>
      <c r="X294" s="15" t="n"/>
      <c r="Y294" s="15">
        <f>IF(SUM(Z294:AA294)=2,"Confirm_Sell","No_Action")</f>
        <v/>
      </c>
      <c r="Z294" s="15">
        <f>IF(H294&gt;I294,1,0)</f>
        <v/>
      </c>
      <c r="AA294" s="15">
        <f>IF(K294&lt;M294,1,0)</f>
        <v/>
      </c>
      <c r="AB294" s="15" t="n"/>
      <c r="AC294" s="15">
        <f>LEFT(AG294,2)&amp;LEFT(AI294,2)</f>
        <v/>
      </c>
      <c r="AD294" s="15" t="n"/>
      <c r="AE294" s="15">
        <f>IF(K294&gt;L294,1,0)</f>
        <v/>
      </c>
      <c r="AF294" s="16">
        <f>IF(H294&gt;I294,1,0)</f>
        <v/>
      </c>
      <c r="AG294" s="16">
        <f>IF(SUM(AE294:AF294)=2,"Anticipatory_Buy","No_Action")</f>
        <v/>
      </c>
      <c r="AH294" s="15" t="n"/>
      <c r="AI294" s="15">
        <f>IF(SUM(AJ294:AK294)=2,"Confirm_Buy","No_Action")</f>
        <v/>
      </c>
      <c r="AJ294" s="15">
        <f>IF(H294&gt;I294,1,0)</f>
        <v/>
      </c>
      <c r="AK294" s="15">
        <f>IF(K294&gt;M294,1,0)</f>
        <v/>
      </c>
    </row>
    <row r="295" ht="14.5" customHeight="1">
      <c r="A295" s="12" t="inlineStr">
        <is>
          <t>STYLAMIND</t>
        </is>
      </c>
      <c r="B295" s="13">
        <f>IFERROR(__xludf.DUMMYFUNCTION("GOOGLEFINANCE(""NSE:""&amp;A295,""PRICE"")"),2467)</f>
        <v/>
      </c>
      <c r="C295" s="13">
        <f>IFERROR(__xludf.DUMMYFUNCTION("GOOGLEFINANCE(""NSE:""&amp;A295,""PRICEOPEN"")"),2530)</f>
        <v/>
      </c>
      <c r="D295" s="13">
        <f>IFERROR(__xludf.DUMMYFUNCTION("GOOGLEFINANCE(""NSE:""&amp;A295,""HIGH"")"),2530)</f>
        <v/>
      </c>
      <c r="E295" s="13">
        <f>IFERROR(__xludf.DUMMYFUNCTION("GOOGLEFINANCE(""NSE:""&amp;A295,""LOW"")"),2450.25)</f>
        <v/>
      </c>
      <c r="F295" s="13">
        <f>IFERROR(__xludf.DUMMYFUNCTION("GOOGLEFINANCE(""NSE:""&amp;A295,""closeyest"")"),2493.65)</f>
        <v/>
      </c>
      <c r="G295" s="14">
        <f>(B295-C295)/B295</f>
        <v/>
      </c>
      <c r="H295" s="13">
        <f>IFERROR(__xludf.DUMMYFUNCTION("GOOGLEFINANCE(""NSE:""&amp;A295,""VOLUME"")"),25830)</f>
        <v/>
      </c>
      <c r="I295" s="13">
        <f>IFERROR(__xludf.DUMMYFUNCTION("AVERAGE(index(GOOGLEFINANCE(""NSE:""&amp;$A295, ""volume"", today()-21, today()-1), , 2))"),"#N/A")</f>
        <v/>
      </c>
      <c r="J295" s="14">
        <f>(H295-I295)/I295</f>
        <v/>
      </c>
      <c r="K295" s="13">
        <f>IFERROR(__xludf.DUMMYFUNCTION("AVERAGE(index(GOOGLEFINANCE(""NSE:""&amp;$A295, ""close"", today()-6, today()-1), , 2))"),"#N/A")</f>
        <v/>
      </c>
      <c r="L295" s="13">
        <f>IFERROR(__xludf.DUMMYFUNCTION("AVERAGE(index(GOOGLEFINANCE(""NSE:""&amp;$A295, ""close"", today()-14, today()-1), , 2))"),"#N/A")</f>
        <v/>
      </c>
      <c r="M295" s="13">
        <f>IFERROR(__xludf.DUMMYFUNCTION("AVERAGE(index(GOOGLEFINANCE(""NSE:""&amp;$A295, ""close"", today()-22, today()-1), , 2))"),"#N/A")</f>
        <v/>
      </c>
      <c r="N295" s="13">
        <f>AG295</f>
        <v/>
      </c>
      <c r="O295" s="13">
        <f>AI295</f>
        <v/>
      </c>
      <c r="P295" s="13">
        <f>W295</f>
        <v/>
      </c>
      <c r="Q295" s="13">
        <f>Y295</f>
        <v/>
      </c>
      <c r="R295" s="15" t="n"/>
      <c r="S295" s="15">
        <f>LEFT(W295,2)&amp;LEFT(Y295,2)</f>
        <v/>
      </c>
      <c r="T295" s="15" t="n"/>
      <c r="U295" s="15">
        <f>IF(K295&lt;L295,1,0)</f>
        <v/>
      </c>
      <c r="V295" s="15">
        <f>IF(H295&gt;I295,1,0)</f>
        <v/>
      </c>
      <c r="W295" s="15">
        <f>IF(SUM(U295:V295)=2,"Anticipatory_Sell","No_Action")</f>
        <v/>
      </c>
      <c r="X295" s="15" t="n"/>
      <c r="Y295" s="15">
        <f>IF(SUM(Z295:AA295)=2,"Confirm_Sell","No_Action")</f>
        <v/>
      </c>
      <c r="Z295" s="15">
        <f>IF(H295&gt;I295,1,0)</f>
        <v/>
      </c>
      <c r="AA295" s="15">
        <f>IF(K295&lt;M295,1,0)</f>
        <v/>
      </c>
      <c r="AB295" s="15" t="n"/>
      <c r="AC295" s="15">
        <f>LEFT(AG295,2)&amp;LEFT(AI295,2)</f>
        <v/>
      </c>
      <c r="AD295" s="15" t="n"/>
      <c r="AE295" s="15">
        <f>IF(K295&gt;L295,1,0)</f>
        <v/>
      </c>
      <c r="AF295" s="16">
        <f>IF(H295&gt;I295,1,0)</f>
        <v/>
      </c>
      <c r="AG295" s="16">
        <f>IF(SUM(AE295:AF295)=2,"Anticipatory_Buy","No_Action")</f>
        <v/>
      </c>
      <c r="AH295" s="15" t="n"/>
      <c r="AI295" s="15">
        <f>IF(SUM(AJ295:AK295)=2,"Confirm_Buy","No_Action")</f>
        <v/>
      </c>
      <c r="AJ295" s="15">
        <f>IF(H295&gt;I295,1,0)</f>
        <v/>
      </c>
      <c r="AK295" s="15">
        <f>IF(K295&gt;M295,1,0)</f>
        <v/>
      </c>
    </row>
    <row r="296" ht="14.5" customHeight="1">
      <c r="A296" s="12" t="inlineStr">
        <is>
          <t>STYRENIX</t>
        </is>
      </c>
      <c r="B296" s="13">
        <f>IFERROR(__xludf.DUMMYFUNCTION("GOOGLEFINANCE(""NSE:""&amp;A296,""PRICE"")"),2860.95)</f>
        <v/>
      </c>
      <c r="C296" s="13">
        <f>IFERROR(__xludf.DUMMYFUNCTION("GOOGLEFINANCE(""NSE:""&amp;A296,""PRICEOPEN"")"),2798.2)</f>
        <v/>
      </c>
      <c r="D296" s="13">
        <f>IFERROR(__xludf.DUMMYFUNCTION("GOOGLEFINANCE(""NSE:""&amp;A296,""HIGH"")"),2895)</f>
        <v/>
      </c>
      <c r="E296" s="13">
        <f>IFERROR(__xludf.DUMMYFUNCTION("GOOGLEFINANCE(""NSE:""&amp;A296,""LOW"")"),2795.9)</f>
        <v/>
      </c>
      <c r="F296" s="13">
        <f>IFERROR(__xludf.DUMMYFUNCTION("GOOGLEFINANCE(""NSE:""&amp;A296,""closeyest"")"),2757.55)</f>
        <v/>
      </c>
      <c r="G296" s="14">
        <f>(B296-C296)/B296</f>
        <v/>
      </c>
      <c r="H296" s="13">
        <f>IFERROR(__xludf.DUMMYFUNCTION("GOOGLEFINANCE(""NSE:""&amp;A296,""VOLUME"")"),227517)</f>
        <v/>
      </c>
      <c r="I296" s="13">
        <f>IFERROR(__xludf.DUMMYFUNCTION("AVERAGE(index(GOOGLEFINANCE(""NSE:""&amp;$A296, ""volume"", today()-21, today()-1), , 2))"),"#N/A")</f>
        <v/>
      </c>
      <c r="J296" s="14">
        <f>(H296-I296)/I296</f>
        <v/>
      </c>
      <c r="K296" s="13">
        <f>IFERROR(__xludf.DUMMYFUNCTION("AVERAGE(index(GOOGLEFINANCE(""NSE:""&amp;$A296, ""close"", today()-6, today()-1), , 2))"),"#N/A")</f>
        <v/>
      </c>
      <c r="L296" s="13">
        <f>IFERROR(__xludf.DUMMYFUNCTION("AVERAGE(index(GOOGLEFINANCE(""NSE:""&amp;$A296, ""close"", today()-14, today()-1), , 2))"),"#N/A")</f>
        <v/>
      </c>
      <c r="M296" s="13">
        <f>IFERROR(__xludf.DUMMYFUNCTION("AVERAGE(index(GOOGLEFINANCE(""NSE:""&amp;$A296, ""close"", today()-22, today()-1), , 2))"),"#N/A")</f>
        <v/>
      </c>
      <c r="N296" s="13">
        <f>AG296</f>
        <v/>
      </c>
      <c r="O296" s="13">
        <f>AI296</f>
        <v/>
      </c>
      <c r="P296" s="13">
        <f>W296</f>
        <v/>
      </c>
      <c r="Q296" s="13">
        <f>Y296</f>
        <v/>
      </c>
      <c r="R296" s="15" t="n"/>
      <c r="S296" s="15">
        <f>LEFT(W296,2)&amp;LEFT(Y296,2)</f>
        <v/>
      </c>
      <c r="T296" s="15" t="n"/>
      <c r="U296" s="15">
        <f>IF(K296&lt;L296,1,0)</f>
        <v/>
      </c>
      <c r="V296" s="15">
        <f>IF(H296&gt;I296,1,0)</f>
        <v/>
      </c>
      <c r="W296" s="15">
        <f>IF(SUM(U296:V296)=2,"Anticipatory_Sell","No_Action")</f>
        <v/>
      </c>
      <c r="X296" s="15" t="n"/>
      <c r="Y296" s="15">
        <f>IF(SUM(Z296:AA296)=2,"Confirm_Sell","No_Action")</f>
        <v/>
      </c>
      <c r="Z296" s="15">
        <f>IF(H296&gt;I296,1,0)</f>
        <v/>
      </c>
      <c r="AA296" s="15">
        <f>IF(K296&lt;M296,1,0)</f>
        <v/>
      </c>
      <c r="AB296" s="15" t="n"/>
      <c r="AC296" s="15">
        <f>LEFT(AG296,2)&amp;LEFT(AI296,2)</f>
        <v/>
      </c>
      <c r="AD296" s="15" t="n"/>
      <c r="AE296" s="15">
        <f>IF(K296&gt;L296,1,0)</f>
        <v/>
      </c>
      <c r="AF296" s="16">
        <f>IF(H296&gt;I296,1,0)</f>
        <v/>
      </c>
      <c r="AG296" s="16">
        <f>IF(SUM(AE296:AF296)=2,"Anticipatory_Buy","No_Action")</f>
        <v/>
      </c>
      <c r="AH296" s="15" t="n"/>
      <c r="AI296" s="15">
        <f>IF(SUM(AJ296:AK296)=2,"Confirm_Buy","No_Action")</f>
        <v/>
      </c>
      <c r="AJ296" s="15">
        <f>IF(H296&gt;I296,1,0)</f>
        <v/>
      </c>
      <c r="AK296" s="15">
        <f>IF(K296&gt;M296,1,0)</f>
        <v/>
      </c>
    </row>
    <row r="297" ht="14.5" customHeight="1">
      <c r="A297" s="12" t="inlineStr">
        <is>
          <t>SUDARSCHEM</t>
        </is>
      </c>
      <c r="B297" s="13">
        <f>IFERROR(__xludf.DUMMYFUNCTION("GOOGLEFINANCE(""NSE:""&amp;A297,""PRICE"")"),1131)</f>
        <v/>
      </c>
      <c r="C297" s="13">
        <f>IFERROR(__xludf.DUMMYFUNCTION("GOOGLEFINANCE(""NSE:""&amp;A297,""PRICEOPEN"")"),1130.15)</f>
        <v/>
      </c>
      <c r="D297" s="13">
        <f>IFERROR(__xludf.DUMMYFUNCTION("GOOGLEFINANCE(""NSE:""&amp;A297,""HIGH"")"),1139.35)</f>
        <v/>
      </c>
      <c r="E297" s="13">
        <f>IFERROR(__xludf.DUMMYFUNCTION("GOOGLEFINANCE(""NSE:""&amp;A297,""LOW"")"),1122.5)</f>
        <v/>
      </c>
      <c r="F297" s="13">
        <f>IFERROR(__xludf.DUMMYFUNCTION("GOOGLEFINANCE(""NSE:""&amp;A297,""closeyest"")"),1130.15)</f>
        <v/>
      </c>
      <c r="G297" s="14">
        <f>(B297-C297)/B297</f>
        <v/>
      </c>
      <c r="H297" s="13">
        <f>IFERROR(__xludf.DUMMYFUNCTION("GOOGLEFINANCE(""NSE:""&amp;A297,""VOLUME"")"),151332)</f>
        <v/>
      </c>
      <c r="I297" s="13">
        <f>IFERROR(__xludf.DUMMYFUNCTION("AVERAGE(index(GOOGLEFINANCE(""NSE:""&amp;$A297, ""volume"", today()-21, today()-1), , 2))"),"#N/A")</f>
        <v/>
      </c>
      <c r="J297" s="14">
        <f>(H297-I297)/I297</f>
        <v/>
      </c>
      <c r="K297" s="13">
        <f>IFERROR(__xludf.DUMMYFUNCTION("AVERAGE(index(GOOGLEFINANCE(""NSE:""&amp;$A297, ""close"", today()-6, today()-1), , 2))"),"#N/A")</f>
        <v/>
      </c>
      <c r="L297" s="13">
        <f>IFERROR(__xludf.DUMMYFUNCTION("AVERAGE(index(GOOGLEFINANCE(""NSE:""&amp;$A297, ""close"", today()-14, today()-1), , 2))"),"#N/A")</f>
        <v/>
      </c>
      <c r="M297" s="13">
        <f>IFERROR(__xludf.DUMMYFUNCTION("AVERAGE(index(GOOGLEFINANCE(""NSE:""&amp;$A297, ""close"", today()-22, today()-1), , 2))"),"#N/A")</f>
        <v/>
      </c>
      <c r="N297" s="13">
        <f>AG297</f>
        <v/>
      </c>
      <c r="O297" s="13">
        <f>AI297</f>
        <v/>
      </c>
      <c r="P297" s="13">
        <f>W297</f>
        <v/>
      </c>
      <c r="Q297" s="13">
        <f>Y297</f>
        <v/>
      </c>
      <c r="R297" s="15" t="n"/>
      <c r="S297" s="15">
        <f>LEFT(W297,2)&amp;LEFT(Y297,2)</f>
        <v/>
      </c>
      <c r="T297" s="15" t="n"/>
      <c r="U297" s="15">
        <f>IF(K297&lt;L297,1,0)</f>
        <v/>
      </c>
      <c r="V297" s="15">
        <f>IF(H297&gt;I297,1,0)</f>
        <v/>
      </c>
      <c r="W297" s="15">
        <f>IF(SUM(U297:V297)=2,"Anticipatory_Sell","No_Action")</f>
        <v/>
      </c>
      <c r="X297" s="15" t="n"/>
      <c r="Y297" s="15">
        <f>IF(SUM(Z297:AA297)=2,"Confirm_Sell","No_Action")</f>
        <v/>
      </c>
      <c r="Z297" s="15">
        <f>IF(H297&gt;I297,1,0)</f>
        <v/>
      </c>
      <c r="AA297" s="15">
        <f>IF(K297&lt;M297,1,0)</f>
        <v/>
      </c>
      <c r="AB297" s="15" t="n"/>
      <c r="AC297" s="15">
        <f>LEFT(AG297,2)&amp;LEFT(AI297,2)</f>
        <v/>
      </c>
      <c r="AD297" s="15" t="n"/>
      <c r="AE297" s="15">
        <f>IF(K297&gt;L297,1,0)</f>
        <v/>
      </c>
      <c r="AF297" s="16">
        <f>IF(H297&gt;I297,1,0)</f>
        <v/>
      </c>
      <c r="AG297" s="16">
        <f>IF(SUM(AE297:AF297)=2,"Anticipatory_Buy","No_Action")</f>
        <v/>
      </c>
      <c r="AH297" s="15" t="n"/>
      <c r="AI297" s="15">
        <f>IF(SUM(AJ297:AK297)=2,"Confirm_Buy","No_Action")</f>
        <v/>
      </c>
      <c r="AJ297" s="15">
        <f>IF(H297&gt;I297,1,0)</f>
        <v/>
      </c>
      <c r="AK297" s="15">
        <f>IF(K297&gt;M297,1,0)</f>
        <v/>
      </c>
    </row>
    <row r="298" ht="14.5" customHeight="1">
      <c r="A298" s="12" t="inlineStr">
        <is>
          <t>SULA</t>
        </is>
      </c>
      <c r="B298" s="13">
        <f>IFERROR(__xludf.DUMMYFUNCTION("GOOGLEFINANCE(""NSE:""&amp;A298,""PRICE"")"),430.95)</f>
        <v/>
      </c>
      <c r="C298" s="13">
        <f>IFERROR(__xludf.DUMMYFUNCTION("GOOGLEFINANCE(""NSE:""&amp;A298,""PRICEOPEN"")"),433.05)</f>
        <v/>
      </c>
      <c r="D298" s="13">
        <f>IFERROR(__xludf.DUMMYFUNCTION("GOOGLEFINANCE(""NSE:""&amp;A298,""HIGH"")"),436.95)</f>
        <v/>
      </c>
      <c r="E298" s="13">
        <f>IFERROR(__xludf.DUMMYFUNCTION("GOOGLEFINANCE(""NSE:""&amp;A298,""LOW"")"),429.85)</f>
        <v/>
      </c>
      <c r="F298" s="13">
        <f>IFERROR(__xludf.DUMMYFUNCTION("GOOGLEFINANCE(""NSE:""&amp;A298,""closeyest"")"),433.05)</f>
        <v/>
      </c>
      <c r="G298" s="14">
        <f>(B298-C298)/B298</f>
        <v/>
      </c>
      <c r="H298" s="13">
        <f>IFERROR(__xludf.DUMMYFUNCTION("GOOGLEFINANCE(""NSE:""&amp;A298,""VOLUME"")"),157710)</f>
        <v/>
      </c>
      <c r="I298" s="13">
        <f>IFERROR(__xludf.DUMMYFUNCTION("AVERAGE(index(GOOGLEFINANCE(""NSE:""&amp;$A298, ""volume"", today()-21, today()-1), , 2))"),"#N/A")</f>
        <v/>
      </c>
      <c r="J298" s="14">
        <f>(H298-I298)/I298</f>
        <v/>
      </c>
      <c r="K298" s="13">
        <f>IFERROR(__xludf.DUMMYFUNCTION("AVERAGE(index(GOOGLEFINANCE(""NSE:""&amp;$A298, ""close"", today()-6, today()-1), , 2))"),"#N/A")</f>
        <v/>
      </c>
      <c r="L298" s="13">
        <f>IFERROR(__xludf.DUMMYFUNCTION("AVERAGE(index(GOOGLEFINANCE(""NSE:""&amp;$A298, ""close"", today()-14, today()-1), , 2))"),"#N/A")</f>
        <v/>
      </c>
      <c r="M298" s="13">
        <f>IFERROR(__xludf.DUMMYFUNCTION("AVERAGE(index(GOOGLEFINANCE(""NSE:""&amp;$A298, ""close"", today()-22, today()-1), , 2))"),"#N/A")</f>
        <v/>
      </c>
      <c r="N298" s="13">
        <f>AG298</f>
        <v/>
      </c>
      <c r="O298" s="13">
        <f>AI298</f>
        <v/>
      </c>
      <c r="P298" s="13">
        <f>W298</f>
        <v/>
      </c>
      <c r="Q298" s="13">
        <f>Y298</f>
        <v/>
      </c>
      <c r="R298" s="15" t="n"/>
      <c r="S298" s="15">
        <f>LEFT(W298,2)&amp;LEFT(Y298,2)</f>
        <v/>
      </c>
      <c r="T298" s="15" t="n"/>
      <c r="U298" s="15">
        <f>IF(K298&lt;L298,1,0)</f>
        <v/>
      </c>
      <c r="V298" s="15">
        <f>IF(H298&gt;I298,1,0)</f>
        <v/>
      </c>
      <c r="W298" s="15">
        <f>IF(SUM(U298:V298)=2,"Anticipatory_Sell","No_Action")</f>
        <v/>
      </c>
      <c r="X298" s="15" t="n"/>
      <c r="Y298" s="15">
        <f>IF(SUM(Z298:AA298)=2,"Confirm_Sell","No_Action")</f>
        <v/>
      </c>
      <c r="Z298" s="15">
        <f>IF(H298&gt;I298,1,0)</f>
        <v/>
      </c>
      <c r="AA298" s="15">
        <f>IF(K298&lt;M298,1,0)</f>
        <v/>
      </c>
      <c r="AB298" s="15" t="n"/>
      <c r="AC298" s="15">
        <f>LEFT(AG298,2)&amp;LEFT(AI298,2)</f>
        <v/>
      </c>
      <c r="AD298" s="15" t="n"/>
      <c r="AE298" s="15">
        <f>IF(K298&gt;L298,1,0)</f>
        <v/>
      </c>
      <c r="AF298" s="16">
        <f>IF(H298&gt;I298,1,0)</f>
        <v/>
      </c>
      <c r="AG298" s="16">
        <f>IF(SUM(AE298:AF298)=2,"Anticipatory_Buy","No_Action")</f>
        <v/>
      </c>
      <c r="AH298" s="15" t="n"/>
      <c r="AI298" s="15">
        <f>IF(SUM(AJ298:AK298)=2,"Confirm_Buy","No_Action")</f>
        <v/>
      </c>
      <c r="AJ298" s="15">
        <f>IF(H298&gt;I298,1,0)</f>
        <v/>
      </c>
      <c r="AK298" s="15">
        <f>IF(K298&gt;M298,1,0)</f>
        <v/>
      </c>
    </row>
    <row r="299" ht="14.5" customHeight="1">
      <c r="A299" s="12" t="inlineStr">
        <is>
          <t>SUMICHEM</t>
        </is>
      </c>
      <c r="B299" s="13">
        <f>IFERROR(__xludf.DUMMYFUNCTION("GOOGLEFINANCE(""NSE:""&amp;A299,""PRICE"")"),544.55)</f>
        <v/>
      </c>
      <c r="C299" s="13">
        <f>IFERROR(__xludf.DUMMYFUNCTION("GOOGLEFINANCE(""NSE:""&amp;A299,""PRICEOPEN"")"),552.45)</f>
        <v/>
      </c>
      <c r="D299" s="13">
        <f>IFERROR(__xludf.DUMMYFUNCTION("GOOGLEFINANCE(""NSE:""&amp;A299,""HIGH"")"),554.65)</f>
        <v/>
      </c>
      <c r="E299" s="13">
        <f>IFERROR(__xludf.DUMMYFUNCTION("GOOGLEFINANCE(""NSE:""&amp;A299,""LOW"")"),542.15)</f>
        <v/>
      </c>
      <c r="F299" s="13">
        <f>IFERROR(__xludf.DUMMYFUNCTION("GOOGLEFINANCE(""NSE:""&amp;A299,""closeyest"")"),549.15)</f>
        <v/>
      </c>
      <c r="G299" s="14">
        <f>(B299-C299)/B299</f>
        <v/>
      </c>
      <c r="H299" s="13">
        <f>IFERROR(__xludf.DUMMYFUNCTION("GOOGLEFINANCE(""NSE:""&amp;A299,""VOLUME"")"),229937)</f>
        <v/>
      </c>
      <c r="I299" s="13">
        <f>IFERROR(__xludf.DUMMYFUNCTION("AVERAGE(index(GOOGLEFINANCE(""NSE:""&amp;$A299, ""volume"", today()-21, today()-1), , 2))"),"#N/A")</f>
        <v/>
      </c>
      <c r="J299" s="14">
        <f>(H299-I299)/I299</f>
        <v/>
      </c>
      <c r="K299" s="13">
        <f>IFERROR(__xludf.DUMMYFUNCTION("AVERAGE(index(GOOGLEFINANCE(""NSE:""&amp;$A299, ""close"", today()-6, today()-1), , 2))"),"#N/A")</f>
        <v/>
      </c>
      <c r="L299" s="13">
        <f>IFERROR(__xludf.DUMMYFUNCTION("AVERAGE(index(GOOGLEFINANCE(""NSE:""&amp;$A299, ""close"", today()-14, today()-1), , 2))"),"#N/A")</f>
        <v/>
      </c>
      <c r="M299" s="13">
        <f>IFERROR(__xludf.DUMMYFUNCTION("AVERAGE(index(GOOGLEFINANCE(""NSE:""&amp;$A299, ""close"", today()-22, today()-1), , 2))"),"#N/A")</f>
        <v/>
      </c>
      <c r="N299" s="13">
        <f>AG299</f>
        <v/>
      </c>
      <c r="O299" s="13">
        <f>AI299</f>
        <v/>
      </c>
      <c r="P299" s="13">
        <f>W299</f>
        <v/>
      </c>
      <c r="Q299" s="13">
        <f>Y299</f>
        <v/>
      </c>
      <c r="R299" s="15" t="n"/>
      <c r="S299" s="15">
        <f>LEFT(W299,2)&amp;LEFT(Y299,2)</f>
        <v/>
      </c>
      <c r="T299" s="15" t="n"/>
      <c r="U299" s="15">
        <f>IF(K299&lt;L299,1,0)</f>
        <v/>
      </c>
      <c r="V299" s="15">
        <f>IF(H299&gt;I299,1,0)</f>
        <v/>
      </c>
      <c r="W299" s="15">
        <f>IF(SUM(U299:V299)=2,"Anticipatory_Sell","No_Action")</f>
        <v/>
      </c>
      <c r="X299" s="15" t="n"/>
      <c r="Y299" s="15">
        <f>IF(SUM(Z299:AA299)=2,"Confirm_Sell","No_Action")</f>
        <v/>
      </c>
      <c r="Z299" s="15">
        <f>IF(H299&gt;I299,1,0)</f>
        <v/>
      </c>
      <c r="AA299" s="15">
        <f>IF(K299&lt;M299,1,0)</f>
        <v/>
      </c>
      <c r="AB299" s="15" t="n"/>
      <c r="AC299" s="15">
        <f>LEFT(AG299,2)&amp;LEFT(AI299,2)</f>
        <v/>
      </c>
      <c r="AD299" s="15" t="n"/>
      <c r="AE299" s="15">
        <f>IF(K299&gt;L299,1,0)</f>
        <v/>
      </c>
      <c r="AF299" s="16">
        <f>IF(H299&gt;I299,1,0)</f>
        <v/>
      </c>
      <c r="AG299" s="16">
        <f>IF(SUM(AE299:AF299)=2,"Anticipatory_Buy","No_Action")</f>
        <v/>
      </c>
      <c r="AH299" s="15" t="n"/>
      <c r="AI299" s="15">
        <f>IF(SUM(AJ299:AK299)=2,"Confirm_Buy","No_Action")</f>
        <v/>
      </c>
      <c r="AJ299" s="15">
        <f>IF(H299&gt;I299,1,0)</f>
        <v/>
      </c>
      <c r="AK299" s="15">
        <f>IF(K299&gt;M299,1,0)</f>
        <v/>
      </c>
    </row>
    <row r="300" ht="14.5" customHeight="1">
      <c r="A300" s="12" t="inlineStr">
        <is>
          <t>SUNPHARMA</t>
        </is>
      </c>
      <c r="B300" s="13">
        <f>IFERROR(__xludf.DUMMYFUNCTION("GOOGLEFINANCE(""NSE:""&amp;A300,""PRICE"")"),1807)</f>
        <v/>
      </c>
      <c r="C300" s="13">
        <f>IFERROR(__xludf.DUMMYFUNCTION("GOOGLEFINANCE(""NSE:""&amp;A300,""PRICEOPEN"")"),1814.8)</f>
        <v/>
      </c>
      <c r="D300" s="13">
        <f>IFERROR(__xludf.DUMMYFUNCTION("GOOGLEFINANCE(""NSE:""&amp;A300,""HIGH"")"),1819.95)</f>
        <v/>
      </c>
      <c r="E300" s="13">
        <f>IFERROR(__xludf.DUMMYFUNCTION("GOOGLEFINANCE(""NSE:""&amp;A300,""LOW"")"),1796.7)</f>
        <v/>
      </c>
      <c r="F300" s="13">
        <f>IFERROR(__xludf.DUMMYFUNCTION("GOOGLEFINANCE(""NSE:""&amp;A300,""closeyest"")"),1804.85)</f>
        <v/>
      </c>
      <c r="G300" s="14">
        <f>(B300-C300)/B300</f>
        <v/>
      </c>
      <c r="H300" s="13">
        <f>IFERROR(__xludf.DUMMYFUNCTION("GOOGLEFINANCE(""NSE:""&amp;A300,""VOLUME"")"),1528215)</f>
        <v/>
      </c>
      <c r="I300" s="13">
        <f>IFERROR(__xludf.DUMMYFUNCTION("AVERAGE(index(GOOGLEFINANCE(""NSE:""&amp;$A300, ""volume"", today()-21, today()-1), , 2))"),"#N/A")</f>
        <v/>
      </c>
      <c r="J300" s="14">
        <f>(H300-I300)/I300</f>
        <v/>
      </c>
      <c r="K300" s="13">
        <f>IFERROR(__xludf.DUMMYFUNCTION("AVERAGE(index(GOOGLEFINANCE(""NSE:""&amp;$A300, ""close"", today()-6, today()-1), , 2))"),"#N/A")</f>
        <v/>
      </c>
      <c r="L300" s="13">
        <f>IFERROR(__xludf.DUMMYFUNCTION("AVERAGE(index(GOOGLEFINANCE(""NSE:""&amp;$A300, ""close"", today()-14, today()-1), , 2))"),"#N/A")</f>
        <v/>
      </c>
      <c r="M300" s="13">
        <f>IFERROR(__xludf.DUMMYFUNCTION("AVERAGE(index(GOOGLEFINANCE(""NSE:""&amp;$A300, ""close"", today()-22, today()-1), , 2))"),"#N/A")</f>
        <v/>
      </c>
      <c r="N300" s="13">
        <f>AG300</f>
        <v/>
      </c>
      <c r="O300" s="13">
        <f>AI300</f>
        <v/>
      </c>
      <c r="P300" s="13">
        <f>W300</f>
        <v/>
      </c>
      <c r="Q300" s="13">
        <f>Y300</f>
        <v/>
      </c>
      <c r="R300" s="15" t="n"/>
      <c r="S300" s="15">
        <f>LEFT(W300,2)&amp;LEFT(Y300,2)</f>
        <v/>
      </c>
      <c r="T300" s="15" t="n"/>
      <c r="U300" s="15">
        <f>IF(K300&lt;L300,1,0)</f>
        <v/>
      </c>
      <c r="V300" s="15">
        <f>IF(H300&gt;I300,1,0)</f>
        <v/>
      </c>
      <c r="W300" s="15">
        <f>IF(SUM(U300:V300)=2,"Anticipatory_Sell","No_Action")</f>
        <v/>
      </c>
      <c r="X300" s="15" t="n"/>
      <c r="Y300" s="15">
        <f>IF(SUM(Z300:AA300)=2,"Confirm_Sell","No_Action")</f>
        <v/>
      </c>
      <c r="Z300" s="15">
        <f>IF(H300&gt;I300,1,0)</f>
        <v/>
      </c>
      <c r="AA300" s="15">
        <f>IF(K300&lt;M300,1,0)</f>
        <v/>
      </c>
      <c r="AB300" s="15" t="n"/>
      <c r="AC300" s="15">
        <f>LEFT(AG300,2)&amp;LEFT(AI300,2)</f>
        <v/>
      </c>
      <c r="AD300" s="15" t="n"/>
      <c r="AE300" s="15">
        <f>IF(K300&gt;L300,1,0)</f>
        <v/>
      </c>
      <c r="AF300" s="16">
        <f>IF(H300&gt;I300,1,0)</f>
        <v/>
      </c>
      <c r="AG300" s="16">
        <f>IF(SUM(AE300:AF300)=2,"Anticipatory_Buy","No_Action")</f>
        <v/>
      </c>
      <c r="AH300" s="15" t="n"/>
      <c r="AI300" s="15">
        <f>IF(SUM(AJ300:AK300)=2,"Confirm_Buy","No_Action")</f>
        <v/>
      </c>
      <c r="AJ300" s="15">
        <f>IF(H300&gt;I300,1,0)</f>
        <v/>
      </c>
      <c r="AK300" s="15">
        <f>IF(K300&gt;M300,1,0)</f>
        <v/>
      </c>
    </row>
    <row r="301" ht="14.5" customHeight="1">
      <c r="A301" s="12" t="inlineStr">
        <is>
          <t>SUNTV</t>
        </is>
      </c>
      <c r="B301" s="13">
        <f>IFERROR(__xludf.DUMMYFUNCTION("GOOGLEFINANCE(""NSE:""&amp;A301,""PRICE"")"),754.95)</f>
        <v/>
      </c>
      <c r="C301" s="13">
        <f>IFERROR(__xludf.DUMMYFUNCTION("GOOGLEFINANCE(""NSE:""&amp;A301,""PRICEOPEN"")"),763)</f>
        <v/>
      </c>
      <c r="D301" s="13">
        <f>IFERROR(__xludf.DUMMYFUNCTION("GOOGLEFINANCE(""NSE:""&amp;A301,""HIGH"")"),768.9)</f>
        <v/>
      </c>
      <c r="E301" s="13">
        <f>IFERROR(__xludf.DUMMYFUNCTION("GOOGLEFINANCE(""NSE:""&amp;A301,""LOW"")"),752.2)</f>
        <v/>
      </c>
      <c r="F301" s="13">
        <f>IFERROR(__xludf.DUMMYFUNCTION("GOOGLEFINANCE(""NSE:""&amp;A301,""closeyest"")"),765.85)</f>
        <v/>
      </c>
      <c r="G301" s="14">
        <f>(B301-C301)/B301</f>
        <v/>
      </c>
      <c r="H301" s="13">
        <f>IFERROR(__xludf.DUMMYFUNCTION("GOOGLEFINANCE(""NSE:""&amp;A301,""VOLUME"")"),316381)</f>
        <v/>
      </c>
      <c r="I301" s="13">
        <f>IFERROR(__xludf.DUMMYFUNCTION("AVERAGE(index(GOOGLEFINANCE(""NSE:""&amp;$A301, ""volume"", today()-21, today()-1), , 2))"),"#N/A")</f>
        <v/>
      </c>
      <c r="J301" s="14">
        <f>(H301-I301)/I301</f>
        <v/>
      </c>
      <c r="K301" s="13">
        <f>IFERROR(__xludf.DUMMYFUNCTION("AVERAGE(index(GOOGLEFINANCE(""NSE:""&amp;$A301, ""close"", today()-6, today()-1), , 2))"),"#N/A")</f>
        <v/>
      </c>
      <c r="L301" s="13">
        <f>IFERROR(__xludf.DUMMYFUNCTION("AVERAGE(index(GOOGLEFINANCE(""NSE:""&amp;$A301, ""close"", today()-14, today()-1), , 2))"),"#N/A")</f>
        <v/>
      </c>
      <c r="M301" s="13">
        <f>IFERROR(__xludf.DUMMYFUNCTION("AVERAGE(index(GOOGLEFINANCE(""NSE:""&amp;$A301, ""close"", today()-22, today()-1), , 2))"),"#N/A")</f>
        <v/>
      </c>
      <c r="N301" s="13">
        <f>AG301</f>
        <v/>
      </c>
      <c r="O301" s="13">
        <f>AI301</f>
        <v/>
      </c>
      <c r="P301" s="13">
        <f>W301</f>
        <v/>
      </c>
      <c r="Q301" s="13">
        <f>Y301</f>
        <v/>
      </c>
      <c r="R301" s="15" t="n"/>
      <c r="S301" s="15">
        <f>LEFT(W301,2)&amp;LEFT(Y301,2)</f>
        <v/>
      </c>
      <c r="T301" s="15" t="n"/>
      <c r="U301" s="15">
        <f>IF(K301&lt;L301,1,0)</f>
        <v/>
      </c>
      <c r="V301" s="15">
        <f>IF(H301&gt;I301,1,0)</f>
        <v/>
      </c>
      <c r="W301" s="15">
        <f>IF(SUM(U301:V301)=2,"Anticipatory_Sell","No_Action")</f>
        <v/>
      </c>
      <c r="X301" s="15" t="n"/>
      <c r="Y301" s="15">
        <f>IF(SUM(Z301:AA301)=2,"Confirm_Sell","No_Action")</f>
        <v/>
      </c>
      <c r="Z301" s="15">
        <f>IF(H301&gt;I301,1,0)</f>
        <v/>
      </c>
      <c r="AA301" s="15">
        <f>IF(K301&lt;M301,1,0)</f>
        <v/>
      </c>
      <c r="AB301" s="15" t="n"/>
      <c r="AC301" s="15">
        <f>LEFT(AG301,2)&amp;LEFT(AI301,2)</f>
        <v/>
      </c>
      <c r="AD301" s="15" t="n"/>
      <c r="AE301" s="15">
        <f>IF(K301&gt;L301,1,0)</f>
        <v/>
      </c>
      <c r="AF301" s="16">
        <f>IF(H301&gt;I301,1,0)</f>
        <v/>
      </c>
      <c r="AG301" s="16">
        <f>IF(SUM(AE301:AF301)=2,"Anticipatory_Buy","No_Action")</f>
        <v/>
      </c>
      <c r="AH301" s="15" t="n"/>
      <c r="AI301" s="15">
        <f>IF(SUM(AJ301:AK301)=2,"Confirm_Buy","No_Action")</f>
        <v/>
      </c>
      <c r="AJ301" s="15">
        <f>IF(H301&gt;I301,1,0)</f>
        <v/>
      </c>
      <c r="AK301" s="15">
        <f>IF(K301&gt;M301,1,0)</f>
        <v/>
      </c>
    </row>
    <row r="302" ht="14.5" customHeight="1">
      <c r="A302" s="12" t="inlineStr">
        <is>
          <t>SUNDARMFIN</t>
        </is>
      </c>
      <c r="B302" s="13">
        <f>IFERROR(__xludf.DUMMYFUNCTION("GOOGLEFINANCE(""NSE:""&amp;A302,""PRICE"")"),4380)</f>
        <v/>
      </c>
      <c r="C302" s="13">
        <f>IFERROR(__xludf.DUMMYFUNCTION("GOOGLEFINANCE(""NSE:""&amp;A302,""PRICEOPEN"")"),4204.7)</f>
        <v/>
      </c>
      <c r="D302" s="13">
        <f>IFERROR(__xludf.DUMMYFUNCTION("GOOGLEFINANCE(""NSE:""&amp;A302,""HIGH"")"),4420)</f>
        <v/>
      </c>
      <c r="E302" s="13">
        <f>IFERROR(__xludf.DUMMYFUNCTION("GOOGLEFINANCE(""NSE:""&amp;A302,""LOW"")"),4204.7)</f>
        <v/>
      </c>
      <c r="F302" s="13">
        <f>IFERROR(__xludf.DUMMYFUNCTION("GOOGLEFINANCE(""NSE:""&amp;A302,""closeyest"")"),4165.5)</f>
        <v/>
      </c>
      <c r="G302" s="14">
        <f>(B302-C302)/B302</f>
        <v/>
      </c>
      <c r="H302" s="13">
        <f>IFERROR(__xludf.DUMMYFUNCTION("GOOGLEFINANCE(""NSE:""&amp;A302,""VOLUME"")"),342844)</f>
        <v/>
      </c>
      <c r="I302" s="13">
        <f>IFERROR(__xludf.DUMMYFUNCTION("AVERAGE(index(GOOGLEFINANCE(""NSE:""&amp;$A302, ""volume"", today()-21, today()-1), , 2))"),"#N/A")</f>
        <v/>
      </c>
      <c r="J302" s="14">
        <f>(H302-I302)/I302</f>
        <v/>
      </c>
      <c r="K302" s="13">
        <f>IFERROR(__xludf.DUMMYFUNCTION("AVERAGE(index(GOOGLEFINANCE(""NSE:""&amp;$A302, ""close"", today()-6, today()-1), , 2))"),"#N/A")</f>
        <v/>
      </c>
      <c r="L302" s="13">
        <f>IFERROR(__xludf.DUMMYFUNCTION("AVERAGE(index(GOOGLEFINANCE(""NSE:""&amp;$A302, ""close"", today()-14, today()-1), , 2))"),"#N/A")</f>
        <v/>
      </c>
      <c r="M302" s="13">
        <f>IFERROR(__xludf.DUMMYFUNCTION("AVERAGE(index(GOOGLEFINANCE(""NSE:""&amp;$A302, ""close"", today()-22, today()-1), , 2))"),"#N/A")</f>
        <v/>
      </c>
      <c r="N302" s="13">
        <f>AG302</f>
        <v/>
      </c>
      <c r="O302" s="13">
        <f>AI302</f>
        <v/>
      </c>
      <c r="P302" s="13">
        <f>W302</f>
        <v/>
      </c>
      <c r="Q302" s="13">
        <f>Y302</f>
        <v/>
      </c>
      <c r="R302" s="15" t="n"/>
      <c r="S302" s="15">
        <f>LEFT(W302,2)&amp;LEFT(Y302,2)</f>
        <v/>
      </c>
      <c r="T302" s="15" t="n"/>
      <c r="U302" s="15">
        <f>IF(K302&lt;L302,1,0)</f>
        <v/>
      </c>
      <c r="V302" s="15">
        <f>IF(H302&gt;I302,1,0)</f>
        <v/>
      </c>
      <c r="W302" s="15">
        <f>IF(SUM(U302:V302)=2,"Anticipatory_Sell","No_Action")</f>
        <v/>
      </c>
      <c r="X302" s="15" t="n"/>
      <c r="Y302" s="15">
        <f>IF(SUM(Z302:AA302)=2,"Confirm_Sell","No_Action")</f>
        <v/>
      </c>
      <c r="Z302" s="15">
        <f>IF(H302&gt;I302,1,0)</f>
        <v/>
      </c>
      <c r="AA302" s="15">
        <f>IF(K302&lt;M302,1,0)</f>
        <v/>
      </c>
      <c r="AB302" s="15" t="n"/>
      <c r="AC302" s="15">
        <f>LEFT(AG302,2)&amp;LEFT(AI302,2)</f>
        <v/>
      </c>
      <c r="AD302" s="15" t="n"/>
      <c r="AE302" s="15">
        <f>IF(K302&gt;L302,1,0)</f>
        <v/>
      </c>
      <c r="AF302" s="16">
        <f>IF(H302&gt;I302,1,0)</f>
        <v/>
      </c>
      <c r="AG302" s="16">
        <f>IF(SUM(AE302:AF302)=2,"Anticipatory_Buy","No_Action")</f>
        <v/>
      </c>
      <c r="AH302" s="15" t="n"/>
      <c r="AI302" s="15">
        <f>IF(SUM(AJ302:AK302)=2,"Confirm_Buy","No_Action")</f>
        <v/>
      </c>
      <c r="AJ302" s="15">
        <f>IF(H302&gt;I302,1,0)</f>
        <v/>
      </c>
      <c r="AK302" s="15">
        <f>IF(K302&gt;M302,1,0)</f>
        <v/>
      </c>
    </row>
    <row r="303" ht="14.5" customHeight="1">
      <c r="A303" s="12" t="inlineStr">
        <is>
          <t>SUNDRMFAST</t>
        </is>
      </c>
      <c r="B303" s="13">
        <f>IFERROR(__xludf.DUMMYFUNCTION("GOOGLEFINANCE(""NSE:""&amp;A303,""PRICE"")"),1183.6)</f>
        <v/>
      </c>
      <c r="C303" s="13">
        <f>IFERROR(__xludf.DUMMYFUNCTION("GOOGLEFINANCE(""NSE:""&amp;A303,""PRICEOPEN"")"),1138.2)</f>
        <v/>
      </c>
      <c r="D303" s="13">
        <f>IFERROR(__xludf.DUMMYFUNCTION("GOOGLEFINANCE(""NSE:""&amp;A303,""HIGH"")"),1187.95)</f>
        <v/>
      </c>
      <c r="E303" s="13">
        <f>IFERROR(__xludf.DUMMYFUNCTION("GOOGLEFINANCE(""NSE:""&amp;A303,""LOW"")"),1131.9)</f>
        <v/>
      </c>
      <c r="F303" s="13">
        <f>IFERROR(__xludf.DUMMYFUNCTION("GOOGLEFINANCE(""NSE:""&amp;A303,""closeyest"")"),1132.25)</f>
        <v/>
      </c>
      <c r="G303" s="14">
        <f>(B303-C303)/B303</f>
        <v/>
      </c>
      <c r="H303" s="13">
        <f>IFERROR(__xludf.DUMMYFUNCTION("GOOGLEFINANCE(""NSE:""&amp;A303,""VOLUME"")"),1005356)</f>
        <v/>
      </c>
      <c r="I303" s="13">
        <f>IFERROR(__xludf.DUMMYFUNCTION("AVERAGE(index(GOOGLEFINANCE(""NSE:""&amp;$A303, ""volume"", today()-21, today()-1), , 2))"),"#N/A")</f>
        <v/>
      </c>
      <c r="J303" s="14">
        <f>(H303-I303)/I303</f>
        <v/>
      </c>
      <c r="K303" s="13">
        <f>IFERROR(__xludf.DUMMYFUNCTION("AVERAGE(index(GOOGLEFINANCE(""NSE:""&amp;$A303, ""close"", today()-6, today()-1), , 2))"),"#N/A")</f>
        <v/>
      </c>
      <c r="L303" s="13">
        <f>IFERROR(__xludf.DUMMYFUNCTION("AVERAGE(index(GOOGLEFINANCE(""NSE:""&amp;$A303, ""close"", today()-14, today()-1), , 2))"),"#N/A")</f>
        <v/>
      </c>
      <c r="M303" s="13">
        <f>IFERROR(__xludf.DUMMYFUNCTION("AVERAGE(index(GOOGLEFINANCE(""NSE:""&amp;$A303, ""close"", today()-22, today()-1), , 2))"),"#N/A")</f>
        <v/>
      </c>
      <c r="N303" s="13">
        <f>AG303</f>
        <v/>
      </c>
      <c r="O303" s="13">
        <f>AI303</f>
        <v/>
      </c>
      <c r="P303" s="13">
        <f>W303</f>
        <v/>
      </c>
      <c r="Q303" s="13">
        <f>Y303</f>
        <v/>
      </c>
      <c r="R303" s="15" t="n"/>
      <c r="S303" s="15">
        <f>LEFT(W303,2)&amp;LEFT(Y303,2)</f>
        <v/>
      </c>
      <c r="T303" s="15" t="n"/>
      <c r="U303" s="15">
        <f>IF(K303&lt;L303,1,0)</f>
        <v/>
      </c>
      <c r="V303" s="15">
        <f>IF(H303&gt;I303,1,0)</f>
        <v/>
      </c>
      <c r="W303" s="15">
        <f>IF(SUM(U303:V303)=2,"Anticipatory_Sell","No_Action")</f>
        <v/>
      </c>
      <c r="X303" s="15" t="n"/>
      <c r="Y303" s="15">
        <f>IF(SUM(Z303:AA303)=2,"Confirm_Sell","No_Action")</f>
        <v/>
      </c>
      <c r="Z303" s="15">
        <f>IF(H303&gt;I303,1,0)</f>
        <v/>
      </c>
      <c r="AA303" s="15">
        <f>IF(K303&lt;M303,1,0)</f>
        <v/>
      </c>
      <c r="AB303" s="15" t="n"/>
      <c r="AC303" s="15">
        <f>LEFT(AG303,2)&amp;LEFT(AI303,2)</f>
        <v/>
      </c>
      <c r="AD303" s="15" t="n"/>
      <c r="AE303" s="15">
        <f>IF(K303&gt;L303,1,0)</f>
        <v/>
      </c>
      <c r="AF303" s="16">
        <f>IF(H303&gt;I303,1,0)</f>
        <v/>
      </c>
      <c r="AG303" s="16">
        <f>IF(SUM(AE303:AF303)=2,"Anticipatory_Buy","No_Action")</f>
        <v/>
      </c>
      <c r="AH303" s="15" t="n"/>
      <c r="AI303" s="15">
        <f>IF(SUM(AJ303:AK303)=2,"Confirm_Buy","No_Action")</f>
        <v/>
      </c>
      <c r="AJ303" s="15">
        <f>IF(H303&gt;I303,1,0)</f>
        <v/>
      </c>
      <c r="AK303" s="15">
        <f>IF(K303&gt;M303,1,0)</f>
        <v/>
      </c>
    </row>
    <row r="304" ht="14.5" customHeight="1">
      <c r="A304" s="12" t="inlineStr">
        <is>
          <t>SUPREMEIND</t>
        </is>
      </c>
      <c r="B304" s="13">
        <f>IFERROR(__xludf.DUMMYFUNCTION("GOOGLEFINANCE(""NSE:""&amp;A304,""PRICE"")"),5044.6)</f>
        <v/>
      </c>
      <c r="C304" s="13">
        <f>IFERROR(__xludf.DUMMYFUNCTION("GOOGLEFINANCE(""NSE:""&amp;A304,""PRICEOPEN"")"),4740.5)</f>
        <v/>
      </c>
      <c r="D304" s="13">
        <f>IFERROR(__xludf.DUMMYFUNCTION("GOOGLEFINANCE(""NSE:""&amp;A304,""HIGH"")"),5049.85)</f>
        <v/>
      </c>
      <c r="E304" s="13">
        <f>IFERROR(__xludf.DUMMYFUNCTION("GOOGLEFINANCE(""NSE:""&amp;A304,""LOW"")"),4738.55)</f>
        <v/>
      </c>
      <c r="F304" s="13">
        <f>IFERROR(__xludf.DUMMYFUNCTION("GOOGLEFINANCE(""NSE:""&amp;A304,""closeyest"")"),4738.4)</f>
        <v/>
      </c>
      <c r="G304" s="14">
        <f>(B304-C304)/B304</f>
        <v/>
      </c>
      <c r="H304" s="13">
        <f>IFERROR(__xludf.DUMMYFUNCTION("GOOGLEFINANCE(""NSE:""&amp;A304,""VOLUME"")"),619707)</f>
        <v/>
      </c>
      <c r="I304" s="13">
        <f>IFERROR(__xludf.DUMMYFUNCTION("AVERAGE(index(GOOGLEFINANCE(""NSE:""&amp;$A304, ""volume"", today()-21, today()-1), , 2))"),"#N/A")</f>
        <v/>
      </c>
      <c r="J304" s="14">
        <f>(H304-I304)/I304</f>
        <v/>
      </c>
      <c r="K304" s="13">
        <f>IFERROR(__xludf.DUMMYFUNCTION("AVERAGE(index(GOOGLEFINANCE(""NSE:""&amp;$A304, ""close"", today()-6, today()-1), , 2))"),"#N/A")</f>
        <v/>
      </c>
      <c r="L304" s="13">
        <f>IFERROR(__xludf.DUMMYFUNCTION("AVERAGE(index(GOOGLEFINANCE(""NSE:""&amp;$A304, ""close"", today()-14, today()-1), , 2))"),"#N/A")</f>
        <v/>
      </c>
      <c r="M304" s="13">
        <f>IFERROR(__xludf.DUMMYFUNCTION("AVERAGE(index(GOOGLEFINANCE(""NSE:""&amp;$A304, ""close"", today()-22, today()-1), , 2))"),"#N/A")</f>
        <v/>
      </c>
      <c r="N304" s="13">
        <f>AG304</f>
        <v/>
      </c>
      <c r="O304" s="13">
        <f>AI304</f>
        <v/>
      </c>
      <c r="P304" s="13">
        <f>W304</f>
        <v/>
      </c>
      <c r="Q304" s="13">
        <f>Y304</f>
        <v/>
      </c>
      <c r="R304" s="15" t="n"/>
      <c r="S304" s="15">
        <f>LEFT(W304,2)&amp;LEFT(Y304,2)</f>
        <v/>
      </c>
      <c r="T304" s="15" t="n"/>
      <c r="U304" s="15">
        <f>IF(K304&lt;L304,1,0)</f>
        <v/>
      </c>
      <c r="V304" s="15">
        <f>IF(H304&gt;I304,1,0)</f>
        <v/>
      </c>
      <c r="W304" s="15">
        <f>IF(SUM(U304:V304)=2,"Anticipatory_Sell","No_Action")</f>
        <v/>
      </c>
      <c r="X304" s="15" t="n"/>
      <c r="Y304" s="15">
        <f>IF(SUM(Z304:AA304)=2,"Confirm_Sell","No_Action")</f>
        <v/>
      </c>
      <c r="Z304" s="15">
        <f>IF(H304&gt;I304,1,0)</f>
        <v/>
      </c>
      <c r="AA304" s="15">
        <f>IF(K304&lt;M304,1,0)</f>
        <v/>
      </c>
      <c r="AB304" s="15" t="n"/>
      <c r="AC304" s="15">
        <f>LEFT(AG304,2)&amp;LEFT(AI304,2)</f>
        <v/>
      </c>
      <c r="AD304" s="15" t="n"/>
      <c r="AE304" s="15">
        <f>IF(K304&gt;L304,1,0)</f>
        <v/>
      </c>
      <c r="AF304" s="16">
        <f>IF(H304&gt;I304,1,0)</f>
        <v/>
      </c>
      <c r="AG304" s="16">
        <f>IF(SUM(AE304:AF304)=2,"Anticipatory_Buy","No_Action")</f>
        <v/>
      </c>
      <c r="AH304" s="15" t="n"/>
      <c r="AI304" s="15">
        <f>IF(SUM(AJ304:AK304)=2,"Confirm_Buy","No_Action")</f>
        <v/>
      </c>
      <c r="AJ304" s="15">
        <f>IF(H304&gt;I304,1,0)</f>
        <v/>
      </c>
      <c r="AK304" s="15">
        <f>IF(K304&gt;M304,1,0)</f>
        <v/>
      </c>
    </row>
    <row r="305" ht="14.5" customHeight="1">
      <c r="A305" s="12" t="inlineStr">
        <is>
          <t>SYMPHONY</t>
        </is>
      </c>
      <c r="B305" s="13">
        <f>IFERROR(__xludf.DUMMYFUNCTION("GOOGLEFINANCE(""NSE:""&amp;A305,""PRICE"")"),1386)</f>
        <v/>
      </c>
      <c r="C305" s="13">
        <f>IFERROR(__xludf.DUMMYFUNCTION("GOOGLEFINANCE(""NSE:""&amp;A305,""PRICEOPEN"")"),1359.05)</f>
        <v/>
      </c>
      <c r="D305" s="13">
        <f>IFERROR(__xludf.DUMMYFUNCTION("GOOGLEFINANCE(""NSE:""&amp;A305,""HIGH"")"),1392)</f>
        <v/>
      </c>
      <c r="E305" s="13">
        <f>IFERROR(__xludf.DUMMYFUNCTION("GOOGLEFINANCE(""NSE:""&amp;A305,""LOW"")"),1359.05)</f>
        <v/>
      </c>
      <c r="F305" s="13">
        <f>IFERROR(__xludf.DUMMYFUNCTION("GOOGLEFINANCE(""NSE:""&amp;A305,""closeyest"")"),1363.3)</f>
        <v/>
      </c>
      <c r="G305" s="14">
        <f>(B305-C305)/B305</f>
        <v/>
      </c>
      <c r="H305" s="13">
        <f>IFERROR(__xludf.DUMMYFUNCTION("GOOGLEFINANCE(""NSE:""&amp;A305,""VOLUME"")"),47542)</f>
        <v/>
      </c>
      <c r="I305" s="13">
        <f>IFERROR(__xludf.DUMMYFUNCTION("AVERAGE(index(GOOGLEFINANCE(""NSE:""&amp;$A305, ""volume"", today()-21, today()-1), , 2))"),"#N/A")</f>
        <v/>
      </c>
      <c r="J305" s="14">
        <f>(H305-I305)/I305</f>
        <v/>
      </c>
      <c r="K305" s="13">
        <f>IFERROR(__xludf.DUMMYFUNCTION("AVERAGE(index(GOOGLEFINANCE(""NSE:""&amp;$A305, ""close"", today()-6, today()-1), , 2))"),"#N/A")</f>
        <v/>
      </c>
      <c r="L305" s="13">
        <f>IFERROR(__xludf.DUMMYFUNCTION("AVERAGE(index(GOOGLEFINANCE(""NSE:""&amp;$A305, ""close"", today()-14, today()-1), , 2))"),"#N/A")</f>
        <v/>
      </c>
      <c r="M305" s="13">
        <f>IFERROR(__xludf.DUMMYFUNCTION("AVERAGE(index(GOOGLEFINANCE(""NSE:""&amp;$A305, ""close"", today()-22, today()-1), , 2))"),"#N/A")</f>
        <v/>
      </c>
      <c r="N305" s="13">
        <f>AG305</f>
        <v/>
      </c>
      <c r="O305" s="13">
        <f>AI305</f>
        <v/>
      </c>
      <c r="P305" s="13">
        <f>W305</f>
        <v/>
      </c>
      <c r="Q305" s="13">
        <f>Y305</f>
        <v/>
      </c>
      <c r="R305" s="15" t="n"/>
      <c r="S305" s="15">
        <f>LEFT(W305,2)&amp;LEFT(Y305,2)</f>
        <v/>
      </c>
      <c r="T305" s="15" t="n"/>
      <c r="U305" s="15">
        <f>IF(K305&lt;L305,1,0)</f>
        <v/>
      </c>
      <c r="V305" s="15">
        <f>IF(H305&gt;I305,1,0)</f>
        <v/>
      </c>
      <c r="W305" s="15">
        <f>IF(SUM(U305:V305)=2,"Anticipatory_Sell","No_Action")</f>
        <v/>
      </c>
      <c r="X305" s="15" t="n"/>
      <c r="Y305" s="15">
        <f>IF(SUM(Z305:AA305)=2,"Confirm_Sell","No_Action")</f>
        <v/>
      </c>
      <c r="Z305" s="15">
        <f>IF(H305&gt;I305,1,0)</f>
        <v/>
      </c>
      <c r="AA305" s="15">
        <f>IF(K305&lt;M305,1,0)</f>
        <v/>
      </c>
      <c r="AB305" s="15" t="n"/>
      <c r="AC305" s="15">
        <f>LEFT(AG305,2)&amp;LEFT(AI305,2)</f>
        <v/>
      </c>
      <c r="AD305" s="15" t="n"/>
      <c r="AE305" s="15">
        <f>IF(K305&gt;L305,1,0)</f>
        <v/>
      </c>
      <c r="AF305" s="16">
        <f>IF(H305&gt;I305,1,0)</f>
        <v/>
      </c>
      <c r="AG305" s="16">
        <f>IF(SUM(AE305:AF305)=2,"Anticipatory_Buy","No_Action")</f>
        <v/>
      </c>
      <c r="AH305" s="15" t="n"/>
      <c r="AI305" s="15">
        <f>IF(SUM(AJ305:AK305)=2,"Confirm_Buy","No_Action")</f>
        <v/>
      </c>
      <c r="AJ305" s="15">
        <f>IF(H305&gt;I305,1,0)</f>
        <v/>
      </c>
      <c r="AK305" s="15">
        <f>IF(K305&gt;M305,1,0)</f>
        <v/>
      </c>
    </row>
    <row r="306" ht="14.5" customHeight="1">
      <c r="A306" s="12" t="inlineStr">
        <is>
          <t>SYNGENE</t>
        </is>
      </c>
      <c r="B306" s="13">
        <f>IFERROR(__xludf.DUMMYFUNCTION("GOOGLEFINANCE(""NSE:""&amp;A306,""PRICE"")"),872.7)</f>
        <v/>
      </c>
      <c r="C306" s="13">
        <f>IFERROR(__xludf.DUMMYFUNCTION("GOOGLEFINANCE(""NSE:""&amp;A306,""PRICEOPEN"")"),900)</f>
        <v/>
      </c>
      <c r="D306" s="13">
        <f>IFERROR(__xludf.DUMMYFUNCTION("GOOGLEFINANCE(""NSE:""&amp;A306,""HIGH"")"),907)</f>
        <v/>
      </c>
      <c r="E306" s="13">
        <f>IFERROR(__xludf.DUMMYFUNCTION("GOOGLEFINANCE(""NSE:""&amp;A306,""LOW"")"),852)</f>
        <v/>
      </c>
      <c r="F306" s="13">
        <f>IFERROR(__xludf.DUMMYFUNCTION("GOOGLEFINANCE(""NSE:""&amp;A306,""closeyest"")"),919.7)</f>
        <v/>
      </c>
      <c r="G306" s="14">
        <f>(B306-C306)/B306</f>
        <v/>
      </c>
      <c r="H306" s="13">
        <f>IFERROR(__xludf.DUMMYFUNCTION("GOOGLEFINANCE(""NSE:""&amp;A306,""VOLUME"")"),1908789)</f>
        <v/>
      </c>
      <c r="I306" s="13">
        <f>IFERROR(__xludf.DUMMYFUNCTION("AVERAGE(index(GOOGLEFINANCE(""NSE:""&amp;$A306, ""volume"", today()-21, today()-1), , 2))"),"#N/A")</f>
        <v/>
      </c>
      <c r="J306" s="14">
        <f>(H306-I306)/I306</f>
        <v/>
      </c>
      <c r="K306" s="13">
        <f>IFERROR(__xludf.DUMMYFUNCTION("AVERAGE(index(GOOGLEFINANCE(""NSE:""&amp;$A306, ""close"", today()-6, today()-1), , 2))"),"#N/A")</f>
        <v/>
      </c>
      <c r="L306" s="13">
        <f>IFERROR(__xludf.DUMMYFUNCTION("AVERAGE(index(GOOGLEFINANCE(""NSE:""&amp;$A306, ""close"", today()-14, today()-1), , 2))"),"#N/A")</f>
        <v/>
      </c>
      <c r="M306" s="13">
        <f>IFERROR(__xludf.DUMMYFUNCTION("AVERAGE(index(GOOGLEFINANCE(""NSE:""&amp;$A306, ""close"", today()-22, today()-1), , 2))"),"#N/A")</f>
        <v/>
      </c>
      <c r="N306" s="13">
        <f>AG306</f>
        <v/>
      </c>
      <c r="O306" s="13">
        <f>AI306</f>
        <v/>
      </c>
      <c r="P306" s="13">
        <f>W306</f>
        <v/>
      </c>
      <c r="Q306" s="13">
        <f>Y306</f>
        <v/>
      </c>
      <c r="R306" s="15" t="n"/>
      <c r="S306" s="15">
        <f>LEFT(W306,2)&amp;LEFT(Y306,2)</f>
        <v/>
      </c>
      <c r="T306" s="15" t="n"/>
      <c r="U306" s="15">
        <f>IF(K306&lt;L306,1,0)</f>
        <v/>
      </c>
      <c r="V306" s="15">
        <f>IF(H306&gt;I306,1,0)</f>
        <v/>
      </c>
      <c r="W306" s="15">
        <f>IF(SUM(U306:V306)=2,"Anticipatory_Sell","No_Action")</f>
        <v/>
      </c>
      <c r="X306" s="15" t="n"/>
      <c r="Y306" s="15">
        <f>IF(SUM(Z306:AA306)=2,"Confirm_Sell","No_Action")</f>
        <v/>
      </c>
      <c r="Z306" s="15">
        <f>IF(H306&gt;I306,1,0)</f>
        <v/>
      </c>
      <c r="AA306" s="15">
        <f>IF(K306&lt;M306,1,0)</f>
        <v/>
      </c>
      <c r="AB306" s="15" t="n"/>
      <c r="AC306" s="15">
        <f>LEFT(AG306,2)&amp;LEFT(AI306,2)</f>
        <v/>
      </c>
      <c r="AD306" s="15" t="n"/>
      <c r="AE306" s="15">
        <f>IF(K306&gt;L306,1,0)</f>
        <v/>
      </c>
      <c r="AF306" s="16">
        <f>IF(H306&gt;I306,1,0)</f>
        <v/>
      </c>
      <c r="AG306" s="16">
        <f>IF(SUM(AE306:AF306)=2,"Anticipatory_Buy","No_Action")</f>
        <v/>
      </c>
      <c r="AH306" s="15" t="n"/>
      <c r="AI306" s="15">
        <f>IF(SUM(AJ306:AK306)=2,"Confirm_Buy","No_Action")</f>
        <v/>
      </c>
      <c r="AJ306" s="15">
        <f>IF(H306&gt;I306,1,0)</f>
        <v/>
      </c>
      <c r="AK306" s="15">
        <f>IF(K306&gt;M306,1,0)</f>
        <v/>
      </c>
    </row>
    <row r="307" ht="14.5" customHeight="1">
      <c r="A307" s="12" t="inlineStr">
        <is>
          <t>TAJGVK</t>
        </is>
      </c>
      <c r="B307" s="13">
        <f>IFERROR(__xludf.DUMMYFUNCTION("GOOGLEFINANCE(""NSE:""&amp;A307,""PRICE"")"),362.65)</f>
        <v/>
      </c>
      <c r="C307" s="13">
        <f>IFERROR(__xludf.DUMMYFUNCTION("GOOGLEFINANCE(""NSE:""&amp;A307,""PRICEOPEN"")"),364)</f>
        <v/>
      </c>
      <c r="D307" s="13">
        <f>IFERROR(__xludf.DUMMYFUNCTION("GOOGLEFINANCE(""NSE:""&amp;A307,""HIGH"")"),368.2)</f>
        <v/>
      </c>
      <c r="E307" s="13">
        <f>IFERROR(__xludf.DUMMYFUNCTION("GOOGLEFINANCE(""NSE:""&amp;A307,""LOW"")"),360.25)</f>
        <v/>
      </c>
      <c r="F307" s="13">
        <f>IFERROR(__xludf.DUMMYFUNCTION("GOOGLEFINANCE(""NSE:""&amp;A307,""closeyest"")"),362.4)</f>
        <v/>
      </c>
      <c r="G307" s="14">
        <f>(B307-C307)/B307</f>
        <v/>
      </c>
      <c r="H307" s="13">
        <f>IFERROR(__xludf.DUMMYFUNCTION("GOOGLEFINANCE(""NSE:""&amp;A307,""VOLUME"")"),194462)</f>
        <v/>
      </c>
      <c r="I307" s="13">
        <f>IFERROR(__xludf.DUMMYFUNCTION("AVERAGE(index(GOOGLEFINANCE(""NSE:""&amp;$A307, ""volume"", today()-21, today()-1), , 2))"),"#N/A")</f>
        <v/>
      </c>
      <c r="J307" s="14">
        <f>(H307-I307)/I307</f>
        <v/>
      </c>
      <c r="K307" s="13">
        <f>IFERROR(__xludf.DUMMYFUNCTION("AVERAGE(index(GOOGLEFINANCE(""NSE:""&amp;$A307, ""close"", today()-6, today()-1), , 2))"),"#N/A")</f>
        <v/>
      </c>
      <c r="L307" s="13">
        <f>IFERROR(__xludf.DUMMYFUNCTION("AVERAGE(index(GOOGLEFINANCE(""NSE:""&amp;$A307, ""close"", today()-14, today()-1), , 2))"),"#N/A")</f>
        <v/>
      </c>
      <c r="M307" s="13">
        <f>IFERROR(__xludf.DUMMYFUNCTION("AVERAGE(index(GOOGLEFINANCE(""NSE:""&amp;$A307, ""close"", today()-22, today()-1), , 2))"),"#N/A")</f>
        <v/>
      </c>
      <c r="N307" s="13">
        <f>AG307</f>
        <v/>
      </c>
      <c r="O307" s="13">
        <f>AI307</f>
        <v/>
      </c>
      <c r="P307" s="13">
        <f>W307</f>
        <v/>
      </c>
      <c r="Q307" s="13">
        <f>Y307</f>
        <v/>
      </c>
      <c r="R307" s="15" t="n"/>
      <c r="S307" s="15">
        <f>LEFT(W307,2)&amp;LEFT(Y307,2)</f>
        <v/>
      </c>
      <c r="T307" s="15" t="n"/>
      <c r="U307" s="15">
        <f>IF(K307&lt;L307,1,0)</f>
        <v/>
      </c>
      <c r="V307" s="15">
        <f>IF(H307&gt;I307,1,0)</f>
        <v/>
      </c>
      <c r="W307" s="15">
        <f>IF(SUM(U307:V307)=2,"Anticipatory_Sell","No_Action")</f>
        <v/>
      </c>
      <c r="X307" s="15" t="n"/>
      <c r="Y307" s="15">
        <f>IF(SUM(Z307:AA307)=2,"Confirm_Sell","No_Action")</f>
        <v/>
      </c>
      <c r="Z307" s="15">
        <f>IF(H307&gt;I307,1,0)</f>
        <v/>
      </c>
      <c r="AA307" s="15">
        <f>IF(K307&lt;M307,1,0)</f>
        <v/>
      </c>
      <c r="AB307" s="15" t="n"/>
      <c r="AC307" s="15">
        <f>LEFT(AG307,2)&amp;LEFT(AI307,2)</f>
        <v/>
      </c>
      <c r="AD307" s="15" t="n"/>
      <c r="AE307" s="15">
        <f>IF(K307&gt;L307,1,0)</f>
        <v/>
      </c>
      <c r="AF307" s="16">
        <f>IF(H307&gt;I307,1,0)</f>
        <v/>
      </c>
      <c r="AG307" s="16">
        <f>IF(SUM(AE307:AF307)=2,"Anticipatory_Buy","No_Action")</f>
        <v/>
      </c>
      <c r="AH307" s="15" t="n"/>
      <c r="AI307" s="15">
        <f>IF(SUM(AJ307:AK307)=2,"Confirm_Buy","No_Action")</f>
        <v/>
      </c>
      <c r="AJ307" s="15">
        <f>IF(H307&gt;I307,1,0)</f>
        <v/>
      </c>
      <c r="AK307" s="15">
        <f>IF(K307&gt;M307,1,0)</f>
        <v/>
      </c>
    </row>
    <row r="308" ht="14.5" customHeight="1">
      <c r="A308" s="12" t="inlineStr">
        <is>
          <t>TARSONS</t>
        </is>
      </c>
      <c r="B308" s="13">
        <f>IFERROR(__xludf.DUMMYFUNCTION("GOOGLEFINANCE(""NSE:""&amp;A308,""PRICE"")"),454)</f>
        <v/>
      </c>
      <c r="C308" s="13">
        <f>IFERROR(__xludf.DUMMYFUNCTION("GOOGLEFINANCE(""NSE:""&amp;A308,""PRICEOPEN"")"),459.7)</f>
        <v/>
      </c>
      <c r="D308" s="13">
        <f>IFERROR(__xludf.DUMMYFUNCTION("GOOGLEFINANCE(""NSE:""&amp;A308,""HIGH"")"),464.3)</f>
        <v/>
      </c>
      <c r="E308" s="13">
        <f>IFERROR(__xludf.DUMMYFUNCTION("GOOGLEFINANCE(""NSE:""&amp;A308,""LOW"")"),448.8)</f>
        <v/>
      </c>
      <c r="F308" s="13">
        <f>IFERROR(__xludf.DUMMYFUNCTION("GOOGLEFINANCE(""NSE:""&amp;A308,""closeyest"")"),450.6)</f>
        <v/>
      </c>
      <c r="G308" s="14">
        <f>(B308-C308)/B308</f>
        <v/>
      </c>
      <c r="H308" s="13">
        <f>IFERROR(__xludf.DUMMYFUNCTION("GOOGLEFINANCE(""NSE:""&amp;A308,""VOLUME"")"),64287)</f>
        <v/>
      </c>
      <c r="I308" s="13">
        <f>IFERROR(__xludf.DUMMYFUNCTION("AVERAGE(index(GOOGLEFINANCE(""NSE:""&amp;$A308, ""volume"", today()-21, today()-1), , 2))"),"#N/A")</f>
        <v/>
      </c>
      <c r="J308" s="14">
        <f>(H308-I308)/I308</f>
        <v/>
      </c>
      <c r="K308" s="13">
        <f>IFERROR(__xludf.DUMMYFUNCTION("AVERAGE(index(GOOGLEFINANCE(""NSE:""&amp;$A308, ""close"", today()-6, today()-1), , 2))"),"#N/A")</f>
        <v/>
      </c>
      <c r="L308" s="13">
        <f>IFERROR(__xludf.DUMMYFUNCTION("AVERAGE(index(GOOGLEFINANCE(""NSE:""&amp;$A308, ""close"", today()-14, today()-1), , 2))"),"#N/A")</f>
        <v/>
      </c>
      <c r="M308" s="13">
        <f>IFERROR(__xludf.DUMMYFUNCTION("AVERAGE(index(GOOGLEFINANCE(""NSE:""&amp;$A308, ""close"", today()-22, today()-1), , 2))"),"#N/A")</f>
        <v/>
      </c>
      <c r="N308" s="13">
        <f>AG308</f>
        <v/>
      </c>
      <c r="O308" s="13">
        <f>AI308</f>
        <v/>
      </c>
      <c r="P308" s="13">
        <f>W308</f>
        <v/>
      </c>
      <c r="Q308" s="13">
        <f>Y308</f>
        <v/>
      </c>
      <c r="R308" s="15" t="n"/>
      <c r="S308" s="15">
        <f>LEFT(W308,2)&amp;LEFT(Y308,2)</f>
        <v/>
      </c>
      <c r="T308" s="15" t="n"/>
      <c r="U308" s="15">
        <f>IF(K308&lt;L308,1,0)</f>
        <v/>
      </c>
      <c r="V308" s="15">
        <f>IF(H308&gt;I308,1,0)</f>
        <v/>
      </c>
      <c r="W308" s="15">
        <f>IF(SUM(U308:V308)=2,"Anticipatory_Sell","No_Action")</f>
        <v/>
      </c>
      <c r="X308" s="15" t="n"/>
      <c r="Y308" s="15">
        <f>IF(SUM(Z308:AA308)=2,"Confirm_Sell","No_Action")</f>
        <v/>
      </c>
      <c r="Z308" s="15">
        <f>IF(H308&gt;I308,1,0)</f>
        <v/>
      </c>
      <c r="AA308" s="15">
        <f>IF(K308&lt;M308,1,0)</f>
        <v/>
      </c>
      <c r="AB308" s="15" t="n"/>
      <c r="AC308" s="15">
        <f>LEFT(AG308,2)&amp;LEFT(AI308,2)</f>
        <v/>
      </c>
      <c r="AD308" s="15" t="n"/>
      <c r="AE308" s="15">
        <f>IF(K308&gt;L308,1,0)</f>
        <v/>
      </c>
      <c r="AF308" s="16">
        <f>IF(H308&gt;I308,1,0)</f>
        <v/>
      </c>
      <c r="AG308" s="16">
        <f>IF(SUM(AE308:AF308)=2,"Anticipatory_Buy","No_Action")</f>
        <v/>
      </c>
      <c r="AH308" s="15" t="n"/>
      <c r="AI308" s="15">
        <f>IF(SUM(AJ308:AK308)=2,"Confirm_Buy","No_Action")</f>
        <v/>
      </c>
      <c r="AJ308" s="15">
        <f>IF(H308&gt;I308,1,0)</f>
        <v/>
      </c>
      <c r="AK308" s="15">
        <f>IF(K308&gt;M308,1,0)</f>
        <v/>
      </c>
    </row>
    <row r="309" ht="14.5" customHeight="1">
      <c r="A309" s="12" t="inlineStr">
        <is>
          <t>TATASTEEL</t>
        </is>
      </c>
      <c r="B309" s="13">
        <f>IFERROR(__xludf.DUMMYFUNCTION("GOOGLEFINANCE(""NSE:""&amp;A309,""PRICE"")"),149.7)</f>
        <v/>
      </c>
      <c r="C309" s="13">
        <f>IFERROR(__xludf.DUMMYFUNCTION("GOOGLEFINANCE(""NSE:""&amp;A309,""PRICEOPEN"")"),148.29)</f>
        <v/>
      </c>
      <c r="D309" s="13">
        <f>IFERROR(__xludf.DUMMYFUNCTION("GOOGLEFINANCE(""NSE:""&amp;A309,""HIGH"")"),150.67)</f>
        <v/>
      </c>
      <c r="E309" s="13">
        <f>IFERROR(__xludf.DUMMYFUNCTION("GOOGLEFINANCE(""NSE:""&amp;A309,""LOW"")"),146.63)</f>
        <v/>
      </c>
      <c r="F309" s="13">
        <f>IFERROR(__xludf.DUMMYFUNCTION("GOOGLEFINANCE(""NSE:""&amp;A309,""closeyest"")"),148.29)</f>
        <v/>
      </c>
      <c r="G309" s="14">
        <f>(B309-C309)/B309</f>
        <v/>
      </c>
      <c r="H309" s="13">
        <f>IFERROR(__xludf.DUMMYFUNCTION("GOOGLEFINANCE(""NSE:""&amp;A309,""VOLUME"")"),39059139)</f>
        <v/>
      </c>
      <c r="I309" s="13">
        <f>IFERROR(__xludf.DUMMYFUNCTION("AVERAGE(index(GOOGLEFINANCE(""NSE:""&amp;$A309, ""volume"", today()-21, today()-1), , 2))"),"#N/A")</f>
        <v/>
      </c>
      <c r="J309" s="14">
        <f>(H309-I309)/I309</f>
        <v/>
      </c>
      <c r="K309" s="13">
        <f>IFERROR(__xludf.DUMMYFUNCTION("AVERAGE(index(GOOGLEFINANCE(""NSE:""&amp;$A309, ""close"", today()-6, today()-1), , 2))"),"#N/A")</f>
        <v/>
      </c>
      <c r="L309" s="13">
        <f>IFERROR(__xludf.DUMMYFUNCTION("AVERAGE(index(GOOGLEFINANCE(""NSE:""&amp;$A309, ""close"", today()-14, today()-1), , 2))"),"#N/A")</f>
        <v/>
      </c>
      <c r="M309" s="13">
        <f>IFERROR(__xludf.DUMMYFUNCTION("AVERAGE(index(GOOGLEFINANCE(""NSE:""&amp;$A309, ""close"", today()-22, today()-1), , 2))"),"#N/A")</f>
        <v/>
      </c>
      <c r="N309" s="13">
        <f>AG309</f>
        <v/>
      </c>
      <c r="O309" s="13">
        <f>AI309</f>
        <v/>
      </c>
      <c r="P309" s="13">
        <f>W309</f>
        <v/>
      </c>
      <c r="Q309" s="13">
        <f>Y309</f>
        <v/>
      </c>
      <c r="R309" s="15" t="n"/>
      <c r="S309" s="15">
        <f>LEFT(W309,2)&amp;LEFT(Y309,2)</f>
        <v/>
      </c>
      <c r="T309" s="15" t="n"/>
      <c r="U309" s="15">
        <f>IF(K309&lt;L309,1,0)</f>
        <v/>
      </c>
      <c r="V309" s="15">
        <f>IF(H309&gt;I309,1,0)</f>
        <v/>
      </c>
      <c r="W309" s="15">
        <f>IF(SUM(U309:V309)=2,"Anticipatory_Sell","No_Action")</f>
        <v/>
      </c>
      <c r="X309" s="15" t="n"/>
      <c r="Y309" s="15">
        <f>IF(SUM(Z309:AA309)=2,"Confirm_Sell","No_Action")</f>
        <v/>
      </c>
      <c r="Z309" s="15">
        <f>IF(H309&gt;I309,1,0)</f>
        <v/>
      </c>
      <c r="AA309" s="15">
        <f>IF(K309&lt;M309,1,0)</f>
        <v/>
      </c>
      <c r="AB309" s="15" t="n"/>
      <c r="AC309" s="15">
        <f>LEFT(AG309,2)&amp;LEFT(AI309,2)</f>
        <v/>
      </c>
      <c r="AD309" s="15" t="n"/>
      <c r="AE309" s="15">
        <f>IF(K309&gt;L309,1,0)</f>
        <v/>
      </c>
      <c r="AF309" s="16">
        <f>IF(H309&gt;I309,1,0)</f>
        <v/>
      </c>
      <c r="AG309" s="16">
        <f>IF(SUM(AE309:AF309)=2,"Anticipatory_Buy","No_Action")</f>
        <v/>
      </c>
      <c r="AH309" s="15" t="n"/>
      <c r="AI309" s="15">
        <f>IF(SUM(AJ309:AK309)=2,"Confirm_Buy","No_Action")</f>
        <v/>
      </c>
      <c r="AJ309" s="15">
        <f>IF(H309&gt;I309,1,0)</f>
        <v/>
      </c>
      <c r="AK309" s="15">
        <f>IF(K309&gt;M309,1,0)</f>
        <v/>
      </c>
    </row>
    <row r="310" ht="14.5" customHeight="1">
      <c r="A310" s="12" t="inlineStr">
        <is>
          <t>TCIEXP</t>
        </is>
      </c>
      <c r="B310" s="13">
        <f>IFERROR(__xludf.DUMMYFUNCTION("GOOGLEFINANCE(""NSE:""&amp;A310,""PRICE"")"),889)</f>
        <v/>
      </c>
      <c r="C310" s="13">
        <f>IFERROR(__xludf.DUMMYFUNCTION("GOOGLEFINANCE(""NSE:""&amp;A310,""PRICEOPEN"")"),860)</f>
        <v/>
      </c>
      <c r="D310" s="13">
        <f>IFERROR(__xludf.DUMMYFUNCTION("GOOGLEFINANCE(""NSE:""&amp;A310,""HIGH"")"),895)</f>
        <v/>
      </c>
      <c r="E310" s="13">
        <f>IFERROR(__xludf.DUMMYFUNCTION("GOOGLEFINANCE(""NSE:""&amp;A310,""LOW"")"),860)</f>
        <v/>
      </c>
      <c r="F310" s="13">
        <f>IFERROR(__xludf.DUMMYFUNCTION("GOOGLEFINANCE(""NSE:""&amp;A310,""closeyest"")"),855.5)</f>
        <v/>
      </c>
      <c r="G310" s="14">
        <f>(B310-C310)/B310</f>
        <v/>
      </c>
      <c r="H310" s="13">
        <f>IFERROR(__xludf.DUMMYFUNCTION("GOOGLEFINANCE(""NSE:""&amp;A310,""VOLUME"")"),94863)</f>
        <v/>
      </c>
      <c r="I310" s="13">
        <f>IFERROR(__xludf.DUMMYFUNCTION("AVERAGE(index(GOOGLEFINANCE(""NSE:""&amp;$A310, ""volume"", today()-21, today()-1), , 2))"),"#N/A")</f>
        <v/>
      </c>
      <c r="J310" s="14">
        <f>(H310-I310)/I310</f>
        <v/>
      </c>
      <c r="K310" s="13">
        <f>IFERROR(__xludf.DUMMYFUNCTION("AVERAGE(index(GOOGLEFINANCE(""NSE:""&amp;$A310, ""close"", today()-6, today()-1), , 2))"),"#N/A")</f>
        <v/>
      </c>
      <c r="L310" s="13">
        <f>IFERROR(__xludf.DUMMYFUNCTION("AVERAGE(index(GOOGLEFINANCE(""NSE:""&amp;$A310, ""close"", today()-14, today()-1), , 2))"),"#N/A")</f>
        <v/>
      </c>
      <c r="M310" s="13">
        <f>IFERROR(__xludf.DUMMYFUNCTION("AVERAGE(index(GOOGLEFINANCE(""NSE:""&amp;$A310, ""close"", today()-22, today()-1), , 2))"),"#N/A")</f>
        <v/>
      </c>
      <c r="N310" s="13">
        <f>AG310</f>
        <v/>
      </c>
      <c r="O310" s="13">
        <f>AI310</f>
        <v/>
      </c>
      <c r="P310" s="13">
        <f>W310</f>
        <v/>
      </c>
      <c r="Q310" s="13">
        <f>Y310</f>
        <v/>
      </c>
      <c r="R310" s="15" t="n"/>
      <c r="S310" s="15">
        <f>LEFT(W310,2)&amp;LEFT(Y310,2)</f>
        <v/>
      </c>
      <c r="T310" s="15" t="n"/>
      <c r="U310" s="15">
        <f>IF(K310&lt;L310,1,0)</f>
        <v/>
      </c>
      <c r="V310" s="15">
        <f>IF(H310&gt;I310,1,0)</f>
        <v/>
      </c>
      <c r="W310" s="15">
        <f>IF(SUM(U310:V310)=2,"Anticipatory_Sell","No_Action")</f>
        <v/>
      </c>
      <c r="X310" s="15" t="n"/>
      <c r="Y310" s="15">
        <f>IF(SUM(Z310:AA310)=2,"Confirm_Sell","No_Action")</f>
        <v/>
      </c>
      <c r="Z310" s="15">
        <f>IF(H310&gt;I310,1,0)</f>
        <v/>
      </c>
      <c r="AA310" s="15">
        <f>IF(K310&lt;M310,1,0)</f>
        <v/>
      </c>
      <c r="AB310" s="15" t="n"/>
      <c r="AC310" s="15">
        <f>LEFT(AG310,2)&amp;LEFT(AI310,2)</f>
        <v/>
      </c>
      <c r="AD310" s="15" t="n"/>
      <c r="AE310" s="15">
        <f>IF(K310&gt;L310,1,0)</f>
        <v/>
      </c>
      <c r="AF310" s="16">
        <f>IF(H310&gt;I310,1,0)</f>
        <v/>
      </c>
      <c r="AG310" s="16">
        <f>IF(SUM(AE310:AF310)=2,"Anticipatory_Buy","No_Action")</f>
        <v/>
      </c>
      <c r="AH310" s="15" t="n"/>
      <c r="AI310" s="15">
        <f>IF(SUM(AJ310:AK310)=2,"Confirm_Buy","No_Action")</f>
        <v/>
      </c>
      <c r="AJ310" s="15">
        <f>IF(H310&gt;I310,1,0)</f>
        <v/>
      </c>
      <c r="AK310" s="15">
        <f>IF(K310&gt;M310,1,0)</f>
        <v/>
      </c>
    </row>
    <row r="311" ht="14.5" customHeight="1">
      <c r="A311" s="12" t="inlineStr">
        <is>
          <t>TCPLPACK</t>
        </is>
      </c>
      <c r="B311" s="13">
        <f>IFERROR(__xludf.DUMMYFUNCTION("GOOGLEFINANCE(""NSE:""&amp;A311,""PRICE"")"),3315)</f>
        <v/>
      </c>
      <c r="C311" s="13">
        <f>IFERROR(__xludf.DUMMYFUNCTION("GOOGLEFINANCE(""NSE:""&amp;A311,""PRICEOPEN"")"),3255.65)</f>
        <v/>
      </c>
      <c r="D311" s="13">
        <f>IFERROR(__xludf.DUMMYFUNCTION("GOOGLEFINANCE(""NSE:""&amp;A311,""HIGH"")"),3321)</f>
        <v/>
      </c>
      <c r="E311" s="13">
        <f>IFERROR(__xludf.DUMMYFUNCTION("GOOGLEFINANCE(""NSE:""&amp;A311,""LOW"")"),3255.6)</f>
        <v/>
      </c>
      <c r="F311" s="13">
        <f>IFERROR(__xludf.DUMMYFUNCTION("GOOGLEFINANCE(""NSE:""&amp;A311,""closeyest"")"),3247.55)</f>
        <v/>
      </c>
      <c r="G311" s="14">
        <f>(B311-C311)/B311</f>
        <v/>
      </c>
      <c r="H311" s="13">
        <f>IFERROR(__xludf.DUMMYFUNCTION("GOOGLEFINANCE(""NSE:""&amp;A311,""VOLUME"")"),1931)</f>
        <v/>
      </c>
      <c r="I311" s="13">
        <f>IFERROR(__xludf.DUMMYFUNCTION("AVERAGE(index(GOOGLEFINANCE(""NSE:""&amp;$A311, ""volume"", today()-21, today()-1), , 2))"),"#N/A")</f>
        <v/>
      </c>
      <c r="J311" s="14">
        <f>(H311-I311)/I311</f>
        <v/>
      </c>
      <c r="K311" s="13">
        <f>IFERROR(__xludf.DUMMYFUNCTION("AVERAGE(index(GOOGLEFINANCE(""NSE:""&amp;$A311, ""close"", today()-6, today()-1), , 2))"),"#N/A")</f>
        <v/>
      </c>
      <c r="L311" s="13">
        <f>IFERROR(__xludf.DUMMYFUNCTION("AVERAGE(index(GOOGLEFINANCE(""NSE:""&amp;$A311, ""close"", today()-14, today()-1), , 2))"),"#N/A")</f>
        <v/>
      </c>
      <c r="M311" s="13">
        <f>IFERROR(__xludf.DUMMYFUNCTION("AVERAGE(index(GOOGLEFINANCE(""NSE:""&amp;$A311, ""close"", today()-22, today()-1), , 2))"),"#N/A")</f>
        <v/>
      </c>
      <c r="N311" s="13">
        <f>AG311</f>
        <v/>
      </c>
      <c r="O311" s="13">
        <f>AI311</f>
        <v/>
      </c>
      <c r="P311" s="13">
        <f>W311</f>
        <v/>
      </c>
      <c r="Q311" s="13">
        <f>Y311</f>
        <v/>
      </c>
      <c r="R311" s="15" t="n"/>
      <c r="S311" s="15">
        <f>LEFT(W311,2)&amp;LEFT(Y311,2)</f>
        <v/>
      </c>
      <c r="T311" s="15" t="n"/>
      <c r="U311" s="15">
        <f>IF(K311&lt;L311,1,0)</f>
        <v/>
      </c>
      <c r="V311" s="15">
        <f>IF(H311&gt;I311,1,0)</f>
        <v/>
      </c>
      <c r="W311" s="15">
        <f>IF(SUM(U311:V311)=2,"Anticipatory_Sell","No_Action")</f>
        <v/>
      </c>
      <c r="X311" s="15" t="n"/>
      <c r="Y311" s="15">
        <f>IF(SUM(Z311:AA311)=2,"Confirm_Sell","No_Action")</f>
        <v/>
      </c>
      <c r="Z311" s="15">
        <f>IF(H311&gt;I311,1,0)</f>
        <v/>
      </c>
      <c r="AA311" s="15">
        <f>IF(K311&lt;M311,1,0)</f>
        <v/>
      </c>
      <c r="AB311" s="15" t="n"/>
      <c r="AC311" s="15">
        <f>LEFT(AG311,2)&amp;LEFT(AI311,2)</f>
        <v/>
      </c>
      <c r="AD311" s="15" t="n"/>
      <c r="AE311" s="15">
        <f>IF(K311&gt;L311,1,0)</f>
        <v/>
      </c>
      <c r="AF311" s="16">
        <f>IF(H311&gt;I311,1,0)</f>
        <v/>
      </c>
      <c r="AG311" s="16">
        <f>IF(SUM(AE311:AF311)=2,"Anticipatory_Buy","No_Action")</f>
        <v/>
      </c>
      <c r="AH311" s="15" t="n"/>
      <c r="AI311" s="15">
        <f>IF(SUM(AJ311:AK311)=2,"Confirm_Buy","No_Action")</f>
        <v/>
      </c>
      <c r="AJ311" s="15">
        <f>IF(H311&gt;I311,1,0)</f>
        <v/>
      </c>
      <c r="AK311" s="15">
        <f>IF(K311&gt;M311,1,0)</f>
        <v/>
      </c>
    </row>
    <row r="312" ht="14.5" customHeight="1">
      <c r="A312" s="12" t="inlineStr">
        <is>
          <t>TDPOWERSYS</t>
        </is>
      </c>
      <c r="B312" s="13">
        <f>IFERROR(__xludf.DUMMYFUNCTION("GOOGLEFINANCE(""NSE:""&amp;A312,""PRICE"")"),453)</f>
        <v/>
      </c>
      <c r="C312" s="13">
        <f>IFERROR(__xludf.DUMMYFUNCTION("GOOGLEFINANCE(""NSE:""&amp;A312,""PRICEOPEN"")"),440)</f>
        <v/>
      </c>
      <c r="D312" s="13">
        <f>IFERROR(__xludf.DUMMYFUNCTION("GOOGLEFINANCE(""NSE:""&amp;A312,""HIGH"")"),454.45)</f>
        <v/>
      </c>
      <c r="E312" s="13">
        <f>IFERROR(__xludf.DUMMYFUNCTION("GOOGLEFINANCE(""NSE:""&amp;A312,""LOW"")"),438.5)</f>
        <v/>
      </c>
      <c r="F312" s="13">
        <f>IFERROR(__xludf.DUMMYFUNCTION("GOOGLEFINANCE(""NSE:""&amp;A312,""closeyest"")"),435.6)</f>
        <v/>
      </c>
      <c r="G312" s="14">
        <f>(B312-C312)/B312</f>
        <v/>
      </c>
      <c r="H312" s="13">
        <f>IFERROR(__xludf.DUMMYFUNCTION("GOOGLEFINANCE(""NSE:""&amp;A312,""VOLUME"")"),1038928)</f>
        <v/>
      </c>
      <c r="I312" s="13">
        <f>IFERROR(__xludf.DUMMYFUNCTION("AVERAGE(index(GOOGLEFINANCE(""NSE:""&amp;$A312, ""volume"", today()-21, today()-1), , 2))"),"#N/A")</f>
        <v/>
      </c>
      <c r="J312" s="14">
        <f>(H312-I312)/I312</f>
        <v/>
      </c>
      <c r="K312" s="13">
        <f>IFERROR(__xludf.DUMMYFUNCTION("AVERAGE(index(GOOGLEFINANCE(""NSE:""&amp;$A312, ""close"", today()-6, today()-1), , 2))"),"#N/A")</f>
        <v/>
      </c>
      <c r="L312" s="13">
        <f>IFERROR(__xludf.DUMMYFUNCTION("AVERAGE(index(GOOGLEFINANCE(""NSE:""&amp;$A312, ""close"", today()-14, today()-1), , 2))"),"#N/A")</f>
        <v/>
      </c>
      <c r="M312" s="13">
        <f>IFERROR(__xludf.DUMMYFUNCTION("AVERAGE(index(GOOGLEFINANCE(""NSE:""&amp;$A312, ""close"", today()-22, today()-1), , 2))"),"#N/A")</f>
        <v/>
      </c>
      <c r="N312" s="13">
        <f>AG312</f>
        <v/>
      </c>
      <c r="O312" s="13">
        <f>AI312</f>
        <v/>
      </c>
      <c r="P312" s="13">
        <f>W312</f>
        <v/>
      </c>
      <c r="Q312" s="13">
        <f>Y312</f>
        <v/>
      </c>
      <c r="R312" s="15" t="n"/>
      <c r="S312" s="15">
        <f>LEFT(W312,2)&amp;LEFT(Y312,2)</f>
        <v/>
      </c>
      <c r="T312" s="15" t="n"/>
      <c r="U312" s="15">
        <f>IF(K312&lt;L312,1,0)</f>
        <v/>
      </c>
      <c r="V312" s="15">
        <f>IF(H312&gt;I312,1,0)</f>
        <v/>
      </c>
      <c r="W312" s="15">
        <f>IF(SUM(U312:V312)=2,"Anticipatory_Sell","No_Action")</f>
        <v/>
      </c>
      <c r="X312" s="15" t="n"/>
      <c r="Y312" s="15">
        <f>IF(SUM(Z312:AA312)=2,"Confirm_Sell","No_Action")</f>
        <v/>
      </c>
      <c r="Z312" s="15">
        <f>IF(H312&gt;I312,1,0)</f>
        <v/>
      </c>
      <c r="AA312" s="15">
        <f>IF(K312&lt;M312,1,0)</f>
        <v/>
      </c>
      <c r="AB312" s="15" t="n"/>
      <c r="AC312" s="15">
        <f>LEFT(AG312,2)&amp;LEFT(AI312,2)</f>
        <v/>
      </c>
      <c r="AD312" s="15" t="n"/>
      <c r="AE312" s="15">
        <f>IF(K312&gt;L312,1,0)</f>
        <v/>
      </c>
      <c r="AF312" s="16">
        <f>IF(H312&gt;I312,1,0)</f>
        <v/>
      </c>
      <c r="AG312" s="16">
        <f>IF(SUM(AE312:AF312)=2,"Anticipatory_Buy","No_Action")</f>
        <v/>
      </c>
      <c r="AH312" s="15" t="n"/>
      <c r="AI312" s="15">
        <f>IF(SUM(AJ312:AK312)=2,"Confirm_Buy","No_Action")</f>
        <v/>
      </c>
      <c r="AJ312" s="15">
        <f>IF(H312&gt;I312,1,0)</f>
        <v/>
      </c>
      <c r="AK312" s="15">
        <f>IF(K312&gt;M312,1,0)</f>
        <v/>
      </c>
    </row>
    <row r="313" ht="14.5" customHeight="1">
      <c r="A313" s="12" t="inlineStr">
        <is>
          <t>TECHNOE</t>
        </is>
      </c>
      <c r="B313" s="13">
        <f>IFERROR(__xludf.DUMMYFUNCTION("GOOGLEFINANCE(""NSE:""&amp;A313,""PRICE"")"),1460.75)</f>
        <v/>
      </c>
      <c r="C313" s="13">
        <f>IFERROR(__xludf.DUMMYFUNCTION("GOOGLEFINANCE(""NSE:""&amp;A313,""PRICEOPEN"")"),1481)</f>
        <v/>
      </c>
      <c r="D313" s="13">
        <f>IFERROR(__xludf.DUMMYFUNCTION("GOOGLEFINANCE(""NSE:""&amp;A313,""HIGH"")"),1504)</f>
        <v/>
      </c>
      <c r="E313" s="13">
        <f>IFERROR(__xludf.DUMMYFUNCTION("GOOGLEFINANCE(""NSE:""&amp;A313,""LOW"")"),1440)</f>
        <v/>
      </c>
      <c r="F313" s="13">
        <f>IFERROR(__xludf.DUMMYFUNCTION("GOOGLEFINANCE(""NSE:""&amp;A313,""closeyest"")"),1504.25)</f>
        <v/>
      </c>
      <c r="G313" s="14">
        <f>(B313-C313)/B313</f>
        <v/>
      </c>
      <c r="H313" s="13">
        <f>IFERROR(__xludf.DUMMYFUNCTION("GOOGLEFINANCE(""NSE:""&amp;A313,""VOLUME"")"),721966)</f>
        <v/>
      </c>
      <c r="I313" s="13">
        <f>IFERROR(__xludf.DUMMYFUNCTION("AVERAGE(index(GOOGLEFINANCE(""NSE:""&amp;$A313, ""volume"", today()-21, today()-1), , 2))"),"#N/A")</f>
        <v/>
      </c>
      <c r="J313" s="14">
        <f>(H313-I313)/I313</f>
        <v/>
      </c>
      <c r="K313" s="13">
        <f>IFERROR(__xludf.DUMMYFUNCTION("AVERAGE(index(GOOGLEFINANCE(""NSE:""&amp;$A313, ""close"", today()-6, today()-1), , 2))"),"#N/A")</f>
        <v/>
      </c>
      <c r="L313" s="13">
        <f>IFERROR(__xludf.DUMMYFUNCTION("AVERAGE(index(GOOGLEFINANCE(""NSE:""&amp;$A313, ""close"", today()-14, today()-1), , 2))"),"#N/A")</f>
        <v/>
      </c>
      <c r="M313" s="13">
        <f>IFERROR(__xludf.DUMMYFUNCTION("AVERAGE(index(GOOGLEFINANCE(""NSE:""&amp;$A313, ""close"", today()-22, today()-1), , 2))"),"#N/A")</f>
        <v/>
      </c>
      <c r="N313" s="13">
        <f>AG313</f>
        <v/>
      </c>
      <c r="O313" s="13">
        <f>AI313</f>
        <v/>
      </c>
      <c r="P313" s="13">
        <f>W313</f>
        <v/>
      </c>
      <c r="Q313" s="13">
        <f>Y313</f>
        <v/>
      </c>
      <c r="R313" s="15" t="n"/>
      <c r="S313" s="15">
        <f>LEFT(W313,2)&amp;LEFT(Y313,2)</f>
        <v/>
      </c>
      <c r="T313" s="15" t="n"/>
      <c r="U313" s="15">
        <f>IF(K313&lt;L313,1,0)</f>
        <v/>
      </c>
      <c r="V313" s="15">
        <f>IF(H313&gt;I313,1,0)</f>
        <v/>
      </c>
      <c r="W313" s="15">
        <f>IF(SUM(U313:V313)=2,"Anticipatory_Sell","No_Action")</f>
        <v/>
      </c>
      <c r="X313" s="15" t="n"/>
      <c r="Y313" s="15">
        <f>IF(SUM(Z313:AA313)=2,"Confirm_Sell","No_Action")</f>
        <v/>
      </c>
      <c r="Z313" s="15">
        <f>IF(H313&gt;I313,1,0)</f>
        <v/>
      </c>
      <c r="AA313" s="15">
        <f>IF(K313&lt;M313,1,0)</f>
        <v/>
      </c>
      <c r="AB313" s="15" t="n"/>
      <c r="AC313" s="15">
        <f>LEFT(AG313,2)&amp;LEFT(AI313,2)</f>
        <v/>
      </c>
      <c r="AD313" s="15" t="n"/>
      <c r="AE313" s="15">
        <f>IF(K313&gt;L313,1,0)</f>
        <v/>
      </c>
      <c r="AF313" s="16">
        <f>IF(H313&gt;I313,1,0)</f>
        <v/>
      </c>
      <c r="AG313" s="16">
        <f>IF(SUM(AE313:AF313)=2,"Anticipatory_Buy","No_Action")</f>
        <v/>
      </c>
      <c r="AH313" s="15" t="n"/>
      <c r="AI313" s="15">
        <f>IF(SUM(AJ313:AK313)=2,"Confirm_Buy","No_Action")</f>
        <v/>
      </c>
      <c r="AJ313" s="15">
        <f>IF(H313&gt;I313,1,0)</f>
        <v/>
      </c>
      <c r="AK313" s="15">
        <f>IF(K313&gt;M313,1,0)</f>
        <v/>
      </c>
    </row>
    <row r="314" ht="14.5" customHeight="1">
      <c r="A314" s="12" t="inlineStr">
        <is>
          <t>TIIL</t>
        </is>
      </c>
      <c r="B314" s="13">
        <f>IFERROR(__xludf.DUMMYFUNCTION("GOOGLEFINANCE(""NSE:""&amp;A314,""PRICE"")"),2949.5)</f>
        <v/>
      </c>
      <c r="C314" s="13">
        <f>IFERROR(__xludf.DUMMYFUNCTION("GOOGLEFINANCE(""NSE:""&amp;A314,""PRICEOPEN"")"),2886.4)</f>
        <v/>
      </c>
      <c r="D314" s="13">
        <f>IFERROR(__xludf.DUMMYFUNCTION("GOOGLEFINANCE(""NSE:""&amp;A314,""HIGH"")"),2988)</f>
        <v/>
      </c>
      <c r="E314" s="13">
        <f>IFERROR(__xludf.DUMMYFUNCTION("GOOGLEFINANCE(""NSE:""&amp;A314,""LOW"")"),2870.1)</f>
        <v/>
      </c>
      <c r="F314" s="13">
        <f>IFERROR(__xludf.DUMMYFUNCTION("GOOGLEFINANCE(""NSE:""&amp;A314,""closeyest"")"),2866.3)</f>
        <v/>
      </c>
      <c r="G314" s="14">
        <f>(B314-C314)/B314</f>
        <v/>
      </c>
      <c r="H314" s="13">
        <f>IFERROR(__xludf.DUMMYFUNCTION("GOOGLEFINANCE(""NSE:""&amp;A314,""VOLUME"")"),17352)</f>
        <v/>
      </c>
      <c r="I314" s="13">
        <f>IFERROR(__xludf.DUMMYFUNCTION("AVERAGE(index(GOOGLEFINANCE(""NSE:""&amp;$A314, ""volume"", today()-21, today()-1), , 2))"),"#N/A")</f>
        <v/>
      </c>
      <c r="J314" s="14">
        <f>(H314-I314)/I314</f>
        <v/>
      </c>
      <c r="K314" s="13">
        <f>IFERROR(__xludf.DUMMYFUNCTION("AVERAGE(index(GOOGLEFINANCE(""NSE:""&amp;$A314, ""close"", today()-6, today()-1), , 2))"),"#N/A")</f>
        <v/>
      </c>
      <c r="L314" s="13">
        <f>IFERROR(__xludf.DUMMYFUNCTION("AVERAGE(index(GOOGLEFINANCE(""NSE:""&amp;$A314, ""close"", today()-14, today()-1), , 2))"),"#N/A")</f>
        <v/>
      </c>
      <c r="M314" s="13">
        <f>IFERROR(__xludf.DUMMYFUNCTION("AVERAGE(index(GOOGLEFINANCE(""NSE:""&amp;$A314, ""close"", today()-22, today()-1), , 2))"),"#N/A")</f>
        <v/>
      </c>
      <c r="N314" s="13">
        <f>AG314</f>
        <v/>
      </c>
      <c r="O314" s="13">
        <f>AI314</f>
        <v/>
      </c>
      <c r="P314" s="13">
        <f>W314</f>
        <v/>
      </c>
      <c r="Q314" s="13">
        <f>Y314</f>
        <v/>
      </c>
      <c r="R314" s="15" t="n"/>
      <c r="S314" s="15">
        <f>LEFT(W314,2)&amp;LEFT(Y314,2)</f>
        <v/>
      </c>
      <c r="T314" s="15" t="n"/>
      <c r="U314" s="15">
        <f>IF(K314&lt;L314,1,0)</f>
        <v/>
      </c>
      <c r="V314" s="15">
        <f>IF(H314&gt;I314,1,0)</f>
        <v/>
      </c>
      <c r="W314" s="15">
        <f>IF(SUM(U314:V314)=2,"Anticipatory_Sell","No_Action")</f>
        <v/>
      </c>
      <c r="X314" s="15" t="n"/>
      <c r="Y314" s="15">
        <f>IF(SUM(Z314:AA314)=2,"Confirm_Sell","No_Action")</f>
        <v/>
      </c>
      <c r="Z314" s="15">
        <f>IF(H314&gt;I314,1,0)</f>
        <v/>
      </c>
      <c r="AA314" s="15">
        <f>IF(K314&lt;M314,1,0)</f>
        <v/>
      </c>
      <c r="AB314" s="15" t="n"/>
      <c r="AC314" s="15">
        <f>LEFT(AG314,2)&amp;LEFT(AI314,2)</f>
        <v/>
      </c>
      <c r="AD314" s="15" t="n"/>
      <c r="AE314" s="15">
        <f>IF(K314&gt;L314,1,0)</f>
        <v/>
      </c>
      <c r="AF314" s="16">
        <f>IF(H314&gt;I314,1,0)</f>
        <v/>
      </c>
      <c r="AG314" s="16">
        <f>IF(SUM(AE314:AF314)=2,"Anticipatory_Buy","No_Action")</f>
        <v/>
      </c>
      <c r="AH314" s="15" t="n"/>
      <c r="AI314" s="15">
        <f>IF(SUM(AJ314:AK314)=2,"Confirm_Buy","No_Action")</f>
        <v/>
      </c>
      <c r="AJ314" s="15">
        <f>IF(H314&gt;I314,1,0)</f>
        <v/>
      </c>
      <c r="AK314" s="15">
        <f>IF(K314&gt;M314,1,0)</f>
        <v/>
      </c>
    </row>
    <row r="315" ht="14.5" customHeight="1">
      <c r="A315" s="12" t="inlineStr">
        <is>
          <t>TEGA</t>
        </is>
      </c>
      <c r="B315" s="13">
        <f>IFERROR(__xludf.DUMMYFUNCTION("GOOGLEFINANCE(""NSE:""&amp;A315,""PRICE"")"),1618.9)</f>
        <v/>
      </c>
      <c r="C315" s="13">
        <f>IFERROR(__xludf.DUMMYFUNCTION("GOOGLEFINANCE(""NSE:""&amp;A315,""PRICEOPEN"")"),1600)</f>
        <v/>
      </c>
      <c r="D315" s="13">
        <f>IFERROR(__xludf.DUMMYFUNCTION("GOOGLEFINANCE(""NSE:""&amp;A315,""HIGH"")"),1622.9)</f>
        <v/>
      </c>
      <c r="E315" s="13">
        <f>IFERROR(__xludf.DUMMYFUNCTION("GOOGLEFINANCE(""NSE:""&amp;A315,""LOW"")"),1583.05)</f>
        <v/>
      </c>
      <c r="F315" s="13">
        <f>IFERROR(__xludf.DUMMYFUNCTION("GOOGLEFINANCE(""NSE:""&amp;A315,""closeyest"")"),1605.45)</f>
        <v/>
      </c>
      <c r="G315" s="14">
        <f>(B315-C315)/B315</f>
        <v/>
      </c>
      <c r="H315" s="13">
        <f>IFERROR(__xludf.DUMMYFUNCTION("GOOGLEFINANCE(""NSE:""&amp;A315,""VOLUME"")"),67302)</f>
        <v/>
      </c>
      <c r="I315" s="13">
        <f>IFERROR(__xludf.DUMMYFUNCTION("AVERAGE(index(GOOGLEFINANCE(""NSE:""&amp;$A315, ""volume"", today()-21, today()-1), , 2))"),"#N/A")</f>
        <v/>
      </c>
      <c r="J315" s="14">
        <f>(H315-I315)/I315</f>
        <v/>
      </c>
      <c r="K315" s="13">
        <f>IFERROR(__xludf.DUMMYFUNCTION("AVERAGE(index(GOOGLEFINANCE(""NSE:""&amp;$A315, ""close"", today()-6, today()-1), , 2))"),"#N/A")</f>
        <v/>
      </c>
      <c r="L315" s="13">
        <f>IFERROR(__xludf.DUMMYFUNCTION("AVERAGE(index(GOOGLEFINANCE(""NSE:""&amp;$A315, ""close"", today()-14, today()-1), , 2))"),"#N/A")</f>
        <v/>
      </c>
      <c r="M315" s="13">
        <f>IFERROR(__xludf.DUMMYFUNCTION("AVERAGE(index(GOOGLEFINANCE(""NSE:""&amp;$A315, ""close"", today()-22, today()-1), , 2))"),"#N/A")</f>
        <v/>
      </c>
      <c r="N315" s="13">
        <f>AG315</f>
        <v/>
      </c>
      <c r="O315" s="13">
        <f>AI315</f>
        <v/>
      </c>
      <c r="P315" s="13">
        <f>W315</f>
        <v/>
      </c>
      <c r="Q315" s="13">
        <f>Y315</f>
        <v/>
      </c>
      <c r="R315" s="15" t="n"/>
      <c r="S315" s="15">
        <f>LEFT(W315,2)&amp;LEFT(Y315,2)</f>
        <v/>
      </c>
      <c r="T315" s="15" t="n"/>
      <c r="U315" s="15">
        <f>IF(K315&lt;L315,1,0)</f>
        <v/>
      </c>
      <c r="V315" s="15">
        <f>IF(H315&gt;I315,1,0)</f>
        <v/>
      </c>
      <c r="W315" s="15">
        <f>IF(SUM(U315:V315)=2,"Anticipatory_Sell","No_Action")</f>
        <v/>
      </c>
      <c r="X315" s="15" t="n"/>
      <c r="Y315" s="15">
        <f>IF(SUM(Z315:AA315)=2,"Confirm_Sell","No_Action")</f>
        <v/>
      </c>
      <c r="Z315" s="15">
        <f>IF(H315&gt;I315,1,0)</f>
        <v/>
      </c>
      <c r="AA315" s="15">
        <f>IF(K315&lt;M315,1,0)</f>
        <v/>
      </c>
      <c r="AB315" s="15" t="n"/>
      <c r="AC315" s="15">
        <f>LEFT(AG315,2)&amp;LEFT(AI315,2)</f>
        <v/>
      </c>
      <c r="AD315" s="15" t="n"/>
      <c r="AE315" s="15">
        <f>IF(K315&gt;L315,1,0)</f>
        <v/>
      </c>
      <c r="AF315" s="16">
        <f>IF(H315&gt;I315,1,0)</f>
        <v/>
      </c>
      <c r="AG315" s="16">
        <f>IF(SUM(AE315:AF315)=2,"Anticipatory_Buy","No_Action")</f>
        <v/>
      </c>
      <c r="AH315" s="15" t="n"/>
      <c r="AI315" s="15">
        <f>IF(SUM(AJ315:AK315)=2,"Confirm_Buy","No_Action")</f>
        <v/>
      </c>
      <c r="AJ315" s="15">
        <f>IF(H315&gt;I315,1,0)</f>
        <v/>
      </c>
      <c r="AK315" s="15">
        <f>IF(K315&gt;M315,1,0)</f>
        <v/>
      </c>
    </row>
    <row r="316" ht="14.5" customHeight="1">
      <c r="A316" s="12" t="inlineStr">
        <is>
          <t>THEMISMED</t>
        </is>
      </c>
      <c r="B316" s="13">
        <f>IFERROR(__xludf.DUMMYFUNCTION("GOOGLEFINANCE(""NSE:""&amp;A316,""PRICE"")"),293.9)</f>
        <v/>
      </c>
      <c r="C316" s="13">
        <f>IFERROR(__xludf.DUMMYFUNCTION("GOOGLEFINANCE(""NSE:""&amp;A316,""PRICEOPEN"")"),294.5)</f>
        <v/>
      </c>
      <c r="D316" s="13">
        <f>IFERROR(__xludf.DUMMYFUNCTION("GOOGLEFINANCE(""NSE:""&amp;A316,""HIGH"")"),295.05)</f>
        <v/>
      </c>
      <c r="E316" s="13">
        <f>IFERROR(__xludf.DUMMYFUNCTION("GOOGLEFINANCE(""NSE:""&amp;A316,""LOW"")"),289.65)</f>
        <v/>
      </c>
      <c r="F316" s="13">
        <f>IFERROR(__xludf.DUMMYFUNCTION("GOOGLEFINANCE(""NSE:""&amp;A316,""closeyest"")"),293.05)</f>
        <v/>
      </c>
      <c r="G316" s="14">
        <f>(B316-C316)/B316</f>
        <v/>
      </c>
      <c r="H316" s="13">
        <f>IFERROR(__xludf.DUMMYFUNCTION("GOOGLEFINANCE(""NSE:""&amp;A316,""VOLUME"")"),95173)</f>
        <v/>
      </c>
      <c r="I316" s="13">
        <f>IFERROR(__xludf.DUMMYFUNCTION("AVERAGE(index(GOOGLEFINANCE(""NSE:""&amp;$A316, ""volume"", today()-21, today()-1), , 2))"),"#N/A")</f>
        <v/>
      </c>
      <c r="J316" s="14">
        <f>(H316-I316)/I316</f>
        <v/>
      </c>
      <c r="K316" s="13">
        <f>IFERROR(__xludf.DUMMYFUNCTION("AVERAGE(index(GOOGLEFINANCE(""NSE:""&amp;$A316, ""close"", today()-6, today()-1), , 2))"),"#N/A")</f>
        <v/>
      </c>
      <c r="L316" s="13">
        <f>IFERROR(__xludf.DUMMYFUNCTION("AVERAGE(index(GOOGLEFINANCE(""NSE:""&amp;$A316, ""close"", today()-14, today()-1), , 2))"),"#N/A")</f>
        <v/>
      </c>
      <c r="M316" s="13">
        <f>IFERROR(__xludf.DUMMYFUNCTION("AVERAGE(index(GOOGLEFINANCE(""NSE:""&amp;$A316, ""close"", today()-22, today()-1), , 2))"),"#N/A")</f>
        <v/>
      </c>
      <c r="N316" s="13">
        <f>AG316</f>
        <v/>
      </c>
      <c r="O316" s="13">
        <f>AI316</f>
        <v/>
      </c>
      <c r="P316" s="13">
        <f>W316</f>
        <v/>
      </c>
      <c r="Q316" s="13">
        <f>Y316</f>
        <v/>
      </c>
      <c r="R316" s="15" t="n"/>
      <c r="S316" s="15">
        <f>LEFT(W316,2)&amp;LEFT(Y316,2)</f>
        <v/>
      </c>
      <c r="T316" s="15" t="n"/>
      <c r="U316" s="15">
        <f>IF(K316&lt;L316,1,0)</f>
        <v/>
      </c>
      <c r="V316" s="15">
        <f>IF(H316&gt;I316,1,0)</f>
        <v/>
      </c>
      <c r="W316" s="15">
        <f>IF(SUM(U316:V316)=2,"Anticipatory_Sell","No_Action")</f>
        <v/>
      </c>
      <c r="X316" s="15" t="n"/>
      <c r="Y316" s="15">
        <f>IF(SUM(Z316:AA316)=2,"Confirm_Sell","No_Action")</f>
        <v/>
      </c>
      <c r="Z316" s="15">
        <f>IF(H316&gt;I316,1,0)</f>
        <v/>
      </c>
      <c r="AA316" s="15">
        <f>IF(K316&lt;M316,1,0)</f>
        <v/>
      </c>
      <c r="AB316" s="15" t="n"/>
      <c r="AC316" s="15">
        <f>LEFT(AG316,2)&amp;LEFT(AI316,2)</f>
        <v/>
      </c>
      <c r="AD316" s="15" t="n"/>
      <c r="AE316" s="15">
        <f>IF(K316&gt;L316,1,0)</f>
        <v/>
      </c>
      <c r="AF316" s="16">
        <f>IF(H316&gt;I316,1,0)</f>
        <v/>
      </c>
      <c r="AG316" s="16">
        <f>IF(SUM(AE316:AF316)=2,"Anticipatory_Buy","No_Action")</f>
        <v/>
      </c>
      <c r="AH316" s="15" t="n"/>
      <c r="AI316" s="15">
        <f>IF(SUM(AJ316:AK316)=2,"Confirm_Buy","No_Action")</f>
        <v/>
      </c>
      <c r="AJ316" s="15">
        <f>IF(H316&gt;I316,1,0)</f>
        <v/>
      </c>
      <c r="AK316" s="15">
        <f>IF(K316&gt;M316,1,0)</f>
        <v/>
      </c>
    </row>
    <row r="317" ht="14.5" customHeight="1">
      <c r="A317" s="12" t="inlineStr">
        <is>
          <t>THYROCARE</t>
        </is>
      </c>
      <c r="B317" s="13">
        <f>IFERROR(__xludf.DUMMYFUNCTION("GOOGLEFINANCE(""NSE:""&amp;A317,""PRICE"")"),1010)</f>
        <v/>
      </c>
      <c r="C317" s="13">
        <f>IFERROR(__xludf.DUMMYFUNCTION("GOOGLEFINANCE(""NSE:""&amp;A317,""PRICEOPEN"")"),1015.85)</f>
        <v/>
      </c>
      <c r="D317" s="13">
        <f>IFERROR(__xludf.DUMMYFUNCTION("GOOGLEFINANCE(""NSE:""&amp;A317,""HIGH"")"),1020)</f>
        <v/>
      </c>
      <c r="E317" s="13">
        <f>IFERROR(__xludf.DUMMYFUNCTION("GOOGLEFINANCE(""NSE:""&amp;A317,""LOW"")"),994.35)</f>
        <v/>
      </c>
      <c r="F317" s="13">
        <f>IFERROR(__xludf.DUMMYFUNCTION("GOOGLEFINANCE(""NSE:""&amp;A317,""closeyest"")"),1015.9)</f>
        <v/>
      </c>
      <c r="G317" s="14">
        <f>(B317-C317)/B317</f>
        <v/>
      </c>
      <c r="H317" s="13">
        <f>IFERROR(__xludf.DUMMYFUNCTION("GOOGLEFINANCE(""NSE:""&amp;A317,""VOLUME"")"),25381)</f>
        <v/>
      </c>
      <c r="I317" s="13">
        <f>IFERROR(__xludf.DUMMYFUNCTION("AVERAGE(index(GOOGLEFINANCE(""NSE:""&amp;$A317, ""volume"", today()-21, today()-1), , 2))"),"#N/A")</f>
        <v/>
      </c>
      <c r="J317" s="14">
        <f>(H317-I317)/I317</f>
        <v/>
      </c>
      <c r="K317" s="13">
        <f>IFERROR(__xludf.DUMMYFUNCTION("AVERAGE(index(GOOGLEFINANCE(""NSE:""&amp;$A317, ""close"", today()-6, today()-1), , 2))"),"#N/A")</f>
        <v/>
      </c>
      <c r="L317" s="13">
        <f>IFERROR(__xludf.DUMMYFUNCTION("AVERAGE(index(GOOGLEFINANCE(""NSE:""&amp;$A317, ""close"", today()-14, today()-1), , 2))"),"#N/A")</f>
        <v/>
      </c>
      <c r="M317" s="13">
        <f>IFERROR(__xludf.DUMMYFUNCTION("AVERAGE(index(GOOGLEFINANCE(""NSE:""&amp;$A317, ""close"", today()-22, today()-1), , 2))"),"#N/A")</f>
        <v/>
      </c>
      <c r="N317" s="13">
        <f>AG317</f>
        <v/>
      </c>
      <c r="O317" s="13">
        <f>AI317</f>
        <v/>
      </c>
      <c r="P317" s="13">
        <f>W317</f>
        <v/>
      </c>
      <c r="Q317" s="13">
        <f>Y317</f>
        <v/>
      </c>
      <c r="R317" s="15" t="n"/>
      <c r="S317" s="15">
        <f>LEFT(W317,2)&amp;LEFT(Y317,2)</f>
        <v/>
      </c>
      <c r="T317" s="15" t="n"/>
      <c r="U317" s="15">
        <f>IF(K317&lt;L317,1,0)</f>
        <v/>
      </c>
      <c r="V317" s="15">
        <f>IF(H317&gt;I317,1,0)</f>
        <v/>
      </c>
      <c r="W317" s="15">
        <f>IF(SUM(U317:V317)=2,"Anticipatory_Sell","No_Action")</f>
        <v/>
      </c>
      <c r="X317" s="15" t="n"/>
      <c r="Y317" s="15">
        <f>IF(SUM(Z317:AA317)=2,"Confirm_Sell","No_Action")</f>
        <v/>
      </c>
      <c r="Z317" s="15">
        <f>IF(H317&gt;I317,1,0)</f>
        <v/>
      </c>
      <c r="AA317" s="15">
        <f>IF(K317&lt;M317,1,0)</f>
        <v/>
      </c>
      <c r="AB317" s="15" t="n"/>
      <c r="AC317" s="15">
        <f>LEFT(AG317,2)&amp;LEFT(AI317,2)</f>
        <v/>
      </c>
      <c r="AD317" s="15" t="n"/>
      <c r="AE317" s="15">
        <f>IF(K317&gt;L317,1,0)</f>
        <v/>
      </c>
      <c r="AF317" s="16">
        <f>IF(H317&gt;I317,1,0)</f>
        <v/>
      </c>
      <c r="AG317" s="16">
        <f>IF(SUM(AE317:AF317)=2,"Anticipatory_Buy","No_Action")</f>
        <v/>
      </c>
      <c r="AH317" s="15" t="n"/>
      <c r="AI317" s="15">
        <f>IF(SUM(AJ317:AK317)=2,"Confirm_Buy","No_Action")</f>
        <v/>
      </c>
      <c r="AJ317" s="15">
        <f>IF(H317&gt;I317,1,0)</f>
        <v/>
      </c>
      <c r="AK317" s="15">
        <f>IF(K317&gt;M317,1,0)</f>
        <v/>
      </c>
    </row>
    <row r="318" ht="14.5" customHeight="1">
      <c r="A318" s="12" t="inlineStr">
        <is>
          <t>TI</t>
        </is>
      </c>
      <c r="B318" s="13">
        <f>IFERROR(__xludf.DUMMYFUNCTION("GOOGLEFINANCE(""NSE:""&amp;A318,""PRICE"")"),421.9)</f>
        <v/>
      </c>
      <c r="C318" s="13">
        <f>IFERROR(__xludf.DUMMYFUNCTION("GOOGLEFINANCE(""NSE:""&amp;A318,""PRICEOPEN"")"),427.9)</f>
        <v/>
      </c>
      <c r="D318" s="13">
        <f>IFERROR(__xludf.DUMMYFUNCTION("GOOGLEFINANCE(""NSE:""&amp;A318,""HIGH"")"),435)</f>
        <v/>
      </c>
      <c r="E318" s="13">
        <f>IFERROR(__xludf.DUMMYFUNCTION("GOOGLEFINANCE(""NSE:""&amp;A318,""LOW"")"),412.55)</f>
        <v/>
      </c>
      <c r="F318" s="13">
        <f>IFERROR(__xludf.DUMMYFUNCTION("GOOGLEFINANCE(""NSE:""&amp;A318,""closeyest"")"),430.75)</f>
        <v/>
      </c>
      <c r="G318" s="14">
        <f>(B318-C318)/B318</f>
        <v/>
      </c>
      <c r="H318" s="13">
        <f>IFERROR(__xludf.DUMMYFUNCTION("GOOGLEFINANCE(""NSE:""&amp;A318,""VOLUME"")"),1219686)</f>
        <v/>
      </c>
      <c r="I318" s="13">
        <f>IFERROR(__xludf.DUMMYFUNCTION("AVERAGE(index(GOOGLEFINANCE(""NSE:""&amp;$A318, ""volume"", today()-21, today()-1), , 2))"),"#N/A")</f>
        <v/>
      </c>
      <c r="J318" s="14">
        <f>(H318-I318)/I318</f>
        <v/>
      </c>
      <c r="K318" s="13">
        <f>IFERROR(__xludf.DUMMYFUNCTION("AVERAGE(index(GOOGLEFINANCE(""NSE:""&amp;$A318, ""close"", today()-6, today()-1), , 2))"),"#N/A")</f>
        <v/>
      </c>
      <c r="L318" s="13">
        <f>IFERROR(__xludf.DUMMYFUNCTION("AVERAGE(index(GOOGLEFINANCE(""NSE:""&amp;$A318, ""close"", today()-14, today()-1), , 2))"),"#N/A")</f>
        <v/>
      </c>
      <c r="M318" s="13">
        <f>IFERROR(__xludf.DUMMYFUNCTION("AVERAGE(index(GOOGLEFINANCE(""NSE:""&amp;$A318, ""close"", today()-22, today()-1), , 2))"),"#N/A")</f>
        <v/>
      </c>
      <c r="N318" s="13">
        <f>AG318</f>
        <v/>
      </c>
      <c r="O318" s="13">
        <f>AI318</f>
        <v/>
      </c>
      <c r="P318" s="13">
        <f>W318</f>
        <v/>
      </c>
      <c r="Q318" s="13">
        <f>Y318</f>
        <v/>
      </c>
      <c r="R318" s="15" t="n"/>
      <c r="S318" s="15">
        <f>LEFT(W318,2)&amp;LEFT(Y318,2)</f>
        <v/>
      </c>
      <c r="T318" s="15" t="n"/>
      <c r="U318" s="15">
        <f>IF(K318&lt;L318,1,0)</f>
        <v/>
      </c>
      <c r="V318" s="15">
        <f>IF(H318&gt;I318,1,0)</f>
        <v/>
      </c>
      <c r="W318" s="15">
        <f>IF(SUM(U318:V318)=2,"Anticipatory_Sell","No_Action")</f>
        <v/>
      </c>
      <c r="X318" s="15" t="n"/>
      <c r="Y318" s="15">
        <f>IF(SUM(Z318:AA318)=2,"Confirm_Sell","No_Action")</f>
        <v/>
      </c>
      <c r="Z318" s="15">
        <f>IF(H318&gt;I318,1,0)</f>
        <v/>
      </c>
      <c r="AA318" s="15">
        <f>IF(K318&lt;M318,1,0)</f>
        <v/>
      </c>
      <c r="AB318" s="15" t="n"/>
      <c r="AC318" s="15">
        <f>LEFT(AG318,2)&amp;LEFT(AI318,2)</f>
        <v/>
      </c>
      <c r="AD318" s="15" t="n"/>
      <c r="AE318" s="15">
        <f>IF(K318&gt;L318,1,0)</f>
        <v/>
      </c>
      <c r="AF318" s="16">
        <f>IF(H318&gt;I318,1,0)</f>
        <v/>
      </c>
      <c r="AG318" s="16">
        <f>IF(SUM(AE318:AF318)=2,"Anticipatory_Buy","No_Action")</f>
        <v/>
      </c>
      <c r="AH318" s="15" t="n"/>
      <c r="AI318" s="15">
        <f>IF(SUM(AJ318:AK318)=2,"Confirm_Buy","No_Action")</f>
        <v/>
      </c>
      <c r="AJ318" s="15">
        <f>IF(H318&gt;I318,1,0)</f>
        <v/>
      </c>
      <c r="AK318" s="15">
        <f>IF(K318&gt;M318,1,0)</f>
        <v/>
      </c>
    </row>
    <row r="319" ht="14.5" customHeight="1">
      <c r="A319" s="12" t="inlineStr">
        <is>
          <t>TIMETECHNO</t>
        </is>
      </c>
      <c r="B319" s="13">
        <f>IFERROR(__xludf.DUMMYFUNCTION("GOOGLEFINANCE(""NSE:""&amp;A319,""PRICE"")"),489)</f>
        <v/>
      </c>
      <c r="C319" s="13">
        <f>IFERROR(__xludf.DUMMYFUNCTION("GOOGLEFINANCE(""NSE:""&amp;A319,""PRICEOPEN"")"),486)</f>
        <v/>
      </c>
      <c r="D319" s="13">
        <f>IFERROR(__xludf.DUMMYFUNCTION("GOOGLEFINANCE(""NSE:""&amp;A319,""HIGH"")"),495.2)</f>
        <v/>
      </c>
      <c r="E319" s="13">
        <f>IFERROR(__xludf.DUMMYFUNCTION("GOOGLEFINANCE(""NSE:""&amp;A319,""LOW"")"),480.85)</f>
        <v/>
      </c>
      <c r="F319" s="13">
        <f>IFERROR(__xludf.DUMMYFUNCTION("GOOGLEFINANCE(""NSE:""&amp;A319,""closeyest"")"),480.45)</f>
        <v/>
      </c>
      <c r="G319" s="14">
        <f>(B319-C319)/B319</f>
        <v/>
      </c>
      <c r="H319" s="13">
        <f>IFERROR(__xludf.DUMMYFUNCTION("GOOGLEFINANCE(""NSE:""&amp;A319,""VOLUME"")"),1523221)</f>
        <v/>
      </c>
      <c r="I319" s="13">
        <f>IFERROR(__xludf.DUMMYFUNCTION("AVERAGE(index(GOOGLEFINANCE(""NSE:""&amp;$A319, ""volume"", today()-21, today()-1), , 2))"),"#N/A")</f>
        <v/>
      </c>
      <c r="J319" s="14">
        <f>(H319-I319)/I319</f>
        <v/>
      </c>
      <c r="K319" s="13">
        <f>IFERROR(__xludf.DUMMYFUNCTION("AVERAGE(index(GOOGLEFINANCE(""NSE:""&amp;$A319, ""close"", today()-6, today()-1), , 2))"),"#N/A")</f>
        <v/>
      </c>
      <c r="L319" s="13">
        <f>IFERROR(__xludf.DUMMYFUNCTION("AVERAGE(index(GOOGLEFINANCE(""NSE:""&amp;$A319, ""close"", today()-14, today()-1), , 2))"),"#N/A")</f>
        <v/>
      </c>
      <c r="M319" s="13">
        <f>IFERROR(__xludf.DUMMYFUNCTION("AVERAGE(index(GOOGLEFINANCE(""NSE:""&amp;$A319, ""close"", today()-22, today()-1), , 2))"),"#N/A")</f>
        <v/>
      </c>
      <c r="N319" s="13">
        <f>AG319</f>
        <v/>
      </c>
      <c r="O319" s="13">
        <f>AI319</f>
        <v/>
      </c>
      <c r="P319" s="13">
        <f>W319</f>
        <v/>
      </c>
      <c r="Q319" s="13">
        <f>Y319</f>
        <v/>
      </c>
      <c r="R319" s="15" t="n"/>
      <c r="S319" s="15">
        <f>LEFT(W319,2)&amp;LEFT(Y319,2)</f>
        <v/>
      </c>
      <c r="T319" s="15" t="n"/>
      <c r="U319" s="15">
        <f>IF(K319&lt;L319,1,0)</f>
        <v/>
      </c>
      <c r="V319" s="15">
        <f>IF(H319&gt;I319,1,0)</f>
        <v/>
      </c>
      <c r="W319" s="15">
        <f>IF(SUM(U319:V319)=2,"Anticipatory_Sell","No_Action")</f>
        <v/>
      </c>
      <c r="X319" s="15" t="n"/>
      <c r="Y319" s="15">
        <f>IF(SUM(Z319:AA319)=2,"Confirm_Sell","No_Action")</f>
        <v/>
      </c>
      <c r="Z319" s="15">
        <f>IF(H319&gt;I319,1,0)</f>
        <v/>
      </c>
      <c r="AA319" s="15">
        <f>IF(K319&lt;M319,1,0)</f>
        <v/>
      </c>
      <c r="AB319" s="15" t="n"/>
      <c r="AC319" s="15">
        <f>LEFT(AG319,2)&amp;LEFT(AI319,2)</f>
        <v/>
      </c>
      <c r="AD319" s="15" t="n"/>
      <c r="AE319" s="15">
        <f>IF(K319&gt;L319,1,0)</f>
        <v/>
      </c>
      <c r="AF319" s="16">
        <f>IF(H319&gt;I319,1,0)</f>
        <v/>
      </c>
      <c r="AG319" s="16">
        <f>IF(SUM(AE319:AF319)=2,"Anticipatory_Buy","No_Action")</f>
        <v/>
      </c>
      <c r="AH319" s="15" t="n"/>
      <c r="AI319" s="15">
        <f>IF(SUM(AJ319:AK319)=2,"Confirm_Buy","No_Action")</f>
        <v/>
      </c>
      <c r="AJ319" s="15">
        <f>IF(H319&gt;I319,1,0)</f>
        <v/>
      </c>
      <c r="AK319" s="15">
        <f>IF(K319&gt;M319,1,0)</f>
        <v/>
      </c>
    </row>
    <row r="320" ht="14.5" customHeight="1">
      <c r="A320" s="12" t="inlineStr">
        <is>
          <t>TORNTPHARM</t>
        </is>
      </c>
      <c r="B320" s="13">
        <f>IFERROR(__xludf.DUMMYFUNCTION("GOOGLEFINANCE(""NSE:""&amp;A320,""PRICE"")"),3344)</f>
        <v/>
      </c>
      <c r="C320" s="13">
        <f>IFERROR(__xludf.DUMMYFUNCTION("GOOGLEFINANCE(""NSE:""&amp;A320,""PRICEOPEN"")"),3342.15)</f>
        <v/>
      </c>
      <c r="D320" s="13">
        <f>IFERROR(__xludf.DUMMYFUNCTION("GOOGLEFINANCE(""NSE:""&amp;A320,""HIGH"")"),3369.5)</f>
        <v/>
      </c>
      <c r="E320" s="13">
        <f>IFERROR(__xludf.DUMMYFUNCTION("GOOGLEFINANCE(""NSE:""&amp;A320,""LOW"")"),3319.45)</f>
        <v/>
      </c>
      <c r="F320" s="13">
        <f>IFERROR(__xludf.DUMMYFUNCTION("GOOGLEFINANCE(""NSE:""&amp;A320,""closeyest"")"),3332.5)</f>
        <v/>
      </c>
      <c r="G320" s="14">
        <f>(B320-C320)/B320</f>
        <v/>
      </c>
      <c r="H320" s="13">
        <f>IFERROR(__xludf.DUMMYFUNCTION("GOOGLEFINANCE(""NSE:""&amp;A320,""VOLUME"")"),251984)</f>
        <v/>
      </c>
      <c r="I320" s="13">
        <f>IFERROR(__xludf.DUMMYFUNCTION("AVERAGE(index(GOOGLEFINANCE(""NSE:""&amp;$A320, ""volume"", today()-21, today()-1), , 2))"),"#N/A")</f>
        <v/>
      </c>
      <c r="J320" s="14">
        <f>(H320-I320)/I320</f>
        <v/>
      </c>
      <c r="K320" s="13">
        <f>IFERROR(__xludf.DUMMYFUNCTION("AVERAGE(index(GOOGLEFINANCE(""NSE:""&amp;$A320, ""close"", today()-6, today()-1), , 2))"),"#N/A")</f>
        <v/>
      </c>
      <c r="L320" s="13">
        <f>IFERROR(__xludf.DUMMYFUNCTION("AVERAGE(index(GOOGLEFINANCE(""NSE:""&amp;$A320, ""close"", today()-14, today()-1), , 2))"),"#N/A")</f>
        <v/>
      </c>
      <c r="M320" s="13">
        <f>IFERROR(__xludf.DUMMYFUNCTION("AVERAGE(index(GOOGLEFINANCE(""NSE:""&amp;$A320, ""close"", today()-22, today()-1), , 2))"),"#N/A")</f>
        <v/>
      </c>
      <c r="N320" s="13">
        <f>AG320</f>
        <v/>
      </c>
      <c r="O320" s="13">
        <f>AI320</f>
        <v/>
      </c>
      <c r="P320" s="13">
        <f>W320</f>
        <v/>
      </c>
      <c r="Q320" s="13">
        <f>Y320</f>
        <v/>
      </c>
      <c r="R320" s="15" t="n"/>
      <c r="S320" s="15">
        <f>LEFT(W320,2)&amp;LEFT(Y320,2)</f>
        <v/>
      </c>
      <c r="T320" s="15" t="n"/>
      <c r="U320" s="15">
        <f>IF(K320&lt;L320,1,0)</f>
        <v/>
      </c>
      <c r="V320" s="15">
        <f>IF(H320&gt;I320,1,0)</f>
        <v/>
      </c>
      <c r="W320" s="15">
        <f>IF(SUM(U320:V320)=2,"Anticipatory_Sell","No_Action")</f>
        <v/>
      </c>
      <c r="X320" s="15" t="n"/>
      <c r="Y320" s="15">
        <f>IF(SUM(Z320:AA320)=2,"Confirm_Sell","No_Action")</f>
        <v/>
      </c>
      <c r="Z320" s="15">
        <f>IF(H320&gt;I320,1,0)</f>
        <v/>
      </c>
      <c r="AA320" s="15">
        <f>IF(K320&lt;M320,1,0)</f>
        <v/>
      </c>
      <c r="AB320" s="15" t="n"/>
      <c r="AC320" s="15">
        <f>LEFT(AG320,2)&amp;LEFT(AI320,2)</f>
        <v/>
      </c>
      <c r="AD320" s="15" t="n"/>
      <c r="AE320" s="15">
        <f>IF(K320&gt;L320,1,0)</f>
        <v/>
      </c>
      <c r="AF320" s="16">
        <f>IF(H320&gt;I320,1,0)</f>
        <v/>
      </c>
      <c r="AG320" s="16">
        <f>IF(SUM(AE320:AF320)=2,"Anticipatory_Buy","No_Action")</f>
        <v/>
      </c>
      <c r="AH320" s="15" t="n"/>
      <c r="AI320" s="15">
        <f>IF(SUM(AJ320:AK320)=2,"Confirm_Buy","No_Action")</f>
        <v/>
      </c>
      <c r="AJ320" s="15">
        <f>IF(H320&gt;I320,1,0)</f>
        <v/>
      </c>
      <c r="AK320" s="15">
        <f>IF(K320&gt;M320,1,0)</f>
        <v/>
      </c>
    </row>
    <row r="321" ht="14.5" customHeight="1">
      <c r="A321" s="12" t="inlineStr">
        <is>
          <t>TORNTPOWER</t>
        </is>
      </c>
      <c r="B321" s="13">
        <f>IFERROR(__xludf.DUMMYFUNCTION("GOOGLEFINANCE(""NSE:""&amp;A321,""PRICE"")"),1649)</f>
        <v/>
      </c>
      <c r="C321" s="13">
        <f>IFERROR(__xludf.DUMMYFUNCTION("GOOGLEFINANCE(""NSE:""&amp;A321,""PRICEOPEN"")"),1655)</f>
        <v/>
      </c>
      <c r="D321" s="13">
        <f>IFERROR(__xludf.DUMMYFUNCTION("GOOGLEFINANCE(""NSE:""&amp;A321,""HIGH"")"),1679)</f>
        <v/>
      </c>
      <c r="E321" s="13">
        <f>IFERROR(__xludf.DUMMYFUNCTION("GOOGLEFINANCE(""NSE:""&amp;A321,""LOW"")"),1628.85)</f>
        <v/>
      </c>
      <c r="F321" s="13">
        <f>IFERROR(__xludf.DUMMYFUNCTION("GOOGLEFINANCE(""NSE:""&amp;A321,""closeyest"")"),1648.65)</f>
        <v/>
      </c>
      <c r="G321" s="14">
        <f>(B321-C321)/B321</f>
        <v/>
      </c>
      <c r="H321" s="13">
        <f>IFERROR(__xludf.DUMMYFUNCTION("GOOGLEFINANCE(""NSE:""&amp;A321,""VOLUME"")"),836072)</f>
        <v/>
      </c>
      <c r="I321" s="13">
        <f>IFERROR(__xludf.DUMMYFUNCTION("AVERAGE(index(GOOGLEFINANCE(""NSE:""&amp;$A321, ""volume"", today()-21, today()-1), , 2))"),"#N/A")</f>
        <v/>
      </c>
      <c r="J321" s="14">
        <f>(H321-I321)/I321</f>
        <v/>
      </c>
      <c r="K321" s="13">
        <f>IFERROR(__xludf.DUMMYFUNCTION("AVERAGE(index(GOOGLEFINANCE(""NSE:""&amp;$A321, ""close"", today()-6, today()-1), , 2))"),"#N/A")</f>
        <v/>
      </c>
      <c r="L321" s="13">
        <f>IFERROR(__xludf.DUMMYFUNCTION("AVERAGE(index(GOOGLEFINANCE(""NSE:""&amp;$A321, ""close"", today()-14, today()-1), , 2))"),"#N/A")</f>
        <v/>
      </c>
      <c r="M321" s="13">
        <f>IFERROR(__xludf.DUMMYFUNCTION("AVERAGE(index(GOOGLEFINANCE(""NSE:""&amp;$A321, ""close"", today()-22, today()-1), , 2))"),"#N/A")</f>
        <v/>
      </c>
      <c r="N321" s="13">
        <f>AG321</f>
        <v/>
      </c>
      <c r="O321" s="13">
        <f>AI321</f>
        <v/>
      </c>
      <c r="P321" s="13">
        <f>W321</f>
        <v/>
      </c>
      <c r="Q321" s="13">
        <f>Y321</f>
        <v/>
      </c>
      <c r="R321" s="15" t="n"/>
      <c r="S321" s="15">
        <f>LEFT(W321,2)&amp;LEFT(Y321,2)</f>
        <v/>
      </c>
      <c r="T321" s="15" t="n"/>
      <c r="U321" s="15">
        <f>IF(K321&lt;L321,1,0)</f>
        <v/>
      </c>
      <c r="V321" s="15">
        <f>IF(H321&gt;I321,1,0)</f>
        <v/>
      </c>
      <c r="W321" s="15">
        <f>IF(SUM(U321:V321)=2,"Anticipatory_Sell","No_Action")</f>
        <v/>
      </c>
      <c r="X321" s="15" t="n"/>
      <c r="Y321" s="15">
        <f>IF(SUM(Z321:AA321)=2,"Confirm_Sell","No_Action")</f>
        <v/>
      </c>
      <c r="Z321" s="15">
        <f>IF(H321&gt;I321,1,0)</f>
        <v/>
      </c>
      <c r="AA321" s="15">
        <f>IF(K321&lt;M321,1,0)</f>
        <v/>
      </c>
      <c r="AB321" s="15" t="n"/>
      <c r="AC321" s="15">
        <f>LEFT(AG321,2)&amp;LEFT(AI321,2)</f>
        <v/>
      </c>
      <c r="AD321" s="15" t="n"/>
      <c r="AE321" s="15">
        <f>IF(K321&gt;L321,1,0)</f>
        <v/>
      </c>
      <c r="AF321" s="16">
        <f>IF(H321&gt;I321,1,0)</f>
        <v/>
      </c>
      <c r="AG321" s="16">
        <f>IF(SUM(AE321:AF321)=2,"Anticipatory_Buy","No_Action")</f>
        <v/>
      </c>
      <c r="AH321" s="15" t="n"/>
      <c r="AI321" s="15">
        <f>IF(SUM(AJ321:AK321)=2,"Confirm_Buy","No_Action")</f>
        <v/>
      </c>
      <c r="AJ321" s="15">
        <f>IF(H321&gt;I321,1,0)</f>
        <v/>
      </c>
      <c r="AK321" s="15">
        <f>IF(K321&gt;M321,1,0)</f>
        <v/>
      </c>
    </row>
    <row r="322" ht="14.5" customHeight="1">
      <c r="A322" s="12" t="inlineStr">
        <is>
          <t>TRIVENI</t>
        </is>
      </c>
      <c r="B322" s="13">
        <f>IFERROR(__xludf.DUMMYFUNCTION("GOOGLEFINANCE(""NSE:""&amp;A322,""PRICE"")"),437.05)</f>
        <v/>
      </c>
      <c r="C322" s="13">
        <f>IFERROR(__xludf.DUMMYFUNCTION("GOOGLEFINANCE(""NSE:""&amp;A322,""PRICEOPEN"")"),449)</f>
        <v/>
      </c>
      <c r="D322" s="13">
        <f>IFERROR(__xludf.DUMMYFUNCTION("GOOGLEFINANCE(""NSE:""&amp;A322,""HIGH"")"),450.05)</f>
        <v/>
      </c>
      <c r="E322" s="13">
        <f>IFERROR(__xludf.DUMMYFUNCTION("GOOGLEFINANCE(""NSE:""&amp;A322,""LOW"")"),431.55)</f>
        <v/>
      </c>
      <c r="F322" s="13">
        <f>IFERROR(__xludf.DUMMYFUNCTION("GOOGLEFINANCE(""NSE:""&amp;A322,""closeyest"")"),448.95)</f>
        <v/>
      </c>
      <c r="G322" s="14">
        <f>(B322-C322)/B322</f>
        <v/>
      </c>
      <c r="H322" s="13">
        <f>IFERROR(__xludf.DUMMYFUNCTION("GOOGLEFINANCE(""NSE:""&amp;A322,""VOLUME"")"),397267)</f>
        <v/>
      </c>
      <c r="I322" s="13">
        <f>IFERROR(__xludf.DUMMYFUNCTION("AVERAGE(index(GOOGLEFINANCE(""NSE:""&amp;$A322, ""volume"", today()-21, today()-1), , 2))"),"#N/A")</f>
        <v/>
      </c>
      <c r="J322" s="14">
        <f>(H322-I322)/I322</f>
        <v/>
      </c>
      <c r="K322" s="13">
        <f>IFERROR(__xludf.DUMMYFUNCTION("AVERAGE(index(GOOGLEFINANCE(""NSE:""&amp;$A322, ""close"", today()-6, today()-1), , 2))"),"#N/A")</f>
        <v/>
      </c>
      <c r="L322" s="13">
        <f>IFERROR(__xludf.DUMMYFUNCTION("AVERAGE(index(GOOGLEFINANCE(""NSE:""&amp;$A322, ""close"", today()-14, today()-1), , 2))"),"#N/A")</f>
        <v/>
      </c>
      <c r="M322" s="13">
        <f>IFERROR(__xludf.DUMMYFUNCTION("AVERAGE(index(GOOGLEFINANCE(""NSE:""&amp;$A322, ""close"", today()-22, today()-1), , 2))"),"#N/A")</f>
        <v/>
      </c>
      <c r="N322" s="13">
        <f>AG322</f>
        <v/>
      </c>
      <c r="O322" s="13">
        <f>AI322</f>
        <v/>
      </c>
      <c r="P322" s="13">
        <f>W322</f>
        <v/>
      </c>
      <c r="Q322" s="13">
        <f>Y322</f>
        <v/>
      </c>
      <c r="R322" s="15" t="n"/>
      <c r="S322" s="15">
        <f>LEFT(W322,2)&amp;LEFT(Y322,2)</f>
        <v/>
      </c>
      <c r="T322" s="15" t="n"/>
      <c r="U322" s="15">
        <f>IF(K322&lt;L322,1,0)</f>
        <v/>
      </c>
      <c r="V322" s="15">
        <f>IF(H322&gt;I322,1,0)</f>
        <v/>
      </c>
      <c r="W322" s="15">
        <f>IF(SUM(U322:V322)=2,"Anticipatory_Sell","No_Action")</f>
        <v/>
      </c>
      <c r="X322" s="15" t="n"/>
      <c r="Y322" s="15">
        <f>IF(SUM(Z322:AA322)=2,"Confirm_Sell","No_Action")</f>
        <v/>
      </c>
      <c r="Z322" s="15">
        <f>IF(H322&gt;I322,1,0)</f>
        <v/>
      </c>
      <c r="AA322" s="15">
        <f>IF(K322&lt;M322,1,0)</f>
        <v/>
      </c>
      <c r="AB322" s="15" t="n"/>
      <c r="AC322" s="15">
        <f>LEFT(AG322,2)&amp;LEFT(AI322,2)</f>
        <v/>
      </c>
      <c r="AD322" s="15" t="n"/>
      <c r="AE322" s="15">
        <f>IF(K322&gt;L322,1,0)</f>
        <v/>
      </c>
      <c r="AF322" s="16">
        <f>IF(H322&gt;I322,1,0)</f>
        <v/>
      </c>
      <c r="AG322" s="16">
        <f>IF(SUM(AE322:AF322)=2,"Anticipatory_Buy","No_Action")</f>
        <v/>
      </c>
      <c r="AH322" s="15" t="n"/>
      <c r="AI322" s="15">
        <f>IF(SUM(AJ322:AK322)=2,"Confirm_Buy","No_Action")</f>
        <v/>
      </c>
      <c r="AJ322" s="15">
        <f>IF(H322&gt;I322,1,0)</f>
        <v/>
      </c>
      <c r="AK322" s="15">
        <f>IF(K322&gt;M322,1,0)</f>
        <v/>
      </c>
    </row>
    <row r="323" ht="14.5" customHeight="1">
      <c r="A323" s="12" t="inlineStr">
        <is>
          <t>TTKPRESTIG</t>
        </is>
      </c>
      <c r="B323" s="13">
        <f>IFERROR(__xludf.DUMMYFUNCTION("GOOGLEFINANCE(""NSE:""&amp;A323,""PRICE"")"),896.55)</f>
        <v/>
      </c>
      <c r="C323" s="13">
        <f>IFERROR(__xludf.DUMMYFUNCTION("GOOGLEFINANCE(""NSE:""&amp;A323,""PRICEOPEN"")"),879.95)</f>
        <v/>
      </c>
      <c r="D323" s="13">
        <f>IFERROR(__xludf.DUMMYFUNCTION("GOOGLEFINANCE(""NSE:""&amp;A323,""HIGH"")"),905)</f>
        <v/>
      </c>
      <c r="E323" s="13">
        <f>IFERROR(__xludf.DUMMYFUNCTION("GOOGLEFINANCE(""NSE:""&amp;A323,""LOW"")"),878.2)</f>
        <v/>
      </c>
      <c r="F323" s="13">
        <f>IFERROR(__xludf.DUMMYFUNCTION("GOOGLEFINANCE(""NSE:""&amp;A323,""closeyest"")"),879.3)</f>
        <v/>
      </c>
      <c r="G323" s="14">
        <f>(B323-C323)/B323</f>
        <v/>
      </c>
      <c r="H323" s="13">
        <f>IFERROR(__xludf.DUMMYFUNCTION("GOOGLEFINANCE(""NSE:""&amp;A323,""VOLUME"")"),37351)</f>
        <v/>
      </c>
      <c r="I323" s="13">
        <f>IFERROR(__xludf.DUMMYFUNCTION("AVERAGE(index(GOOGLEFINANCE(""NSE:""&amp;$A323, ""volume"", today()-21, today()-1), , 2))"),"#N/A")</f>
        <v/>
      </c>
      <c r="J323" s="14">
        <f>(H323-I323)/I323</f>
        <v/>
      </c>
      <c r="K323" s="13">
        <f>IFERROR(__xludf.DUMMYFUNCTION("AVERAGE(index(GOOGLEFINANCE(""NSE:""&amp;$A323, ""close"", today()-6, today()-1), , 2))"),"#N/A")</f>
        <v/>
      </c>
      <c r="L323" s="13">
        <f>IFERROR(__xludf.DUMMYFUNCTION("AVERAGE(index(GOOGLEFINANCE(""NSE:""&amp;$A323, ""close"", today()-14, today()-1), , 2))"),"#N/A")</f>
        <v/>
      </c>
      <c r="M323" s="13">
        <f>IFERROR(__xludf.DUMMYFUNCTION("AVERAGE(index(GOOGLEFINANCE(""NSE:""&amp;$A323, ""close"", today()-22, today()-1), , 2))"),"#N/A")</f>
        <v/>
      </c>
      <c r="N323" s="13">
        <f>AG323</f>
        <v/>
      </c>
      <c r="O323" s="13">
        <f>AI323</f>
        <v/>
      </c>
      <c r="P323" s="13">
        <f>W323</f>
        <v/>
      </c>
      <c r="Q323" s="13">
        <f>Y323</f>
        <v/>
      </c>
      <c r="R323" s="15" t="n"/>
      <c r="S323" s="15">
        <f>LEFT(W323,2)&amp;LEFT(Y323,2)</f>
        <v/>
      </c>
      <c r="T323" s="15" t="n"/>
      <c r="U323" s="15">
        <f>IF(K323&lt;L323,1,0)</f>
        <v/>
      </c>
      <c r="V323" s="15">
        <f>IF(H323&gt;I323,1,0)</f>
        <v/>
      </c>
      <c r="W323" s="15">
        <f>IF(SUM(U323:V323)=2,"Anticipatory_Sell","No_Action")</f>
        <v/>
      </c>
      <c r="X323" s="15" t="n"/>
      <c r="Y323" s="15">
        <f>IF(SUM(Z323:AA323)=2,"Confirm_Sell","No_Action")</f>
        <v/>
      </c>
      <c r="Z323" s="15">
        <f>IF(H323&gt;I323,1,0)</f>
        <v/>
      </c>
      <c r="AA323" s="15">
        <f>IF(K323&lt;M323,1,0)</f>
        <v/>
      </c>
      <c r="AB323" s="15" t="n"/>
      <c r="AC323" s="15">
        <f>LEFT(AG323,2)&amp;LEFT(AI323,2)</f>
        <v/>
      </c>
      <c r="AD323" s="15" t="n"/>
      <c r="AE323" s="15">
        <f>IF(K323&gt;L323,1,0)</f>
        <v/>
      </c>
      <c r="AF323" s="16">
        <f>IF(H323&gt;I323,1,0)</f>
        <v/>
      </c>
      <c r="AG323" s="16">
        <f>IF(SUM(AE323:AF323)=2,"Anticipatory_Buy","No_Action")</f>
        <v/>
      </c>
      <c r="AH323" s="15" t="n"/>
      <c r="AI323" s="15">
        <f>IF(SUM(AJ323:AK323)=2,"Confirm_Buy","No_Action")</f>
        <v/>
      </c>
      <c r="AJ323" s="15">
        <f>IF(H323&gt;I323,1,0)</f>
        <v/>
      </c>
      <c r="AK323" s="15">
        <f>IF(K323&gt;M323,1,0)</f>
        <v/>
      </c>
    </row>
    <row r="324" ht="14.5" customHeight="1">
      <c r="A324" s="12" t="inlineStr">
        <is>
          <t>TIINDIA</t>
        </is>
      </c>
      <c r="B324" s="13">
        <f>IFERROR(__xludf.DUMMYFUNCTION("GOOGLEFINANCE(""NSE:""&amp;A324,""PRICE"")"),3718)</f>
        <v/>
      </c>
      <c r="C324" s="13">
        <f>IFERROR(__xludf.DUMMYFUNCTION("GOOGLEFINANCE(""NSE:""&amp;A324,""PRICEOPEN"")"),3699.5)</f>
        <v/>
      </c>
      <c r="D324" s="13">
        <f>IFERROR(__xludf.DUMMYFUNCTION("GOOGLEFINANCE(""NSE:""&amp;A324,""HIGH"")"),3798)</f>
        <v/>
      </c>
      <c r="E324" s="13">
        <f>IFERROR(__xludf.DUMMYFUNCTION("GOOGLEFINANCE(""NSE:""&amp;A324,""LOW"")"),3673.55)</f>
        <v/>
      </c>
      <c r="F324" s="13">
        <f>IFERROR(__xludf.DUMMYFUNCTION("GOOGLEFINANCE(""NSE:""&amp;A324,""closeyest"")"),3680.15)</f>
        <v/>
      </c>
      <c r="G324" s="14">
        <f>(B324-C324)/B324</f>
        <v/>
      </c>
      <c r="H324" s="13">
        <f>IFERROR(__xludf.DUMMYFUNCTION("GOOGLEFINANCE(""NSE:""&amp;A324,""VOLUME"")"),339027)</f>
        <v/>
      </c>
      <c r="I324" s="13">
        <f>IFERROR(__xludf.DUMMYFUNCTION("AVERAGE(index(GOOGLEFINANCE(""NSE:""&amp;$A324, ""volume"", today()-21, today()-1), , 2))"),"#N/A")</f>
        <v/>
      </c>
      <c r="J324" s="14">
        <f>(H324-I324)/I324</f>
        <v/>
      </c>
      <c r="K324" s="13">
        <f>IFERROR(__xludf.DUMMYFUNCTION("AVERAGE(index(GOOGLEFINANCE(""NSE:""&amp;$A324, ""close"", today()-6, today()-1), , 2))"),"#N/A")</f>
        <v/>
      </c>
      <c r="L324" s="13">
        <f>IFERROR(__xludf.DUMMYFUNCTION("AVERAGE(index(GOOGLEFINANCE(""NSE:""&amp;$A324, ""close"", today()-14, today()-1), , 2))"),"#N/A")</f>
        <v/>
      </c>
      <c r="M324" s="13">
        <f>IFERROR(__xludf.DUMMYFUNCTION("AVERAGE(index(GOOGLEFINANCE(""NSE:""&amp;$A324, ""close"", today()-22, today()-1), , 2))"),"#N/A")</f>
        <v/>
      </c>
      <c r="N324" s="13">
        <f>AG324</f>
        <v/>
      </c>
      <c r="O324" s="13">
        <f>AI324</f>
        <v/>
      </c>
      <c r="P324" s="13">
        <f>W324</f>
        <v/>
      </c>
      <c r="Q324" s="13">
        <f>Y324</f>
        <v/>
      </c>
      <c r="R324" s="15" t="n"/>
      <c r="S324" s="15">
        <f>LEFT(W324,2)&amp;LEFT(Y324,2)</f>
        <v/>
      </c>
      <c r="T324" s="15" t="n"/>
      <c r="U324" s="15">
        <f>IF(K324&lt;L324,1,0)</f>
        <v/>
      </c>
      <c r="V324" s="15">
        <f>IF(H324&gt;I324,1,0)</f>
        <v/>
      </c>
      <c r="W324" s="15">
        <f>IF(SUM(U324:V324)=2,"Anticipatory_Sell","No_Action")</f>
        <v/>
      </c>
      <c r="X324" s="15" t="n"/>
      <c r="Y324" s="15">
        <f>IF(SUM(Z324:AA324)=2,"Confirm_Sell","No_Action")</f>
        <v/>
      </c>
      <c r="Z324" s="15">
        <f>IF(H324&gt;I324,1,0)</f>
        <v/>
      </c>
      <c r="AA324" s="15">
        <f>IF(K324&lt;M324,1,0)</f>
        <v/>
      </c>
      <c r="AB324" s="15" t="n"/>
      <c r="AC324" s="15">
        <f>LEFT(AG324,2)&amp;LEFT(AI324,2)</f>
        <v/>
      </c>
      <c r="AD324" s="15" t="n"/>
      <c r="AE324" s="15">
        <f>IF(K324&gt;L324,1,0)</f>
        <v/>
      </c>
      <c r="AF324" s="16">
        <f>IF(H324&gt;I324,1,0)</f>
        <v/>
      </c>
      <c r="AG324" s="16">
        <f>IF(SUM(AE324:AF324)=2,"Anticipatory_Buy","No_Action")</f>
        <v/>
      </c>
      <c r="AH324" s="15" t="n"/>
      <c r="AI324" s="15">
        <f>IF(SUM(AJ324:AK324)=2,"Confirm_Buy","No_Action")</f>
        <v/>
      </c>
      <c r="AJ324" s="15">
        <f>IF(H324&gt;I324,1,0)</f>
        <v/>
      </c>
      <c r="AK324" s="15">
        <f>IF(K324&gt;M324,1,0)</f>
        <v/>
      </c>
    </row>
    <row r="325" ht="14.5" customHeight="1">
      <c r="A325" s="12" t="inlineStr">
        <is>
          <t>ULTRACEMCO</t>
        </is>
      </c>
      <c r="B325" s="13">
        <f>IFERROR(__xludf.DUMMYFUNCTION("GOOGLEFINANCE(""NSE:""&amp;A325,""PRICE"")"),11795.2)</f>
        <v/>
      </c>
      <c r="C325" s="13">
        <f>IFERROR(__xludf.DUMMYFUNCTION("GOOGLEFINANCE(""NSE:""&amp;A325,""PRICEOPEN"")"),11858.4)</f>
        <v/>
      </c>
      <c r="D325" s="13">
        <f>IFERROR(__xludf.DUMMYFUNCTION("GOOGLEFINANCE(""NSE:""&amp;A325,""HIGH"")"),11890)</f>
        <v/>
      </c>
      <c r="E325" s="13">
        <f>IFERROR(__xludf.DUMMYFUNCTION("GOOGLEFINANCE(""NSE:""&amp;A325,""LOW"")"),11718)</f>
        <v/>
      </c>
      <c r="F325" s="13">
        <f>IFERROR(__xludf.DUMMYFUNCTION("GOOGLEFINANCE(""NSE:""&amp;A325,""closeyest"")"),11848.5)</f>
        <v/>
      </c>
      <c r="G325" s="14">
        <f>(B325-C325)/B325</f>
        <v/>
      </c>
      <c r="H325" s="13">
        <f>IFERROR(__xludf.DUMMYFUNCTION("GOOGLEFINANCE(""NSE:""&amp;A325,""VOLUME"")"),268177)</f>
        <v/>
      </c>
      <c r="I325" s="13">
        <f>IFERROR(__xludf.DUMMYFUNCTION("AVERAGE(index(GOOGLEFINANCE(""NSE:""&amp;$A325, ""volume"", today()-21, today()-1), , 2))"),"#N/A")</f>
        <v/>
      </c>
      <c r="J325" s="14">
        <f>(H325-I325)/I325</f>
        <v/>
      </c>
      <c r="K325" s="13">
        <f>IFERROR(__xludf.DUMMYFUNCTION("AVERAGE(index(GOOGLEFINANCE(""NSE:""&amp;$A325, ""close"", today()-6, today()-1), , 2))"),"#N/A")</f>
        <v/>
      </c>
      <c r="L325" s="13">
        <f>IFERROR(__xludf.DUMMYFUNCTION("AVERAGE(index(GOOGLEFINANCE(""NSE:""&amp;$A325, ""close"", today()-14, today()-1), , 2))"),"#N/A")</f>
        <v/>
      </c>
      <c r="M325" s="13">
        <f>IFERROR(__xludf.DUMMYFUNCTION("AVERAGE(index(GOOGLEFINANCE(""NSE:""&amp;$A325, ""close"", today()-22, today()-1), , 2))"),"#N/A")</f>
        <v/>
      </c>
      <c r="N325" s="13">
        <f>AG325</f>
        <v/>
      </c>
      <c r="O325" s="13">
        <f>AI325</f>
        <v/>
      </c>
      <c r="P325" s="13">
        <f>W325</f>
        <v/>
      </c>
      <c r="Q325" s="13">
        <f>Y325</f>
        <v/>
      </c>
      <c r="R325" s="15" t="n"/>
      <c r="S325" s="15">
        <f>LEFT(W325,2)&amp;LEFT(Y325,2)</f>
        <v/>
      </c>
      <c r="T325" s="15" t="n"/>
      <c r="U325" s="15">
        <f>IF(K325&lt;L325,1,0)</f>
        <v/>
      </c>
      <c r="V325" s="15">
        <f>IF(H325&gt;I325,1,0)</f>
        <v/>
      </c>
      <c r="W325" s="15">
        <f>IF(SUM(U325:V325)=2,"Anticipatory_Sell","No_Action")</f>
        <v/>
      </c>
      <c r="X325" s="15" t="n"/>
      <c r="Y325" s="15">
        <f>IF(SUM(Z325:AA325)=2,"Confirm_Sell","No_Action")</f>
        <v/>
      </c>
      <c r="Z325" s="15">
        <f>IF(H325&gt;I325,1,0)</f>
        <v/>
      </c>
      <c r="AA325" s="15">
        <f>IF(K325&lt;M325,1,0)</f>
        <v/>
      </c>
      <c r="AB325" s="15" t="n"/>
      <c r="AC325" s="15">
        <f>LEFT(AG325,2)&amp;LEFT(AI325,2)</f>
        <v/>
      </c>
      <c r="AD325" s="15" t="n"/>
      <c r="AE325" s="15">
        <f>IF(K325&gt;L325,1,0)</f>
        <v/>
      </c>
      <c r="AF325" s="16">
        <f>IF(H325&gt;I325,1,0)</f>
        <v/>
      </c>
      <c r="AG325" s="16">
        <f>IF(SUM(AE325:AF325)=2,"Anticipatory_Buy","No_Action")</f>
        <v/>
      </c>
      <c r="AH325" s="15" t="n"/>
      <c r="AI325" s="15">
        <f>IF(SUM(AJ325:AK325)=2,"Confirm_Buy","No_Action")</f>
        <v/>
      </c>
      <c r="AJ325" s="15">
        <f>IF(H325&gt;I325,1,0)</f>
        <v/>
      </c>
      <c r="AK325" s="15">
        <f>IF(K325&gt;M325,1,0)</f>
        <v/>
      </c>
    </row>
    <row r="326" ht="14.5" customHeight="1">
      <c r="A326" s="12" t="inlineStr">
        <is>
          <t>UNIPARTS</t>
        </is>
      </c>
      <c r="B326" s="13">
        <f>IFERROR(__xludf.DUMMYFUNCTION("GOOGLEFINANCE(""NSE:""&amp;A326,""PRICE"")"),431)</f>
        <v/>
      </c>
      <c r="C326" s="13">
        <f>IFERROR(__xludf.DUMMYFUNCTION("GOOGLEFINANCE(""NSE:""&amp;A326,""PRICEOPEN"")"),421.3)</f>
        <v/>
      </c>
      <c r="D326" s="13">
        <f>IFERROR(__xludf.DUMMYFUNCTION("GOOGLEFINANCE(""NSE:""&amp;A326,""HIGH"")"),431.45)</f>
        <v/>
      </c>
      <c r="E326" s="13">
        <f>IFERROR(__xludf.DUMMYFUNCTION("GOOGLEFINANCE(""NSE:""&amp;A326,""LOW"")"),421.3)</f>
        <v/>
      </c>
      <c r="F326" s="13">
        <f>IFERROR(__xludf.DUMMYFUNCTION("GOOGLEFINANCE(""NSE:""&amp;A326,""closeyest"")"),421.25)</f>
        <v/>
      </c>
      <c r="G326" s="14">
        <f>(B326-C326)/B326</f>
        <v/>
      </c>
      <c r="H326" s="13">
        <f>IFERROR(__xludf.DUMMYFUNCTION("GOOGLEFINANCE(""NSE:""&amp;A326,""VOLUME"")"),58790)</f>
        <v/>
      </c>
      <c r="I326" s="13">
        <f>IFERROR(__xludf.DUMMYFUNCTION("AVERAGE(index(GOOGLEFINANCE(""NSE:""&amp;$A326, ""volume"", today()-21, today()-1), , 2))"),"#N/A")</f>
        <v/>
      </c>
      <c r="J326" s="14">
        <f>(H326-I326)/I326</f>
        <v/>
      </c>
      <c r="K326" s="13">
        <f>IFERROR(__xludf.DUMMYFUNCTION("AVERAGE(index(GOOGLEFINANCE(""NSE:""&amp;$A326, ""close"", today()-6, today()-1), , 2))"),"#N/A")</f>
        <v/>
      </c>
      <c r="L326" s="13">
        <f>IFERROR(__xludf.DUMMYFUNCTION("AVERAGE(index(GOOGLEFINANCE(""NSE:""&amp;$A326, ""close"", today()-14, today()-1), , 2))"),"#N/A")</f>
        <v/>
      </c>
      <c r="M326" s="13">
        <f>IFERROR(__xludf.DUMMYFUNCTION("AVERAGE(index(GOOGLEFINANCE(""NSE:""&amp;$A326, ""close"", today()-22, today()-1), , 2))"),"#N/A")</f>
        <v/>
      </c>
      <c r="N326" s="13">
        <f>AG326</f>
        <v/>
      </c>
      <c r="O326" s="13">
        <f>AI326</f>
        <v/>
      </c>
      <c r="P326" s="13">
        <f>W326</f>
        <v/>
      </c>
      <c r="Q326" s="13">
        <f>Y326</f>
        <v/>
      </c>
      <c r="R326" s="15" t="n"/>
      <c r="S326" s="15">
        <f>LEFT(W326,2)&amp;LEFT(Y326,2)</f>
        <v/>
      </c>
      <c r="T326" s="15" t="n"/>
      <c r="U326" s="15">
        <f>IF(K326&lt;L326,1,0)</f>
        <v/>
      </c>
      <c r="V326" s="15">
        <f>IF(H326&gt;I326,1,0)</f>
        <v/>
      </c>
      <c r="W326" s="15">
        <f>IF(SUM(U326:V326)=2,"Anticipatory_Sell","No_Action")</f>
        <v/>
      </c>
      <c r="X326" s="15" t="n"/>
      <c r="Y326" s="15">
        <f>IF(SUM(Z326:AA326)=2,"Confirm_Sell","No_Action")</f>
        <v/>
      </c>
      <c r="Z326" s="15">
        <f>IF(H326&gt;I326,1,0)</f>
        <v/>
      </c>
      <c r="AA326" s="15">
        <f>IF(K326&lt;M326,1,0)</f>
        <v/>
      </c>
      <c r="AB326" s="15" t="n"/>
      <c r="AC326" s="15">
        <f>LEFT(AG326,2)&amp;LEFT(AI326,2)</f>
        <v/>
      </c>
      <c r="AD326" s="15" t="n"/>
      <c r="AE326" s="15">
        <f>IF(K326&gt;L326,1,0)</f>
        <v/>
      </c>
      <c r="AF326" s="16">
        <f>IF(H326&gt;I326,1,0)</f>
        <v/>
      </c>
      <c r="AG326" s="16">
        <f>IF(SUM(AE326:AF326)=2,"Anticipatory_Buy","No_Action")</f>
        <v/>
      </c>
      <c r="AH326" s="15" t="n"/>
      <c r="AI326" s="15">
        <f>IF(SUM(AJ326:AK326)=2,"Confirm_Buy","No_Action")</f>
        <v/>
      </c>
      <c r="AJ326" s="15">
        <f>IF(H326&gt;I326,1,0)</f>
        <v/>
      </c>
      <c r="AK326" s="15">
        <f>IF(K326&gt;M326,1,0)</f>
        <v/>
      </c>
    </row>
    <row r="327" ht="14.5" customHeight="1">
      <c r="A327" s="12" t="inlineStr">
        <is>
          <t>UNITDSPR</t>
        </is>
      </c>
      <c r="B327" s="13">
        <f>IFERROR(__xludf.DUMMYFUNCTION("GOOGLEFINANCE(""NSE:""&amp;A327,""PRICE"")"),1508.6)</f>
        <v/>
      </c>
      <c r="C327" s="13">
        <f>IFERROR(__xludf.DUMMYFUNCTION("GOOGLEFINANCE(""NSE:""&amp;A327,""PRICEOPEN"")"),1512.7)</f>
        <v/>
      </c>
      <c r="D327" s="13">
        <f>IFERROR(__xludf.DUMMYFUNCTION("GOOGLEFINANCE(""NSE:""&amp;A327,""HIGH"")"),1522.65)</f>
        <v/>
      </c>
      <c r="E327" s="13">
        <f>IFERROR(__xludf.DUMMYFUNCTION("GOOGLEFINANCE(""NSE:""&amp;A327,""LOW"")"),1492.25)</f>
        <v/>
      </c>
      <c r="F327" s="13">
        <f>IFERROR(__xludf.DUMMYFUNCTION("GOOGLEFINANCE(""NSE:""&amp;A327,""closeyest"")"),1516.6)</f>
        <v/>
      </c>
      <c r="G327" s="14">
        <f>(B327-C327)/B327</f>
        <v/>
      </c>
      <c r="H327" s="13">
        <f>IFERROR(__xludf.DUMMYFUNCTION("GOOGLEFINANCE(""NSE:""&amp;A327,""VOLUME"")"),516426)</f>
        <v/>
      </c>
      <c r="I327" s="13">
        <f>IFERROR(__xludf.DUMMYFUNCTION("AVERAGE(index(GOOGLEFINANCE(""NSE:""&amp;$A327, ""volume"", today()-21, today()-1), , 2))"),"#N/A")</f>
        <v/>
      </c>
      <c r="J327" s="14">
        <f>(H327-I327)/I327</f>
        <v/>
      </c>
      <c r="K327" s="13">
        <f>IFERROR(__xludf.DUMMYFUNCTION("AVERAGE(index(GOOGLEFINANCE(""NSE:""&amp;$A327, ""close"", today()-6, today()-1), , 2))"),"#N/A")</f>
        <v/>
      </c>
      <c r="L327" s="13">
        <f>IFERROR(__xludf.DUMMYFUNCTION("AVERAGE(index(GOOGLEFINANCE(""NSE:""&amp;$A327, ""close"", today()-14, today()-1), , 2))"),"#N/A")</f>
        <v/>
      </c>
      <c r="M327" s="13">
        <f>IFERROR(__xludf.DUMMYFUNCTION("AVERAGE(index(GOOGLEFINANCE(""NSE:""&amp;$A327, ""close"", today()-22, today()-1), , 2))"),"#N/A")</f>
        <v/>
      </c>
      <c r="N327" s="13">
        <f>AG327</f>
        <v/>
      </c>
      <c r="O327" s="13">
        <f>AI327</f>
        <v/>
      </c>
      <c r="P327" s="13">
        <f>W327</f>
        <v/>
      </c>
      <c r="Q327" s="13">
        <f>Y327</f>
        <v/>
      </c>
      <c r="R327" s="15" t="n"/>
      <c r="S327" s="15">
        <f>LEFT(W327,2)&amp;LEFT(Y327,2)</f>
        <v/>
      </c>
      <c r="T327" s="15" t="n"/>
      <c r="U327" s="15">
        <f>IF(K327&lt;L327,1,0)</f>
        <v/>
      </c>
      <c r="V327" s="15">
        <f>IF(H327&gt;I327,1,0)</f>
        <v/>
      </c>
      <c r="W327" s="15">
        <f>IF(SUM(U327:V327)=2,"Anticipatory_Sell","No_Action")</f>
        <v/>
      </c>
      <c r="X327" s="15" t="n"/>
      <c r="Y327" s="15">
        <f>IF(SUM(Z327:AA327)=2,"Confirm_Sell","No_Action")</f>
        <v/>
      </c>
      <c r="Z327" s="15">
        <f>IF(H327&gt;I327,1,0)</f>
        <v/>
      </c>
      <c r="AA327" s="15">
        <f>IF(K327&lt;M327,1,0)</f>
        <v/>
      </c>
      <c r="AB327" s="15" t="n"/>
      <c r="AC327" s="15">
        <f>LEFT(AG327,2)&amp;LEFT(AI327,2)</f>
        <v/>
      </c>
      <c r="AD327" s="15" t="n"/>
      <c r="AE327" s="15">
        <f>IF(K327&gt;L327,1,0)</f>
        <v/>
      </c>
      <c r="AF327" s="16">
        <f>IF(H327&gt;I327,1,0)</f>
        <v/>
      </c>
      <c r="AG327" s="16">
        <f>IF(SUM(AE327:AF327)=2,"Anticipatory_Buy","No_Action")</f>
        <v/>
      </c>
      <c r="AH327" s="15" t="n"/>
      <c r="AI327" s="15">
        <f>IF(SUM(AJ327:AK327)=2,"Confirm_Buy","No_Action")</f>
        <v/>
      </c>
      <c r="AJ327" s="15">
        <f>IF(H327&gt;I327,1,0)</f>
        <v/>
      </c>
      <c r="AK327" s="15">
        <f>IF(K327&gt;M327,1,0)</f>
        <v/>
      </c>
    </row>
    <row r="328" ht="14.5" customHeight="1">
      <c r="A328" s="12" t="inlineStr">
        <is>
          <t>USHAMART</t>
        </is>
      </c>
      <c r="B328" s="13">
        <f>IFERROR(__xludf.DUMMYFUNCTION("GOOGLEFINANCE(""NSE:""&amp;A328,""PRICE"")"),409.05)</f>
        <v/>
      </c>
      <c r="C328" s="13">
        <f>IFERROR(__xludf.DUMMYFUNCTION("GOOGLEFINANCE(""NSE:""&amp;A328,""PRICEOPEN"")"),407.6)</f>
        <v/>
      </c>
      <c r="D328" s="13">
        <f>IFERROR(__xludf.DUMMYFUNCTION("GOOGLEFINANCE(""NSE:""&amp;A328,""HIGH"")"),414.85)</f>
        <v/>
      </c>
      <c r="E328" s="13">
        <f>IFERROR(__xludf.DUMMYFUNCTION("GOOGLEFINANCE(""NSE:""&amp;A328,""LOW"")"),406.15)</f>
        <v/>
      </c>
      <c r="F328" s="13">
        <f>IFERROR(__xludf.DUMMYFUNCTION("GOOGLEFINANCE(""NSE:""&amp;A328,""closeyest"")"),407.6)</f>
        <v/>
      </c>
      <c r="G328" s="14">
        <f>(B328-C328)/B328</f>
        <v/>
      </c>
      <c r="H328" s="13">
        <f>IFERROR(__xludf.DUMMYFUNCTION("GOOGLEFINANCE(""NSE:""&amp;A328,""VOLUME"")"),476984)</f>
        <v/>
      </c>
      <c r="I328" s="13">
        <f>IFERROR(__xludf.DUMMYFUNCTION("AVERAGE(index(GOOGLEFINANCE(""NSE:""&amp;$A328, ""volume"", today()-21, today()-1), , 2))"),"#N/A")</f>
        <v/>
      </c>
      <c r="J328" s="14">
        <f>(H328-I328)/I328</f>
        <v/>
      </c>
      <c r="K328" s="13">
        <f>IFERROR(__xludf.DUMMYFUNCTION("AVERAGE(index(GOOGLEFINANCE(""NSE:""&amp;$A328, ""close"", today()-6, today()-1), , 2))"),"#N/A")</f>
        <v/>
      </c>
      <c r="L328" s="13">
        <f>IFERROR(__xludf.DUMMYFUNCTION("AVERAGE(index(GOOGLEFINANCE(""NSE:""&amp;$A328, ""close"", today()-14, today()-1), , 2))"),"#N/A")</f>
        <v/>
      </c>
      <c r="M328" s="13">
        <f>IFERROR(__xludf.DUMMYFUNCTION("AVERAGE(index(GOOGLEFINANCE(""NSE:""&amp;$A328, ""close"", today()-22, today()-1), , 2))"),"#N/A")</f>
        <v/>
      </c>
      <c r="N328" s="13">
        <f>AG328</f>
        <v/>
      </c>
      <c r="O328" s="13">
        <f>AI328</f>
        <v/>
      </c>
      <c r="P328" s="13">
        <f>W328</f>
        <v/>
      </c>
      <c r="Q328" s="13">
        <f>Y328</f>
        <v/>
      </c>
      <c r="R328" s="15" t="n"/>
      <c r="S328" s="15">
        <f>LEFT(W328,2)&amp;LEFT(Y328,2)</f>
        <v/>
      </c>
      <c r="T328" s="15" t="n"/>
      <c r="U328" s="15">
        <f>IF(K328&lt;L328,1,0)</f>
        <v/>
      </c>
      <c r="V328" s="15">
        <f>IF(H328&gt;I328,1,0)</f>
        <v/>
      </c>
      <c r="W328" s="15">
        <f>IF(SUM(U328:V328)=2,"Anticipatory_Sell","No_Action")</f>
        <v/>
      </c>
      <c r="X328" s="15" t="n"/>
      <c r="Y328" s="15">
        <f>IF(SUM(Z328:AA328)=2,"Confirm_Sell","No_Action")</f>
        <v/>
      </c>
      <c r="Z328" s="15">
        <f>IF(H328&gt;I328,1,0)</f>
        <v/>
      </c>
      <c r="AA328" s="15">
        <f>IF(K328&lt;M328,1,0)</f>
        <v/>
      </c>
      <c r="AB328" s="15" t="n"/>
      <c r="AC328" s="15">
        <f>LEFT(AG328,2)&amp;LEFT(AI328,2)</f>
        <v/>
      </c>
      <c r="AD328" s="15" t="n"/>
      <c r="AE328" s="15">
        <f>IF(K328&gt;L328,1,0)</f>
        <v/>
      </c>
      <c r="AF328" s="16">
        <f>IF(H328&gt;I328,1,0)</f>
        <v/>
      </c>
      <c r="AG328" s="16">
        <f>IF(SUM(AE328:AF328)=2,"Anticipatory_Buy","No_Action")</f>
        <v/>
      </c>
      <c r="AH328" s="15" t="n"/>
      <c r="AI328" s="15">
        <f>IF(SUM(AJ328:AK328)=2,"Confirm_Buy","No_Action")</f>
        <v/>
      </c>
      <c r="AJ328" s="15">
        <f>IF(H328&gt;I328,1,0)</f>
        <v/>
      </c>
      <c r="AK328" s="15">
        <f>IF(K328&gt;M328,1,0)</f>
        <v/>
      </c>
    </row>
    <row r="329" ht="14.5" customHeight="1">
      <c r="A329" s="12" t="inlineStr">
        <is>
          <t>UTIAMC</t>
        </is>
      </c>
      <c r="B329" s="13">
        <f>IFERROR(__xludf.DUMMYFUNCTION("GOOGLEFINANCE(""NSE:""&amp;A329,""PRICE"")"),1365.55)</f>
        <v/>
      </c>
      <c r="C329" s="13">
        <f>IFERROR(__xludf.DUMMYFUNCTION("GOOGLEFINANCE(""NSE:""&amp;A329,""PRICEOPEN"")"),1332.75)</f>
        <v/>
      </c>
      <c r="D329" s="13">
        <f>IFERROR(__xludf.DUMMYFUNCTION("GOOGLEFINANCE(""NSE:""&amp;A329,""HIGH"")"),1384)</f>
        <v/>
      </c>
      <c r="E329" s="13">
        <f>IFERROR(__xludf.DUMMYFUNCTION("GOOGLEFINANCE(""NSE:""&amp;A329,""LOW"")"),1330)</f>
        <v/>
      </c>
      <c r="F329" s="13">
        <f>IFERROR(__xludf.DUMMYFUNCTION("GOOGLEFINANCE(""NSE:""&amp;A329,""closeyest"")"),1325.9)</f>
        <v/>
      </c>
      <c r="G329" s="14">
        <f>(B329-C329)/B329</f>
        <v/>
      </c>
      <c r="H329" s="13">
        <f>IFERROR(__xludf.DUMMYFUNCTION("GOOGLEFINANCE(""NSE:""&amp;A329,""VOLUME"")"),412167)</f>
        <v/>
      </c>
      <c r="I329" s="13">
        <f>IFERROR(__xludf.DUMMYFUNCTION("AVERAGE(index(GOOGLEFINANCE(""NSE:""&amp;$A329, ""volume"", today()-21, today()-1), , 2))"),"#N/A")</f>
        <v/>
      </c>
      <c r="J329" s="14">
        <f>(H329-I329)/I329</f>
        <v/>
      </c>
      <c r="K329" s="13">
        <f>IFERROR(__xludf.DUMMYFUNCTION("AVERAGE(index(GOOGLEFINANCE(""NSE:""&amp;$A329, ""close"", today()-6, today()-1), , 2))"),"#N/A")</f>
        <v/>
      </c>
      <c r="L329" s="13">
        <f>IFERROR(__xludf.DUMMYFUNCTION("AVERAGE(index(GOOGLEFINANCE(""NSE:""&amp;$A329, ""close"", today()-14, today()-1), , 2))"),"#N/A")</f>
        <v/>
      </c>
      <c r="M329" s="13">
        <f>IFERROR(__xludf.DUMMYFUNCTION("AVERAGE(index(GOOGLEFINANCE(""NSE:""&amp;$A329, ""close"", today()-22, today()-1), , 2))"),"#N/A")</f>
        <v/>
      </c>
      <c r="N329" s="13">
        <f>AG329</f>
        <v/>
      </c>
      <c r="O329" s="13">
        <f>AI329</f>
        <v/>
      </c>
      <c r="P329" s="13">
        <f>W329</f>
        <v/>
      </c>
      <c r="Q329" s="13">
        <f>Y329</f>
        <v/>
      </c>
      <c r="R329" s="15" t="n"/>
      <c r="S329" s="15">
        <f>LEFT(W329,2)&amp;LEFT(Y329,2)</f>
        <v/>
      </c>
      <c r="T329" s="15" t="n"/>
      <c r="U329" s="15">
        <f>IF(K329&lt;L329,1,0)</f>
        <v/>
      </c>
      <c r="V329" s="15">
        <f>IF(H329&gt;I329,1,0)</f>
        <v/>
      </c>
      <c r="W329" s="15">
        <f>IF(SUM(U329:V329)=2,"Anticipatory_Sell","No_Action")</f>
        <v/>
      </c>
      <c r="X329" s="15" t="n"/>
      <c r="Y329" s="15">
        <f>IF(SUM(Z329:AA329)=2,"Confirm_Sell","No_Action")</f>
        <v/>
      </c>
      <c r="Z329" s="15">
        <f>IF(H329&gt;I329,1,0)</f>
        <v/>
      </c>
      <c r="AA329" s="15">
        <f>IF(K329&lt;M329,1,0)</f>
        <v/>
      </c>
      <c r="AB329" s="15" t="n"/>
      <c r="AC329" s="15">
        <f>LEFT(AG329,2)&amp;LEFT(AI329,2)</f>
        <v/>
      </c>
      <c r="AD329" s="15" t="n"/>
      <c r="AE329" s="15">
        <f>IF(K329&gt;L329,1,0)</f>
        <v/>
      </c>
      <c r="AF329" s="16">
        <f>IF(H329&gt;I329,1,0)</f>
        <v/>
      </c>
      <c r="AG329" s="16">
        <f>IF(SUM(AE329:AF329)=2,"Anticipatory_Buy","No_Action")</f>
        <v/>
      </c>
      <c r="AH329" s="15" t="n"/>
      <c r="AI329" s="15">
        <f>IF(SUM(AJ329:AK329)=2,"Confirm_Buy","No_Action")</f>
        <v/>
      </c>
      <c r="AJ329" s="15">
        <f>IF(H329&gt;I329,1,0)</f>
        <v/>
      </c>
      <c r="AK329" s="15">
        <f>IF(K329&gt;M329,1,0)</f>
        <v/>
      </c>
    </row>
    <row r="330" ht="14.5" customHeight="1">
      <c r="A330" s="12" t="inlineStr">
        <is>
          <t>VADILALIND</t>
        </is>
      </c>
      <c r="B330" s="13">
        <f>IFERROR(__xludf.DUMMYFUNCTION("GOOGLEFINANCE(""NSE:""&amp;A330,""PRICE"")"),4182)</f>
        <v/>
      </c>
      <c r="C330" s="13">
        <f>IFERROR(__xludf.DUMMYFUNCTION("GOOGLEFINANCE(""NSE:""&amp;A330,""PRICEOPEN"")"),4266.45)</f>
        <v/>
      </c>
      <c r="D330" s="13">
        <f>IFERROR(__xludf.DUMMYFUNCTION("GOOGLEFINANCE(""NSE:""&amp;A330,""HIGH"")"),4270.45)</f>
        <v/>
      </c>
      <c r="E330" s="13">
        <f>IFERROR(__xludf.DUMMYFUNCTION("GOOGLEFINANCE(""NSE:""&amp;A330,""LOW"")"),4155)</f>
        <v/>
      </c>
      <c r="F330" s="13">
        <f>IFERROR(__xludf.DUMMYFUNCTION("GOOGLEFINANCE(""NSE:""&amp;A330,""closeyest"")"),4203.4)</f>
        <v/>
      </c>
      <c r="G330" s="14">
        <f>(B330-C330)/B330</f>
        <v/>
      </c>
      <c r="H330" s="13">
        <f>IFERROR(__xludf.DUMMYFUNCTION("GOOGLEFINANCE(""NSE:""&amp;A330,""VOLUME"")"),4262)</f>
        <v/>
      </c>
      <c r="I330" s="13">
        <f>IFERROR(__xludf.DUMMYFUNCTION("AVERAGE(index(GOOGLEFINANCE(""NSE:""&amp;$A330, ""volume"", today()-21, today()-1), , 2))"),"#N/A")</f>
        <v/>
      </c>
      <c r="J330" s="14">
        <f>(H330-I330)/I330</f>
        <v/>
      </c>
      <c r="K330" s="13">
        <f>IFERROR(__xludf.DUMMYFUNCTION("AVERAGE(index(GOOGLEFINANCE(""NSE:""&amp;$A330, ""close"", today()-6, today()-1), , 2))"),"#N/A")</f>
        <v/>
      </c>
      <c r="L330" s="13">
        <f>IFERROR(__xludf.DUMMYFUNCTION("AVERAGE(index(GOOGLEFINANCE(""NSE:""&amp;$A330, ""close"", today()-14, today()-1), , 2))"),"#N/A")</f>
        <v/>
      </c>
      <c r="M330" s="13">
        <f>IFERROR(__xludf.DUMMYFUNCTION("AVERAGE(index(GOOGLEFINANCE(""NSE:""&amp;$A330, ""close"", today()-22, today()-1), , 2))"),"#N/A")</f>
        <v/>
      </c>
      <c r="N330" s="13">
        <f>AG330</f>
        <v/>
      </c>
      <c r="O330" s="13">
        <f>AI330</f>
        <v/>
      </c>
      <c r="P330" s="13">
        <f>W330</f>
        <v/>
      </c>
      <c r="Q330" s="13">
        <f>Y330</f>
        <v/>
      </c>
      <c r="R330" s="15" t="n"/>
      <c r="S330" s="15">
        <f>LEFT(W330,2)&amp;LEFT(Y330,2)</f>
        <v/>
      </c>
      <c r="T330" s="15" t="n"/>
      <c r="U330" s="15">
        <f>IF(K330&lt;L330,1,0)</f>
        <v/>
      </c>
      <c r="V330" s="15">
        <f>IF(H330&gt;I330,1,0)</f>
        <v/>
      </c>
      <c r="W330" s="15">
        <f>IF(SUM(U330:V330)=2,"Anticipatory_Sell","No_Action")</f>
        <v/>
      </c>
      <c r="X330" s="15" t="n"/>
      <c r="Y330" s="15">
        <f>IF(SUM(Z330:AA330)=2,"Confirm_Sell","No_Action")</f>
        <v/>
      </c>
      <c r="Z330" s="15">
        <f>IF(H330&gt;I330,1,0)</f>
        <v/>
      </c>
      <c r="AA330" s="15">
        <f>IF(K330&lt;M330,1,0)</f>
        <v/>
      </c>
      <c r="AB330" s="15" t="n"/>
      <c r="AC330" s="15">
        <f>LEFT(AG330,2)&amp;LEFT(AI330,2)</f>
        <v/>
      </c>
      <c r="AD330" s="15" t="n"/>
      <c r="AE330" s="15">
        <f>IF(K330&gt;L330,1,0)</f>
        <v/>
      </c>
      <c r="AF330" s="16">
        <f>IF(H330&gt;I330,1,0)</f>
        <v/>
      </c>
      <c r="AG330" s="16">
        <f>IF(SUM(AE330:AF330)=2,"Anticipatory_Buy","No_Action")</f>
        <v/>
      </c>
      <c r="AH330" s="15" t="n"/>
      <c r="AI330" s="15">
        <f>IF(SUM(AJ330:AK330)=2,"Confirm_Buy","No_Action")</f>
        <v/>
      </c>
      <c r="AJ330" s="15">
        <f>IF(H330&gt;I330,1,0)</f>
        <v/>
      </c>
      <c r="AK330" s="15">
        <f>IF(K330&gt;M330,1,0)</f>
        <v/>
      </c>
    </row>
    <row r="331" ht="14.5" customHeight="1">
      <c r="A331" s="12" t="inlineStr">
        <is>
          <t>VBL</t>
        </is>
      </c>
      <c r="B331" s="13">
        <f>IFERROR(__xludf.DUMMYFUNCTION("GOOGLEFINANCE(""NSE:""&amp;A331,""PRICE"")"),642.75)</f>
        <v/>
      </c>
      <c r="C331" s="13">
        <f>IFERROR(__xludf.DUMMYFUNCTION("GOOGLEFINANCE(""NSE:""&amp;A331,""PRICEOPEN"")"),644)</f>
        <v/>
      </c>
      <c r="D331" s="13">
        <f>IFERROR(__xludf.DUMMYFUNCTION("GOOGLEFINANCE(""NSE:""&amp;A331,""HIGH"")"),650)</f>
        <v/>
      </c>
      <c r="E331" s="13">
        <f>IFERROR(__xludf.DUMMYFUNCTION("GOOGLEFINANCE(""NSE:""&amp;A331,""LOW"")"),639.2)</f>
        <v/>
      </c>
      <c r="F331" s="13">
        <f>IFERROR(__xludf.DUMMYFUNCTION("GOOGLEFINANCE(""NSE:""&amp;A331,""closeyest"")"),644.05)</f>
        <v/>
      </c>
      <c r="G331" s="14">
        <f>(B331-C331)/B331</f>
        <v/>
      </c>
      <c r="H331" s="13">
        <f>IFERROR(__xludf.DUMMYFUNCTION("GOOGLEFINANCE(""NSE:""&amp;A331,""VOLUME"")"),6600185)</f>
        <v/>
      </c>
      <c r="I331" s="13">
        <f>IFERROR(__xludf.DUMMYFUNCTION("AVERAGE(index(GOOGLEFINANCE(""NSE:""&amp;$A331, ""volume"", today()-21, today()-1), , 2))"),"#N/A")</f>
        <v/>
      </c>
      <c r="J331" s="14">
        <f>(H331-I331)/I331</f>
        <v/>
      </c>
      <c r="K331" s="13">
        <f>IFERROR(__xludf.DUMMYFUNCTION("AVERAGE(index(GOOGLEFINANCE(""NSE:""&amp;$A331, ""close"", today()-6, today()-1), , 2))"),"#N/A")</f>
        <v/>
      </c>
      <c r="L331" s="13">
        <f>IFERROR(__xludf.DUMMYFUNCTION("AVERAGE(index(GOOGLEFINANCE(""NSE:""&amp;$A331, ""close"", today()-14, today()-1), , 2))"),"#N/A")</f>
        <v/>
      </c>
      <c r="M331" s="13">
        <f>IFERROR(__xludf.DUMMYFUNCTION("AVERAGE(index(GOOGLEFINANCE(""NSE:""&amp;$A331, ""close"", today()-22, today()-1), , 2))"),"#N/A")</f>
        <v/>
      </c>
      <c r="N331" s="13">
        <f>AG331</f>
        <v/>
      </c>
      <c r="O331" s="13">
        <f>AI331</f>
        <v/>
      </c>
      <c r="P331" s="13">
        <f>W331</f>
        <v/>
      </c>
      <c r="Q331" s="13">
        <f>Y331</f>
        <v/>
      </c>
      <c r="R331" s="15" t="n"/>
      <c r="S331" s="15">
        <f>LEFT(W331,2)&amp;LEFT(Y331,2)</f>
        <v/>
      </c>
      <c r="T331" s="15" t="n"/>
      <c r="U331" s="15">
        <f>IF(K331&lt;L331,1,0)</f>
        <v/>
      </c>
      <c r="V331" s="15">
        <f>IF(H331&gt;I331,1,0)</f>
        <v/>
      </c>
      <c r="W331" s="15">
        <f>IF(SUM(U331:V331)=2,"Anticipatory_Sell","No_Action")</f>
        <v/>
      </c>
      <c r="X331" s="15" t="n"/>
      <c r="Y331" s="15">
        <f>IF(SUM(Z331:AA331)=2,"Confirm_Sell","No_Action")</f>
        <v/>
      </c>
      <c r="Z331" s="15">
        <f>IF(H331&gt;I331,1,0)</f>
        <v/>
      </c>
      <c r="AA331" s="15">
        <f>IF(K331&lt;M331,1,0)</f>
        <v/>
      </c>
      <c r="AB331" s="15" t="n"/>
      <c r="AC331" s="15">
        <f>LEFT(AG331,2)&amp;LEFT(AI331,2)</f>
        <v/>
      </c>
      <c r="AD331" s="15" t="n"/>
      <c r="AE331" s="15">
        <f>IF(K331&gt;L331,1,0)</f>
        <v/>
      </c>
      <c r="AF331" s="16">
        <f>IF(H331&gt;I331,1,0)</f>
        <v/>
      </c>
      <c r="AG331" s="16">
        <f>IF(SUM(AE331:AF331)=2,"Anticipatory_Buy","No_Action")</f>
        <v/>
      </c>
      <c r="AH331" s="15" t="n"/>
      <c r="AI331" s="15">
        <f>IF(SUM(AJ331:AK331)=2,"Confirm_Buy","No_Action")</f>
        <v/>
      </c>
      <c r="AJ331" s="15">
        <f>IF(H331&gt;I331,1,0)</f>
        <v/>
      </c>
      <c r="AK331" s="15">
        <f>IF(K331&gt;M331,1,0)</f>
        <v/>
      </c>
    </row>
    <row r="332" ht="14.5" customHeight="1">
      <c r="A332" s="12" t="inlineStr">
        <is>
          <t>VEDL</t>
        </is>
      </c>
      <c r="B332" s="13">
        <f>IFERROR(__xludf.DUMMYFUNCTION("GOOGLEFINANCE(""NSE:""&amp;A332,""PRICE"")"),496.25)</f>
        <v/>
      </c>
      <c r="C332" s="13">
        <f>IFERROR(__xludf.DUMMYFUNCTION("GOOGLEFINANCE(""NSE:""&amp;A332,""PRICEOPEN"")"),499.95)</f>
        <v/>
      </c>
      <c r="D332" s="13">
        <f>IFERROR(__xludf.DUMMYFUNCTION("GOOGLEFINANCE(""NSE:""&amp;A332,""HIGH"")"),501.7)</f>
        <v/>
      </c>
      <c r="E332" s="13">
        <f>IFERROR(__xludf.DUMMYFUNCTION("GOOGLEFINANCE(""NSE:""&amp;A332,""LOW"")"),488.8)</f>
        <v/>
      </c>
      <c r="F332" s="13">
        <f>IFERROR(__xludf.DUMMYFUNCTION("GOOGLEFINANCE(""NSE:""&amp;A332,""closeyest"")"),501.4)</f>
        <v/>
      </c>
      <c r="G332" s="14">
        <f>(B332-C332)/B332</f>
        <v/>
      </c>
      <c r="H332" s="13">
        <f>IFERROR(__xludf.DUMMYFUNCTION("GOOGLEFINANCE(""NSE:""&amp;A332,""VOLUME"")"),11524481)</f>
        <v/>
      </c>
      <c r="I332" s="13">
        <f>IFERROR(__xludf.DUMMYFUNCTION("AVERAGE(index(GOOGLEFINANCE(""NSE:""&amp;$A332, ""volume"", today()-21, today()-1), , 2))"),"#N/A")</f>
        <v/>
      </c>
      <c r="J332" s="14">
        <f>(H332-I332)/I332</f>
        <v/>
      </c>
      <c r="K332" s="13">
        <f>IFERROR(__xludf.DUMMYFUNCTION("AVERAGE(index(GOOGLEFINANCE(""NSE:""&amp;$A332, ""close"", today()-6, today()-1), , 2))"),"#N/A")</f>
        <v/>
      </c>
      <c r="L332" s="13">
        <f>IFERROR(__xludf.DUMMYFUNCTION("AVERAGE(index(GOOGLEFINANCE(""NSE:""&amp;$A332, ""close"", today()-14, today()-1), , 2))"),"#N/A")</f>
        <v/>
      </c>
      <c r="M332" s="13">
        <f>IFERROR(__xludf.DUMMYFUNCTION("AVERAGE(index(GOOGLEFINANCE(""NSE:""&amp;$A332, ""close"", today()-22, today()-1), , 2))"),"#N/A")</f>
        <v/>
      </c>
      <c r="N332" s="13">
        <f>AG332</f>
        <v/>
      </c>
      <c r="O332" s="13">
        <f>AI332</f>
        <v/>
      </c>
      <c r="P332" s="13">
        <f>W332</f>
        <v/>
      </c>
      <c r="Q332" s="13">
        <f>Y332</f>
        <v/>
      </c>
      <c r="R332" s="15" t="n"/>
      <c r="S332" s="15">
        <f>LEFT(W332,2)&amp;LEFT(Y332,2)</f>
        <v/>
      </c>
      <c r="T332" s="15" t="n"/>
      <c r="U332" s="15">
        <f>IF(K332&lt;L332,1,0)</f>
        <v/>
      </c>
      <c r="V332" s="15">
        <f>IF(H332&gt;I332,1,0)</f>
        <v/>
      </c>
      <c r="W332" s="15">
        <f>IF(SUM(U332:V332)=2,"Anticipatory_Sell","No_Action")</f>
        <v/>
      </c>
      <c r="X332" s="15" t="n"/>
      <c r="Y332" s="15">
        <f>IF(SUM(Z332:AA332)=2,"Confirm_Sell","No_Action")</f>
        <v/>
      </c>
      <c r="Z332" s="15">
        <f>IF(H332&gt;I332,1,0)</f>
        <v/>
      </c>
      <c r="AA332" s="15">
        <f>IF(K332&lt;M332,1,0)</f>
        <v/>
      </c>
      <c r="AB332" s="15" t="n"/>
      <c r="AC332" s="15">
        <f>LEFT(AG332,2)&amp;LEFT(AI332,2)</f>
        <v/>
      </c>
      <c r="AD332" s="15" t="n"/>
      <c r="AE332" s="15">
        <f>IF(K332&gt;L332,1,0)</f>
        <v/>
      </c>
      <c r="AF332" s="16">
        <f>IF(H332&gt;I332,1,0)</f>
        <v/>
      </c>
      <c r="AG332" s="16">
        <f>IF(SUM(AE332:AF332)=2,"Anticipatory_Buy","No_Action")</f>
        <v/>
      </c>
      <c r="AH332" s="15" t="n"/>
      <c r="AI332" s="15">
        <f>IF(SUM(AJ332:AK332)=2,"Confirm_Buy","No_Action")</f>
        <v/>
      </c>
      <c r="AJ332" s="15">
        <f>IF(H332&gt;I332,1,0)</f>
        <v/>
      </c>
      <c r="AK332" s="15">
        <f>IF(K332&gt;M332,1,0)</f>
        <v/>
      </c>
    </row>
    <row r="333" ht="14.5" customHeight="1">
      <c r="A333" s="12" t="inlineStr">
        <is>
          <t>VIDHIING</t>
        </is>
      </c>
      <c r="B333" s="13">
        <f>IFERROR(__xludf.DUMMYFUNCTION("GOOGLEFINANCE(""NSE:""&amp;A333,""PRICE"")"),534.5)</f>
        <v/>
      </c>
      <c r="C333" s="13">
        <f>IFERROR(__xludf.DUMMYFUNCTION("GOOGLEFINANCE(""NSE:""&amp;A333,""PRICEOPEN"")"),485.9)</f>
        <v/>
      </c>
      <c r="D333" s="13">
        <f>IFERROR(__xludf.DUMMYFUNCTION("GOOGLEFINANCE(""NSE:""&amp;A333,""HIGH"")"),534.5)</f>
        <v/>
      </c>
      <c r="E333" s="13">
        <f>IFERROR(__xludf.DUMMYFUNCTION("GOOGLEFINANCE(""NSE:""&amp;A333,""LOW"")"),480.15)</f>
        <v/>
      </c>
      <c r="F333" s="13">
        <f>IFERROR(__xludf.DUMMYFUNCTION("GOOGLEFINANCE(""NSE:""&amp;A333,""closeyest"")"),480.5)</f>
        <v/>
      </c>
      <c r="G333" s="14">
        <f>(B333-C333)/B333</f>
        <v/>
      </c>
      <c r="H333" s="13">
        <f>IFERROR(__xludf.DUMMYFUNCTION("GOOGLEFINANCE(""NSE:""&amp;A333,""VOLUME"")"),447563)</f>
        <v/>
      </c>
      <c r="I333" s="13">
        <f>IFERROR(__xludf.DUMMYFUNCTION("AVERAGE(index(GOOGLEFINANCE(""NSE:""&amp;$A333, ""volume"", today()-21, today()-1), , 2))"),"#N/A")</f>
        <v/>
      </c>
      <c r="J333" s="14">
        <f>(H333-I333)/I333</f>
        <v/>
      </c>
      <c r="K333" s="13">
        <f>IFERROR(__xludf.DUMMYFUNCTION("AVERAGE(index(GOOGLEFINANCE(""NSE:""&amp;$A333, ""close"", today()-6, today()-1), , 2))"),"#N/A")</f>
        <v/>
      </c>
      <c r="L333" s="13">
        <f>IFERROR(__xludf.DUMMYFUNCTION("AVERAGE(index(GOOGLEFINANCE(""NSE:""&amp;$A333, ""close"", today()-14, today()-1), , 2))"),"#N/A")</f>
        <v/>
      </c>
      <c r="M333" s="13">
        <f>IFERROR(__xludf.DUMMYFUNCTION("AVERAGE(index(GOOGLEFINANCE(""NSE:""&amp;$A333, ""close"", today()-22, today()-1), , 2))"),"#N/A")</f>
        <v/>
      </c>
      <c r="N333" s="13">
        <f>AG333</f>
        <v/>
      </c>
      <c r="O333" s="13">
        <f>AI333</f>
        <v/>
      </c>
      <c r="P333" s="13">
        <f>W333</f>
        <v/>
      </c>
      <c r="Q333" s="13">
        <f>Y333</f>
        <v/>
      </c>
      <c r="R333" s="15" t="n"/>
      <c r="S333" s="15">
        <f>LEFT(W333,2)&amp;LEFT(Y333,2)</f>
        <v/>
      </c>
      <c r="T333" s="15" t="n"/>
      <c r="U333" s="15">
        <f>IF(K333&lt;L333,1,0)</f>
        <v/>
      </c>
      <c r="V333" s="15">
        <f>IF(H333&gt;I333,1,0)</f>
        <v/>
      </c>
      <c r="W333" s="15">
        <f>IF(SUM(U333:V333)=2,"Anticipatory_Sell","No_Action")</f>
        <v/>
      </c>
      <c r="X333" s="15" t="n"/>
      <c r="Y333" s="15">
        <f>IF(SUM(Z333:AA333)=2,"Confirm_Sell","No_Action")</f>
        <v/>
      </c>
      <c r="Z333" s="15">
        <f>IF(H333&gt;I333,1,0)</f>
        <v/>
      </c>
      <c r="AA333" s="15">
        <f>IF(K333&lt;M333,1,0)</f>
        <v/>
      </c>
      <c r="AB333" s="15" t="n"/>
      <c r="AC333" s="15">
        <f>LEFT(AG333,2)&amp;LEFT(AI333,2)</f>
        <v/>
      </c>
      <c r="AD333" s="15" t="n"/>
      <c r="AE333" s="15">
        <f>IF(K333&gt;L333,1,0)</f>
        <v/>
      </c>
      <c r="AF333" s="16">
        <f>IF(H333&gt;I333,1,0)</f>
        <v/>
      </c>
      <c r="AG333" s="16">
        <f>IF(SUM(AE333:AF333)=2,"Anticipatory_Buy","No_Action")</f>
        <v/>
      </c>
      <c r="AH333" s="15" t="n"/>
      <c r="AI333" s="15">
        <f>IF(SUM(AJ333:AK333)=2,"Confirm_Buy","No_Action")</f>
        <v/>
      </c>
      <c r="AJ333" s="15">
        <f>IF(H333&gt;I333,1,0)</f>
        <v/>
      </c>
      <c r="AK333" s="15">
        <f>IF(K333&gt;M333,1,0)</f>
        <v/>
      </c>
    </row>
    <row r="334" ht="14.5" customHeight="1">
      <c r="A334" s="12" t="inlineStr">
        <is>
          <t>VIJAYA</t>
        </is>
      </c>
      <c r="B334" s="13">
        <f>IFERROR(__xludf.DUMMYFUNCTION("GOOGLEFINANCE(""NSE:""&amp;A334,""PRICE"")"),1124)</f>
        <v/>
      </c>
      <c r="C334" s="13">
        <f>IFERROR(__xludf.DUMMYFUNCTION("GOOGLEFINANCE(""NSE:""&amp;A334,""PRICEOPEN"")"),1140)</f>
        <v/>
      </c>
      <c r="D334" s="13">
        <f>IFERROR(__xludf.DUMMYFUNCTION("GOOGLEFINANCE(""NSE:""&amp;A334,""HIGH"")"),1148.9)</f>
        <v/>
      </c>
      <c r="E334" s="13">
        <f>IFERROR(__xludf.DUMMYFUNCTION("GOOGLEFINANCE(""NSE:""&amp;A334,""LOW"")"),1122.3)</f>
        <v/>
      </c>
      <c r="F334" s="13">
        <f>IFERROR(__xludf.DUMMYFUNCTION("GOOGLEFINANCE(""NSE:""&amp;A334,""closeyest"")"),1141.95)</f>
        <v/>
      </c>
      <c r="G334" s="14">
        <f>(B334-C334)/B334</f>
        <v/>
      </c>
      <c r="H334" s="13">
        <f>IFERROR(__xludf.DUMMYFUNCTION("GOOGLEFINANCE(""NSE:""&amp;A334,""VOLUME"")"),118932)</f>
        <v/>
      </c>
      <c r="I334" s="13">
        <f>IFERROR(__xludf.DUMMYFUNCTION("AVERAGE(index(GOOGLEFINANCE(""NSE:""&amp;$A334, ""volume"", today()-21, today()-1), , 2))"),"#N/A")</f>
        <v/>
      </c>
      <c r="J334" s="14">
        <f>(H334-I334)/I334</f>
        <v/>
      </c>
      <c r="K334" s="13">
        <f>IFERROR(__xludf.DUMMYFUNCTION("AVERAGE(index(GOOGLEFINANCE(""NSE:""&amp;$A334, ""close"", today()-6, today()-1), , 2))"),"#N/A")</f>
        <v/>
      </c>
      <c r="L334" s="13">
        <f>IFERROR(__xludf.DUMMYFUNCTION("AVERAGE(index(GOOGLEFINANCE(""NSE:""&amp;$A334, ""close"", today()-14, today()-1), , 2))"),"#N/A")</f>
        <v/>
      </c>
      <c r="M334" s="13">
        <f>IFERROR(__xludf.DUMMYFUNCTION("AVERAGE(index(GOOGLEFINANCE(""NSE:""&amp;$A334, ""close"", today()-22, today()-1), , 2))"),"#N/A")</f>
        <v/>
      </c>
      <c r="N334" s="13">
        <f>AG334</f>
        <v/>
      </c>
      <c r="O334" s="13">
        <f>AI334</f>
        <v/>
      </c>
      <c r="P334" s="13">
        <f>W334</f>
        <v/>
      </c>
      <c r="Q334" s="13">
        <f>Y334</f>
        <v/>
      </c>
      <c r="R334" s="15" t="n"/>
      <c r="S334" s="15">
        <f>LEFT(W334,2)&amp;LEFT(Y334,2)</f>
        <v/>
      </c>
      <c r="T334" s="15" t="n"/>
      <c r="U334" s="15">
        <f>IF(K334&lt;L334,1,0)</f>
        <v/>
      </c>
      <c r="V334" s="15">
        <f>IF(H334&gt;I334,1,0)</f>
        <v/>
      </c>
      <c r="W334" s="15">
        <f>IF(SUM(U334:V334)=2,"Anticipatory_Sell","No_Action")</f>
        <v/>
      </c>
      <c r="X334" s="15" t="n"/>
      <c r="Y334" s="15">
        <f>IF(SUM(Z334:AA334)=2,"Confirm_Sell","No_Action")</f>
        <v/>
      </c>
      <c r="Z334" s="15">
        <f>IF(H334&gt;I334,1,0)</f>
        <v/>
      </c>
      <c r="AA334" s="15">
        <f>IF(K334&lt;M334,1,0)</f>
        <v/>
      </c>
      <c r="AB334" s="15" t="n"/>
      <c r="AC334" s="15">
        <f>LEFT(AG334,2)&amp;LEFT(AI334,2)</f>
        <v/>
      </c>
      <c r="AD334" s="15" t="n"/>
      <c r="AE334" s="15">
        <f>IF(K334&gt;L334,1,0)</f>
        <v/>
      </c>
      <c r="AF334" s="16">
        <f>IF(H334&gt;I334,1,0)</f>
        <v/>
      </c>
      <c r="AG334" s="16">
        <f>IF(SUM(AE334:AF334)=2,"Anticipatory_Buy","No_Action")</f>
        <v/>
      </c>
      <c r="AH334" s="15" t="n"/>
      <c r="AI334" s="15">
        <f>IF(SUM(AJ334:AK334)=2,"Confirm_Buy","No_Action")</f>
        <v/>
      </c>
      <c r="AJ334" s="15">
        <f>IF(H334&gt;I334,1,0)</f>
        <v/>
      </c>
      <c r="AK334" s="15">
        <f>IF(K334&gt;M334,1,0)</f>
        <v/>
      </c>
    </row>
    <row r="335" ht="14.5" customHeight="1">
      <c r="A335" s="12" t="inlineStr">
        <is>
          <t>VIMTALABS</t>
        </is>
      </c>
      <c r="B335" s="13">
        <f>IFERROR(__xludf.DUMMYFUNCTION("GOOGLEFINANCE(""NSE:""&amp;A335,""PRICE"")"),911.5)</f>
        <v/>
      </c>
      <c r="C335" s="13">
        <f>IFERROR(__xludf.DUMMYFUNCTION("GOOGLEFINANCE(""NSE:""&amp;A335,""PRICEOPEN"")"),936.7)</f>
        <v/>
      </c>
      <c r="D335" s="13">
        <f>IFERROR(__xludf.DUMMYFUNCTION("GOOGLEFINANCE(""NSE:""&amp;A335,""HIGH"")"),936.7)</f>
        <v/>
      </c>
      <c r="E335" s="13">
        <f>IFERROR(__xludf.DUMMYFUNCTION("GOOGLEFINANCE(""NSE:""&amp;A335,""LOW"")"),906.65)</f>
        <v/>
      </c>
      <c r="F335" s="13">
        <f>IFERROR(__xludf.DUMMYFUNCTION("GOOGLEFINANCE(""NSE:""&amp;A335,""closeyest"")"),936.7)</f>
        <v/>
      </c>
      <c r="G335" s="14">
        <f>(B335-C335)/B335</f>
        <v/>
      </c>
      <c r="H335" s="13">
        <f>IFERROR(__xludf.DUMMYFUNCTION("GOOGLEFINANCE(""NSE:""&amp;A335,""VOLUME"")"),55352)</f>
        <v/>
      </c>
      <c r="I335" s="13">
        <f>IFERROR(__xludf.DUMMYFUNCTION("AVERAGE(index(GOOGLEFINANCE(""NSE:""&amp;$A335, ""volume"", today()-21, today()-1), , 2))"),"#N/A")</f>
        <v/>
      </c>
      <c r="J335" s="14">
        <f>(H335-I335)/I335</f>
        <v/>
      </c>
      <c r="K335" s="13">
        <f>IFERROR(__xludf.DUMMYFUNCTION("AVERAGE(index(GOOGLEFINANCE(""NSE:""&amp;$A335, ""close"", today()-6, today()-1), , 2))"),"#N/A")</f>
        <v/>
      </c>
      <c r="L335" s="13">
        <f>IFERROR(__xludf.DUMMYFUNCTION("AVERAGE(index(GOOGLEFINANCE(""NSE:""&amp;$A335, ""close"", today()-14, today()-1), , 2))"),"#N/A")</f>
        <v/>
      </c>
      <c r="M335" s="13">
        <f>IFERROR(__xludf.DUMMYFUNCTION("AVERAGE(index(GOOGLEFINANCE(""NSE:""&amp;$A335, ""close"", today()-22, today()-1), , 2))"),"#N/A")</f>
        <v/>
      </c>
      <c r="N335" s="13">
        <f>AG335</f>
        <v/>
      </c>
      <c r="O335" s="13">
        <f>AI335</f>
        <v/>
      </c>
      <c r="P335" s="13">
        <f>W335</f>
        <v/>
      </c>
      <c r="Q335" s="13">
        <f>Y335</f>
        <v/>
      </c>
      <c r="R335" s="15" t="n"/>
      <c r="S335" s="15">
        <f>LEFT(W335,2)&amp;LEFT(Y335,2)</f>
        <v/>
      </c>
      <c r="T335" s="15" t="n"/>
      <c r="U335" s="15">
        <f>IF(K335&lt;L335,1,0)</f>
        <v/>
      </c>
      <c r="V335" s="15">
        <f>IF(H335&gt;I335,1,0)</f>
        <v/>
      </c>
      <c r="W335" s="15">
        <f>IF(SUM(U335:V335)=2,"Anticipatory_Sell","No_Action")</f>
        <v/>
      </c>
      <c r="X335" s="15" t="n"/>
      <c r="Y335" s="15">
        <f>IF(SUM(Z335:AA335)=2,"Confirm_Sell","No_Action")</f>
        <v/>
      </c>
      <c r="Z335" s="15">
        <f>IF(H335&gt;I335,1,0)</f>
        <v/>
      </c>
      <c r="AA335" s="15">
        <f>IF(K335&lt;M335,1,0)</f>
        <v/>
      </c>
      <c r="AB335" s="15" t="n"/>
      <c r="AC335" s="15">
        <f>LEFT(AG335,2)&amp;LEFT(AI335,2)</f>
        <v/>
      </c>
      <c r="AD335" s="15" t="n"/>
      <c r="AE335" s="15">
        <f>IF(K335&gt;L335,1,0)</f>
        <v/>
      </c>
      <c r="AF335" s="16">
        <f>IF(H335&gt;I335,1,0)</f>
        <v/>
      </c>
      <c r="AG335" s="16">
        <f>IF(SUM(AE335:AF335)=2,"Anticipatory_Buy","No_Action")</f>
        <v/>
      </c>
      <c r="AH335" s="15" t="n"/>
      <c r="AI335" s="15">
        <f>IF(SUM(AJ335:AK335)=2,"Confirm_Buy","No_Action")</f>
        <v/>
      </c>
      <c r="AJ335" s="15">
        <f>IF(H335&gt;I335,1,0)</f>
        <v/>
      </c>
      <c r="AK335" s="15">
        <f>IF(K335&gt;M335,1,0)</f>
        <v/>
      </c>
    </row>
    <row r="336" ht="14.5" customHeight="1">
      <c r="A336" s="12" t="inlineStr">
        <is>
          <t>VINATIORGA</t>
        </is>
      </c>
      <c r="B336" s="13">
        <f>IFERROR(__xludf.DUMMYFUNCTION("GOOGLEFINANCE(""NSE:""&amp;A336,""PRICE"")"),1815)</f>
        <v/>
      </c>
      <c r="C336" s="13">
        <f>IFERROR(__xludf.DUMMYFUNCTION("GOOGLEFINANCE(""NSE:""&amp;A336,""PRICEOPEN"")"),1839.35)</f>
        <v/>
      </c>
      <c r="D336" s="13">
        <f>IFERROR(__xludf.DUMMYFUNCTION("GOOGLEFINANCE(""NSE:""&amp;A336,""HIGH"")"),1848.9)</f>
        <v/>
      </c>
      <c r="E336" s="13">
        <f>IFERROR(__xludf.DUMMYFUNCTION("GOOGLEFINANCE(""NSE:""&amp;A336,""LOW"")"),1808)</f>
        <v/>
      </c>
      <c r="F336" s="13">
        <f>IFERROR(__xludf.DUMMYFUNCTION("GOOGLEFINANCE(""NSE:""&amp;A336,""closeyest"")"),1839.35)</f>
        <v/>
      </c>
      <c r="G336" s="14">
        <f>(B336-C336)/B336</f>
        <v/>
      </c>
      <c r="H336" s="13">
        <f>IFERROR(__xludf.DUMMYFUNCTION("GOOGLEFINANCE(""NSE:""&amp;A336,""VOLUME"")"),22987)</f>
        <v/>
      </c>
      <c r="I336" s="13">
        <f>IFERROR(__xludf.DUMMYFUNCTION("AVERAGE(index(GOOGLEFINANCE(""NSE:""&amp;$A336, ""volume"", today()-21, today()-1), , 2))"),"#N/A")</f>
        <v/>
      </c>
      <c r="J336" s="14">
        <f>(H336-I336)/I336</f>
        <v/>
      </c>
      <c r="K336" s="13">
        <f>IFERROR(__xludf.DUMMYFUNCTION("AVERAGE(index(GOOGLEFINANCE(""NSE:""&amp;$A336, ""close"", today()-6, today()-1), , 2))"),"#N/A")</f>
        <v/>
      </c>
      <c r="L336" s="13">
        <f>IFERROR(__xludf.DUMMYFUNCTION("AVERAGE(index(GOOGLEFINANCE(""NSE:""&amp;$A336, ""close"", today()-14, today()-1), , 2))"),"#N/A")</f>
        <v/>
      </c>
      <c r="M336" s="13">
        <f>IFERROR(__xludf.DUMMYFUNCTION("AVERAGE(index(GOOGLEFINANCE(""NSE:""&amp;$A336, ""close"", today()-22, today()-1), , 2))"),"#N/A")</f>
        <v/>
      </c>
      <c r="N336" s="13">
        <f>AG336</f>
        <v/>
      </c>
      <c r="O336" s="13">
        <f>AI336</f>
        <v/>
      </c>
      <c r="P336" s="13">
        <f>W336</f>
        <v/>
      </c>
      <c r="Q336" s="13">
        <f>Y336</f>
        <v/>
      </c>
      <c r="R336" s="15" t="n"/>
      <c r="S336" s="15">
        <f>LEFT(W336,2)&amp;LEFT(Y336,2)</f>
        <v/>
      </c>
      <c r="T336" s="15" t="n"/>
      <c r="U336" s="15">
        <f>IF(K336&lt;L336,1,0)</f>
        <v/>
      </c>
      <c r="V336" s="15">
        <f>IF(H336&gt;I336,1,0)</f>
        <v/>
      </c>
      <c r="W336" s="15">
        <f>IF(SUM(U336:V336)=2,"Anticipatory_Sell","No_Action")</f>
        <v/>
      </c>
      <c r="X336" s="15" t="n"/>
      <c r="Y336" s="15">
        <f>IF(SUM(Z336:AA336)=2,"Confirm_Sell","No_Action")</f>
        <v/>
      </c>
      <c r="Z336" s="15">
        <f>IF(H336&gt;I336,1,0)</f>
        <v/>
      </c>
      <c r="AA336" s="15">
        <f>IF(K336&lt;M336,1,0)</f>
        <v/>
      </c>
      <c r="AB336" s="15" t="n"/>
      <c r="AC336" s="15">
        <f>LEFT(AG336,2)&amp;LEFT(AI336,2)</f>
        <v/>
      </c>
      <c r="AD336" s="15" t="n"/>
      <c r="AE336" s="15">
        <f>IF(K336&gt;L336,1,0)</f>
        <v/>
      </c>
      <c r="AF336" s="16">
        <f>IF(H336&gt;I336,1,0)</f>
        <v/>
      </c>
      <c r="AG336" s="16">
        <f>IF(SUM(AE336:AF336)=2,"Anticipatory_Buy","No_Action")</f>
        <v/>
      </c>
      <c r="AH336" s="15" t="n"/>
      <c r="AI336" s="15">
        <f>IF(SUM(AJ336:AK336)=2,"Confirm_Buy","No_Action")</f>
        <v/>
      </c>
      <c r="AJ336" s="15">
        <f>IF(H336&gt;I336,1,0)</f>
        <v/>
      </c>
      <c r="AK336" s="15">
        <f>IF(K336&gt;M336,1,0)</f>
        <v/>
      </c>
    </row>
    <row r="337" ht="14.5" customHeight="1">
      <c r="A337" s="12" t="inlineStr">
        <is>
          <t>VISHNU</t>
        </is>
      </c>
      <c r="B337" s="13">
        <f>IFERROR(__xludf.DUMMYFUNCTION("GOOGLEFINANCE(""NSE:""&amp;A337,""PRICE"")"),400)</f>
        <v/>
      </c>
      <c r="C337" s="13">
        <f>IFERROR(__xludf.DUMMYFUNCTION("GOOGLEFINANCE(""NSE:""&amp;A337,""PRICEOPEN"")"),411.7)</f>
        <v/>
      </c>
      <c r="D337" s="13">
        <f>IFERROR(__xludf.DUMMYFUNCTION("GOOGLEFINANCE(""NSE:""&amp;A337,""HIGH"")"),420.2)</f>
        <v/>
      </c>
      <c r="E337" s="13">
        <f>IFERROR(__xludf.DUMMYFUNCTION("GOOGLEFINANCE(""NSE:""&amp;A337,""LOW"")"),398.8)</f>
        <v/>
      </c>
      <c r="F337" s="13">
        <f>IFERROR(__xludf.DUMMYFUNCTION("GOOGLEFINANCE(""NSE:""&amp;A337,""closeyest"")"),412.2)</f>
        <v/>
      </c>
      <c r="G337" s="14">
        <f>(B337-C337)/B337</f>
        <v/>
      </c>
      <c r="H337" s="13">
        <f>IFERROR(__xludf.DUMMYFUNCTION("GOOGLEFINANCE(""NSE:""&amp;A337,""VOLUME"")"),205745)</f>
        <v/>
      </c>
      <c r="I337" s="13">
        <f>IFERROR(__xludf.DUMMYFUNCTION("AVERAGE(index(GOOGLEFINANCE(""NSE:""&amp;$A337, ""volume"", today()-21, today()-1), , 2))"),"#N/A")</f>
        <v/>
      </c>
      <c r="J337" s="14">
        <f>(H337-I337)/I337</f>
        <v/>
      </c>
      <c r="K337" s="13">
        <f>IFERROR(__xludf.DUMMYFUNCTION("AVERAGE(index(GOOGLEFINANCE(""NSE:""&amp;$A337, ""close"", today()-6, today()-1), , 2))"),"#N/A")</f>
        <v/>
      </c>
      <c r="L337" s="13">
        <f>IFERROR(__xludf.DUMMYFUNCTION("AVERAGE(index(GOOGLEFINANCE(""NSE:""&amp;$A337, ""close"", today()-14, today()-1), , 2))"),"#N/A")</f>
        <v/>
      </c>
      <c r="M337" s="13">
        <f>IFERROR(__xludf.DUMMYFUNCTION("AVERAGE(index(GOOGLEFINANCE(""NSE:""&amp;$A337, ""close"", today()-22, today()-1), , 2))"),"#N/A")</f>
        <v/>
      </c>
      <c r="N337" s="13">
        <f>AG337</f>
        <v/>
      </c>
      <c r="O337" s="13">
        <f>AI337</f>
        <v/>
      </c>
      <c r="P337" s="13">
        <f>W337</f>
        <v/>
      </c>
      <c r="Q337" s="13">
        <f>Y337</f>
        <v/>
      </c>
      <c r="R337" s="15" t="n"/>
      <c r="S337" s="15">
        <f>LEFT(W337,2)&amp;LEFT(Y337,2)</f>
        <v/>
      </c>
      <c r="T337" s="15" t="n"/>
      <c r="U337" s="15">
        <f>IF(K337&lt;L337,1,0)</f>
        <v/>
      </c>
      <c r="V337" s="15">
        <f>IF(H337&gt;I337,1,0)</f>
        <v/>
      </c>
      <c r="W337" s="15">
        <f>IF(SUM(U337:V337)=2,"Anticipatory_Sell","No_Action")</f>
        <v/>
      </c>
      <c r="X337" s="15" t="n"/>
      <c r="Y337" s="15">
        <f>IF(SUM(Z337:AA337)=2,"Confirm_Sell","No_Action")</f>
        <v/>
      </c>
      <c r="Z337" s="15">
        <f>IF(H337&gt;I337,1,0)</f>
        <v/>
      </c>
      <c r="AA337" s="15">
        <f>IF(K337&lt;M337,1,0)</f>
        <v/>
      </c>
      <c r="AB337" s="15" t="n"/>
      <c r="AC337" s="15">
        <f>LEFT(AG337,2)&amp;LEFT(AI337,2)</f>
        <v/>
      </c>
      <c r="AD337" s="15" t="n"/>
      <c r="AE337" s="15">
        <f>IF(K337&gt;L337,1,0)</f>
        <v/>
      </c>
      <c r="AF337" s="16">
        <f>IF(H337&gt;I337,1,0)</f>
        <v/>
      </c>
      <c r="AG337" s="16">
        <f>IF(SUM(AE337:AF337)=2,"Anticipatory_Buy","No_Action")</f>
        <v/>
      </c>
      <c r="AH337" s="15" t="n"/>
      <c r="AI337" s="15">
        <f>IF(SUM(AJ337:AK337)=2,"Confirm_Buy","No_Action")</f>
        <v/>
      </c>
      <c r="AJ337" s="15">
        <f>IF(H337&gt;I337,1,0)</f>
        <v/>
      </c>
      <c r="AK337" s="15">
        <f>IF(K337&gt;M337,1,0)</f>
        <v/>
      </c>
    </row>
    <row r="338" ht="14.5" customHeight="1">
      <c r="A338" s="12" t="inlineStr">
        <is>
          <t>VOLTAS</t>
        </is>
      </c>
      <c r="B338" s="13">
        <f>IFERROR(__xludf.DUMMYFUNCTION("GOOGLEFINANCE(""NSE:""&amp;A338,""PRICE"")"),1762.95)</f>
        <v/>
      </c>
      <c r="C338" s="13">
        <f>IFERROR(__xludf.DUMMYFUNCTION("GOOGLEFINANCE(""NSE:""&amp;A338,""PRICEOPEN"")"),1714.1)</f>
        <v/>
      </c>
      <c r="D338" s="13">
        <f>IFERROR(__xludf.DUMMYFUNCTION("GOOGLEFINANCE(""NSE:""&amp;A338,""HIGH"")"),1767)</f>
        <v/>
      </c>
      <c r="E338" s="13">
        <f>IFERROR(__xludf.DUMMYFUNCTION("GOOGLEFINANCE(""NSE:""&amp;A338,""LOW"")"),1713.45)</f>
        <v/>
      </c>
      <c r="F338" s="13">
        <f>IFERROR(__xludf.DUMMYFUNCTION("GOOGLEFINANCE(""NSE:""&amp;A338,""closeyest"")"),1710.9)</f>
        <v/>
      </c>
      <c r="G338" s="14">
        <f>(B338-C338)/B338</f>
        <v/>
      </c>
      <c r="H338" s="13">
        <f>IFERROR(__xludf.DUMMYFUNCTION("GOOGLEFINANCE(""NSE:""&amp;A338,""VOLUME"")"),1382138)</f>
        <v/>
      </c>
      <c r="I338" s="13">
        <f>IFERROR(__xludf.DUMMYFUNCTION("AVERAGE(index(GOOGLEFINANCE(""NSE:""&amp;$A338, ""volume"", today()-21, today()-1), , 2))"),"#N/A")</f>
        <v/>
      </c>
      <c r="J338" s="14">
        <f>(H338-I338)/I338</f>
        <v/>
      </c>
      <c r="K338" s="13">
        <f>IFERROR(__xludf.DUMMYFUNCTION("AVERAGE(index(GOOGLEFINANCE(""NSE:""&amp;$A338, ""close"", today()-6, today()-1), , 2))"),"#N/A")</f>
        <v/>
      </c>
      <c r="L338" s="13">
        <f>IFERROR(__xludf.DUMMYFUNCTION("AVERAGE(index(GOOGLEFINANCE(""NSE:""&amp;$A338, ""close"", today()-14, today()-1), , 2))"),"#N/A")</f>
        <v/>
      </c>
      <c r="M338" s="13">
        <f>IFERROR(__xludf.DUMMYFUNCTION("AVERAGE(index(GOOGLEFINANCE(""NSE:""&amp;$A338, ""close"", today()-22, today()-1), , 2))"),"#N/A")</f>
        <v/>
      </c>
      <c r="N338" s="13">
        <f>AG338</f>
        <v/>
      </c>
      <c r="O338" s="13">
        <f>AI338</f>
        <v/>
      </c>
      <c r="P338" s="13">
        <f>W338</f>
        <v/>
      </c>
      <c r="Q338" s="13">
        <f>Y338</f>
        <v/>
      </c>
      <c r="R338" s="15" t="n"/>
      <c r="S338" s="15">
        <f>LEFT(W338,2)&amp;LEFT(Y338,2)</f>
        <v/>
      </c>
      <c r="T338" s="15" t="n"/>
      <c r="U338" s="15">
        <f>IF(K338&lt;L338,1,0)</f>
        <v/>
      </c>
      <c r="V338" s="15">
        <f>IF(H338&gt;I338,1,0)</f>
        <v/>
      </c>
      <c r="W338" s="15">
        <f>IF(SUM(U338:V338)=2,"Anticipatory_Sell","No_Action")</f>
        <v/>
      </c>
      <c r="X338" s="15" t="n"/>
      <c r="Y338" s="15">
        <f>IF(SUM(Z338:AA338)=2,"Confirm_Sell","No_Action")</f>
        <v/>
      </c>
      <c r="Z338" s="15">
        <f>IF(H338&gt;I338,1,0)</f>
        <v/>
      </c>
      <c r="AA338" s="15">
        <f>IF(K338&lt;M338,1,0)</f>
        <v/>
      </c>
      <c r="AB338" s="15" t="n"/>
      <c r="AC338" s="15">
        <f>LEFT(AG338,2)&amp;LEFT(AI338,2)</f>
        <v/>
      </c>
      <c r="AD338" s="15" t="n"/>
      <c r="AE338" s="15">
        <f>IF(K338&gt;L338,1,0)</f>
        <v/>
      </c>
      <c r="AF338" s="16">
        <f>IF(H338&gt;I338,1,0)</f>
        <v/>
      </c>
      <c r="AG338" s="16">
        <f>IF(SUM(AE338:AF338)=2,"Anticipatory_Buy","No_Action")</f>
        <v/>
      </c>
      <c r="AH338" s="15" t="n"/>
      <c r="AI338" s="15">
        <f>IF(SUM(AJ338:AK338)=2,"Confirm_Buy","No_Action")</f>
        <v/>
      </c>
      <c r="AJ338" s="15">
        <f>IF(H338&gt;I338,1,0)</f>
        <v/>
      </c>
      <c r="AK338" s="15">
        <f>IF(K338&gt;M338,1,0)</f>
        <v/>
      </c>
    </row>
    <row r="339" ht="14.5" customHeight="1">
      <c r="A339" s="12" t="inlineStr">
        <is>
          <t>VSTIND</t>
        </is>
      </c>
      <c r="B339" s="13">
        <f>IFERROR(__xludf.DUMMYFUNCTION("GOOGLEFINANCE(""NSE:""&amp;A339,""PRICE"")"),323.4)</f>
        <v/>
      </c>
      <c r="C339" s="13">
        <f>IFERROR(__xludf.DUMMYFUNCTION("GOOGLEFINANCE(""NSE:""&amp;A339,""PRICEOPEN"")"),326.95)</f>
        <v/>
      </c>
      <c r="D339" s="13">
        <f>IFERROR(__xludf.DUMMYFUNCTION("GOOGLEFINANCE(""NSE:""&amp;A339,""HIGH"")"),327)</f>
        <v/>
      </c>
      <c r="E339" s="13">
        <f>IFERROR(__xludf.DUMMYFUNCTION("GOOGLEFINANCE(""NSE:""&amp;A339,""LOW"")"),322.2)</f>
        <v/>
      </c>
      <c r="F339" s="13">
        <f>IFERROR(__xludf.DUMMYFUNCTION("GOOGLEFINANCE(""NSE:""&amp;A339,""closeyest"")"),323.6)</f>
        <v/>
      </c>
      <c r="G339" s="14">
        <f>(B339-C339)/B339</f>
        <v/>
      </c>
      <c r="H339" s="13">
        <f>IFERROR(__xludf.DUMMYFUNCTION("GOOGLEFINANCE(""NSE:""&amp;A339,""VOLUME"")"),144664)</f>
        <v/>
      </c>
      <c r="I339" s="13">
        <f>IFERROR(__xludf.DUMMYFUNCTION("AVERAGE(index(GOOGLEFINANCE(""NSE:""&amp;$A339, ""volume"", today()-21, today()-1), , 2))"),"#N/A")</f>
        <v/>
      </c>
      <c r="J339" s="14">
        <f>(H339-I339)/I339</f>
        <v/>
      </c>
      <c r="K339" s="13">
        <f>IFERROR(__xludf.DUMMYFUNCTION("AVERAGE(index(GOOGLEFINANCE(""NSE:""&amp;$A339, ""close"", today()-6, today()-1), , 2))"),"#N/A")</f>
        <v/>
      </c>
      <c r="L339" s="13">
        <f>IFERROR(__xludf.DUMMYFUNCTION("AVERAGE(index(GOOGLEFINANCE(""NSE:""&amp;$A339, ""close"", today()-14, today()-1), , 2))"),"#N/A")</f>
        <v/>
      </c>
      <c r="M339" s="13">
        <f>IFERROR(__xludf.DUMMYFUNCTION("AVERAGE(index(GOOGLEFINANCE(""NSE:""&amp;$A339, ""close"", today()-22, today()-1), , 2))"),"#N/A")</f>
        <v/>
      </c>
      <c r="N339" s="13">
        <f>AG339</f>
        <v/>
      </c>
      <c r="O339" s="13">
        <f>AI339</f>
        <v/>
      </c>
      <c r="P339" s="13">
        <f>W339</f>
        <v/>
      </c>
      <c r="Q339" s="13">
        <f>Y339</f>
        <v/>
      </c>
      <c r="R339" s="15" t="n"/>
      <c r="S339" s="15">
        <f>LEFT(W339,2)&amp;LEFT(Y339,2)</f>
        <v/>
      </c>
      <c r="T339" s="15" t="n"/>
      <c r="U339" s="15">
        <f>IF(K339&lt;L339,1,0)</f>
        <v/>
      </c>
      <c r="V339" s="15">
        <f>IF(H339&gt;I339,1,0)</f>
        <v/>
      </c>
      <c r="W339" s="15">
        <f>IF(SUM(U339:V339)=2,"Anticipatory_Sell","No_Action")</f>
        <v/>
      </c>
      <c r="X339" s="15" t="n"/>
      <c r="Y339" s="15">
        <f>IF(SUM(Z339:AA339)=2,"Confirm_Sell","No_Action")</f>
        <v/>
      </c>
      <c r="Z339" s="15">
        <f>IF(H339&gt;I339,1,0)</f>
        <v/>
      </c>
      <c r="AA339" s="15">
        <f>IF(K339&lt;M339,1,0)</f>
        <v/>
      </c>
      <c r="AB339" s="15" t="n"/>
      <c r="AC339" s="15">
        <f>LEFT(AG339,2)&amp;LEFT(AI339,2)</f>
        <v/>
      </c>
      <c r="AD339" s="15" t="n"/>
      <c r="AE339" s="15">
        <f>IF(K339&gt;L339,1,0)</f>
        <v/>
      </c>
      <c r="AF339" s="16">
        <f>IF(H339&gt;I339,1,0)</f>
        <v/>
      </c>
      <c r="AG339" s="16">
        <f>IF(SUM(AE339:AF339)=2,"Anticipatory_Buy","No_Action")</f>
        <v/>
      </c>
      <c r="AH339" s="15" t="n"/>
      <c r="AI339" s="15">
        <f>IF(SUM(AJ339:AK339)=2,"Confirm_Buy","No_Action")</f>
        <v/>
      </c>
      <c r="AJ339" s="15">
        <f>IF(H339&gt;I339,1,0)</f>
        <v/>
      </c>
      <c r="AK339" s="15">
        <f>IF(K339&gt;M339,1,0)</f>
        <v/>
      </c>
    </row>
    <row r="340" ht="14.5" customHeight="1">
      <c r="A340" s="12" t="inlineStr">
        <is>
          <t>WELSPUNLIV</t>
        </is>
      </c>
      <c r="B340" s="13">
        <f>IFERROR(__xludf.DUMMYFUNCTION("GOOGLEFINANCE(""NSE:""&amp;A340,""PRICE"")"),173.6)</f>
        <v/>
      </c>
      <c r="C340" s="13">
        <f>IFERROR(__xludf.DUMMYFUNCTION("GOOGLEFINANCE(""NSE:""&amp;A340,""PRICEOPEN"")"),165.45)</f>
        <v/>
      </c>
      <c r="D340" s="13">
        <f>IFERROR(__xludf.DUMMYFUNCTION("GOOGLEFINANCE(""NSE:""&amp;A340,""HIGH"")"),175)</f>
        <v/>
      </c>
      <c r="E340" s="13">
        <f>IFERROR(__xludf.DUMMYFUNCTION("GOOGLEFINANCE(""NSE:""&amp;A340,""LOW"")"),165.16)</f>
        <v/>
      </c>
      <c r="F340" s="13">
        <f>IFERROR(__xludf.DUMMYFUNCTION("GOOGLEFINANCE(""NSE:""&amp;A340,""closeyest"")"),164.16)</f>
        <v/>
      </c>
      <c r="G340" s="14">
        <f>(B340-C340)/B340</f>
        <v/>
      </c>
      <c r="H340" s="13">
        <f>IFERROR(__xludf.DUMMYFUNCTION("GOOGLEFINANCE(""NSE:""&amp;A340,""VOLUME"")"),14603217)</f>
        <v/>
      </c>
      <c r="I340" s="13">
        <f>IFERROR(__xludf.DUMMYFUNCTION("AVERAGE(index(GOOGLEFINANCE(""NSE:""&amp;$A340, ""volume"", today()-21, today()-1), , 2))"),"#N/A")</f>
        <v/>
      </c>
      <c r="J340" s="14">
        <f>(H340-I340)/I340</f>
        <v/>
      </c>
      <c r="K340" s="13">
        <f>IFERROR(__xludf.DUMMYFUNCTION("AVERAGE(index(GOOGLEFINANCE(""NSE:""&amp;$A340, ""close"", today()-6, today()-1), , 2))"),"#N/A")</f>
        <v/>
      </c>
      <c r="L340" s="13">
        <f>IFERROR(__xludf.DUMMYFUNCTION("AVERAGE(index(GOOGLEFINANCE(""NSE:""&amp;$A340, ""close"", today()-14, today()-1), , 2))"),"#N/A")</f>
        <v/>
      </c>
      <c r="M340" s="13">
        <f>IFERROR(__xludf.DUMMYFUNCTION("AVERAGE(index(GOOGLEFINANCE(""NSE:""&amp;$A340, ""close"", today()-22, today()-1), , 2))"),"#N/A")</f>
        <v/>
      </c>
      <c r="N340" s="13">
        <f>AG340</f>
        <v/>
      </c>
      <c r="O340" s="13">
        <f>AI340</f>
        <v/>
      </c>
      <c r="P340" s="13">
        <f>W340</f>
        <v/>
      </c>
      <c r="Q340" s="13">
        <f>Y340</f>
        <v/>
      </c>
      <c r="R340" s="15" t="n"/>
      <c r="S340" s="15">
        <f>LEFT(W340,2)&amp;LEFT(Y340,2)</f>
        <v/>
      </c>
      <c r="T340" s="15" t="n"/>
      <c r="U340" s="15">
        <f>IF(K340&lt;L340,1,0)</f>
        <v/>
      </c>
      <c r="V340" s="15">
        <f>IF(H340&gt;I340,1,0)</f>
        <v/>
      </c>
      <c r="W340" s="15">
        <f>IF(SUM(U340:V340)=2,"Anticipatory_Sell","No_Action")</f>
        <v/>
      </c>
      <c r="X340" s="15" t="n"/>
      <c r="Y340" s="15">
        <f>IF(SUM(Z340:AA340)=2,"Confirm_Sell","No_Action")</f>
        <v/>
      </c>
      <c r="Z340" s="15">
        <f>IF(H340&gt;I340,1,0)</f>
        <v/>
      </c>
      <c r="AA340" s="15">
        <f>IF(K340&lt;M340,1,0)</f>
        <v/>
      </c>
      <c r="AB340" s="15" t="n"/>
      <c r="AC340" s="15">
        <f>LEFT(AG340,2)&amp;LEFT(AI340,2)</f>
        <v/>
      </c>
      <c r="AD340" s="15" t="n"/>
      <c r="AE340" s="15">
        <f>IF(K340&gt;L340,1,0)</f>
        <v/>
      </c>
      <c r="AF340" s="16">
        <f>IF(H340&gt;I340,1,0)</f>
        <v/>
      </c>
      <c r="AG340" s="16">
        <f>IF(SUM(AE340:AF340)=2,"Anticipatory_Buy","No_Action")</f>
        <v/>
      </c>
      <c r="AH340" s="15" t="n"/>
      <c r="AI340" s="15">
        <f>IF(SUM(AJ340:AK340)=2,"Confirm_Buy","No_Action")</f>
        <v/>
      </c>
      <c r="AJ340" s="15">
        <f>IF(H340&gt;I340,1,0)</f>
        <v/>
      </c>
      <c r="AK340" s="15">
        <f>IF(K340&gt;M340,1,0)</f>
        <v/>
      </c>
    </row>
    <row r="341" ht="14.5" customHeight="1">
      <c r="A341" s="12" t="inlineStr">
        <is>
          <t>WENDT</t>
        </is>
      </c>
      <c r="B341" s="13">
        <f>IFERROR(__xludf.DUMMYFUNCTION("GOOGLEFINANCE(""NSE:""&amp;A341,""PRICE"")"),16297.95)</f>
        <v/>
      </c>
      <c r="C341" s="13">
        <f>IFERROR(__xludf.DUMMYFUNCTION("GOOGLEFINANCE(""NSE:""&amp;A341,""PRICEOPEN"")"),15711.5)</f>
        <v/>
      </c>
      <c r="D341" s="13">
        <f>IFERROR(__xludf.DUMMYFUNCTION("GOOGLEFINANCE(""NSE:""&amp;A341,""HIGH"")"),16376)</f>
        <v/>
      </c>
      <c r="E341" s="13">
        <f>IFERROR(__xludf.DUMMYFUNCTION("GOOGLEFINANCE(""NSE:""&amp;A341,""LOW"")"),15395.55)</f>
        <v/>
      </c>
      <c r="F341" s="13">
        <f>IFERROR(__xludf.DUMMYFUNCTION("GOOGLEFINANCE(""NSE:""&amp;A341,""closeyest"")"),15866.9)</f>
        <v/>
      </c>
      <c r="G341" s="14">
        <f>(B341-C341)/B341</f>
        <v/>
      </c>
      <c r="H341" s="13">
        <f>IFERROR(__xludf.DUMMYFUNCTION("GOOGLEFINANCE(""NSE:""&amp;A341,""VOLUME"")"),739)</f>
        <v/>
      </c>
      <c r="I341" s="13">
        <f>IFERROR(__xludf.DUMMYFUNCTION("AVERAGE(index(GOOGLEFINANCE(""NSE:""&amp;$A341, ""volume"", today()-21, today()-1), , 2))"),"#N/A")</f>
        <v/>
      </c>
      <c r="J341" s="14">
        <f>(H341-I341)/I341</f>
        <v/>
      </c>
      <c r="K341" s="13">
        <f>IFERROR(__xludf.DUMMYFUNCTION("AVERAGE(index(GOOGLEFINANCE(""NSE:""&amp;$A341, ""close"", today()-6, today()-1), , 2))"),"#N/A")</f>
        <v/>
      </c>
      <c r="L341" s="13">
        <f>IFERROR(__xludf.DUMMYFUNCTION("AVERAGE(index(GOOGLEFINANCE(""NSE:""&amp;$A341, ""close"", today()-14, today()-1), , 2))"),"#N/A")</f>
        <v/>
      </c>
      <c r="M341" s="13">
        <f>IFERROR(__xludf.DUMMYFUNCTION("AVERAGE(index(GOOGLEFINANCE(""NSE:""&amp;$A341, ""close"", today()-22, today()-1), , 2))"),"#N/A")</f>
        <v/>
      </c>
      <c r="N341" s="13">
        <f>AG341</f>
        <v/>
      </c>
      <c r="O341" s="13">
        <f>AI341</f>
        <v/>
      </c>
      <c r="P341" s="13">
        <f>W341</f>
        <v/>
      </c>
      <c r="Q341" s="13">
        <f>Y341</f>
        <v/>
      </c>
      <c r="R341" s="15" t="n"/>
      <c r="S341" s="15">
        <f>LEFT(W341,2)&amp;LEFT(Y341,2)</f>
        <v/>
      </c>
      <c r="T341" s="15" t="n"/>
      <c r="U341" s="15">
        <f>IF(K341&lt;L341,1,0)</f>
        <v/>
      </c>
      <c r="V341" s="15">
        <f>IF(H341&gt;I341,1,0)</f>
        <v/>
      </c>
      <c r="W341" s="15">
        <f>IF(SUM(U341:V341)=2,"Anticipatory_Sell","No_Action")</f>
        <v/>
      </c>
      <c r="X341" s="15" t="n"/>
      <c r="Y341" s="15">
        <f>IF(SUM(Z341:AA341)=2,"Confirm_Sell","No_Action")</f>
        <v/>
      </c>
      <c r="Z341" s="15">
        <f>IF(H341&gt;I341,1,0)</f>
        <v/>
      </c>
      <c r="AA341" s="15">
        <f>IF(K341&lt;M341,1,0)</f>
        <v/>
      </c>
      <c r="AB341" s="15" t="n"/>
      <c r="AC341" s="15">
        <f>LEFT(AG341,2)&amp;LEFT(AI341,2)</f>
        <v/>
      </c>
      <c r="AD341" s="15" t="n"/>
      <c r="AE341" s="15">
        <f>IF(K341&gt;L341,1,0)</f>
        <v/>
      </c>
      <c r="AF341" s="16">
        <f>IF(H341&gt;I341,1,0)</f>
        <v/>
      </c>
      <c r="AG341" s="16">
        <f>IF(SUM(AE341:AF341)=2,"Anticipatory_Buy","No_Action")</f>
        <v/>
      </c>
      <c r="AH341" s="15" t="n"/>
      <c r="AI341" s="15">
        <f>IF(SUM(AJ341:AK341)=2,"Confirm_Buy","No_Action")</f>
        <v/>
      </c>
      <c r="AJ341" s="15">
        <f>IF(H341&gt;I341,1,0)</f>
        <v/>
      </c>
      <c r="AK341" s="15">
        <f>IF(K341&gt;M341,1,0)</f>
        <v/>
      </c>
    </row>
    <row r="342" ht="14.5" customHeight="1">
      <c r="A342" s="12" t="inlineStr">
        <is>
          <t>WSTCSTPAPR</t>
        </is>
      </c>
      <c r="B342" s="13">
        <f>IFERROR(__xludf.DUMMYFUNCTION("GOOGLEFINANCE(""NSE:""&amp;A342,""PRICE"")"),617.8)</f>
        <v/>
      </c>
      <c r="C342" s="13">
        <f>IFERROR(__xludf.DUMMYFUNCTION("GOOGLEFINANCE(""NSE:""&amp;A342,""PRICEOPEN"")"),638.3)</f>
        <v/>
      </c>
      <c r="D342" s="13">
        <f>IFERROR(__xludf.DUMMYFUNCTION("GOOGLEFINANCE(""NSE:""&amp;A342,""HIGH"")"),638.85)</f>
        <v/>
      </c>
      <c r="E342" s="13">
        <f>IFERROR(__xludf.DUMMYFUNCTION("GOOGLEFINANCE(""NSE:""&amp;A342,""LOW"")"),612.5)</f>
        <v/>
      </c>
      <c r="F342" s="13">
        <f>IFERROR(__xludf.DUMMYFUNCTION("GOOGLEFINANCE(""NSE:""&amp;A342,""closeyest"")"),632.15)</f>
        <v/>
      </c>
      <c r="G342" s="14">
        <f>(B342-C342)/B342</f>
        <v/>
      </c>
      <c r="H342" s="13">
        <f>IFERROR(__xludf.DUMMYFUNCTION("GOOGLEFINANCE(""NSE:""&amp;A342,""VOLUME"")"),125109)</f>
        <v/>
      </c>
      <c r="I342" s="13">
        <f>IFERROR(__xludf.DUMMYFUNCTION("AVERAGE(index(GOOGLEFINANCE(""NSE:""&amp;$A342, ""volume"", today()-21, today()-1), , 2))"),"#N/A")</f>
        <v/>
      </c>
      <c r="J342" s="14">
        <f>(H342-I342)/I342</f>
        <v/>
      </c>
      <c r="K342" s="13">
        <f>IFERROR(__xludf.DUMMYFUNCTION("AVERAGE(index(GOOGLEFINANCE(""NSE:""&amp;$A342, ""close"", today()-6, today()-1), , 2))"),"#N/A")</f>
        <v/>
      </c>
      <c r="L342" s="13">
        <f>IFERROR(__xludf.DUMMYFUNCTION("AVERAGE(index(GOOGLEFINANCE(""NSE:""&amp;$A342, ""close"", today()-14, today()-1), , 2))"),"#N/A")</f>
        <v/>
      </c>
      <c r="M342" s="13">
        <f>IFERROR(__xludf.DUMMYFUNCTION("AVERAGE(index(GOOGLEFINANCE(""NSE:""&amp;$A342, ""close"", today()-22, today()-1), , 2))"),"#N/A")</f>
        <v/>
      </c>
      <c r="N342" s="13">
        <f>AG342</f>
        <v/>
      </c>
      <c r="O342" s="13">
        <f>AI342</f>
        <v/>
      </c>
      <c r="P342" s="13">
        <f>W342</f>
        <v/>
      </c>
      <c r="Q342" s="13">
        <f>Y342</f>
        <v/>
      </c>
      <c r="R342" s="15" t="n"/>
      <c r="S342" s="15">
        <f>LEFT(W342,2)&amp;LEFT(Y342,2)</f>
        <v/>
      </c>
      <c r="T342" s="15" t="n"/>
      <c r="U342" s="15">
        <f>IF(K342&lt;L342,1,0)</f>
        <v/>
      </c>
      <c r="V342" s="15">
        <f>IF(H342&gt;I342,1,0)</f>
        <v/>
      </c>
      <c r="W342" s="15">
        <f>IF(SUM(U342:V342)=2,"Anticipatory_Sell","No_Action")</f>
        <v/>
      </c>
      <c r="X342" s="15" t="n"/>
      <c r="Y342" s="15">
        <f>IF(SUM(Z342:AA342)=2,"Confirm_Sell","No_Action")</f>
        <v/>
      </c>
      <c r="Z342" s="15">
        <f>IF(H342&gt;I342,1,0)</f>
        <v/>
      </c>
      <c r="AA342" s="15">
        <f>IF(K342&lt;M342,1,0)</f>
        <v/>
      </c>
      <c r="AB342" s="15" t="n"/>
      <c r="AC342" s="15">
        <f>LEFT(AG342,2)&amp;LEFT(AI342,2)</f>
        <v/>
      </c>
      <c r="AD342" s="15" t="n"/>
      <c r="AE342" s="15">
        <f>IF(K342&gt;L342,1,0)</f>
        <v/>
      </c>
      <c r="AF342" s="16">
        <f>IF(H342&gt;I342,1,0)</f>
        <v/>
      </c>
      <c r="AG342" s="16">
        <f>IF(SUM(AE342:AF342)=2,"Anticipatory_Buy","No_Action")</f>
        <v/>
      </c>
      <c r="AH342" s="15" t="n"/>
      <c r="AI342" s="15">
        <f>IF(SUM(AJ342:AK342)=2,"Confirm_Buy","No_Action")</f>
        <v/>
      </c>
      <c r="AJ342" s="15">
        <f>IF(H342&gt;I342,1,0)</f>
        <v/>
      </c>
      <c r="AK342" s="15">
        <f>IF(K342&gt;M342,1,0)</f>
        <v/>
      </c>
    </row>
    <row r="343" ht="14.5" customHeight="1">
      <c r="A343" s="12" t="inlineStr">
        <is>
          <t>XPROINDIA</t>
        </is>
      </c>
      <c r="B343" s="13">
        <f>IFERROR(__xludf.DUMMYFUNCTION("GOOGLEFINANCE(""NSE:""&amp;A343,""PRICE"")"),1548.9)</f>
        <v/>
      </c>
      <c r="C343" s="13">
        <f>IFERROR(__xludf.DUMMYFUNCTION("GOOGLEFINANCE(""NSE:""&amp;A343,""PRICEOPEN"")"),1593.55)</f>
        <v/>
      </c>
      <c r="D343" s="13">
        <f>IFERROR(__xludf.DUMMYFUNCTION("GOOGLEFINANCE(""NSE:""&amp;A343,""HIGH"")"),1610.05)</f>
        <v/>
      </c>
      <c r="E343" s="13">
        <f>IFERROR(__xludf.DUMMYFUNCTION("GOOGLEFINANCE(""NSE:""&amp;A343,""LOW"")"),1540.2)</f>
        <v/>
      </c>
      <c r="F343" s="13">
        <f>IFERROR(__xludf.DUMMYFUNCTION("GOOGLEFINANCE(""NSE:""&amp;A343,""closeyest"")"),1593.55)</f>
        <v/>
      </c>
      <c r="G343" s="14">
        <f>(B343-C343)/B343</f>
        <v/>
      </c>
      <c r="H343" s="13">
        <f>IFERROR(__xludf.DUMMYFUNCTION("GOOGLEFINANCE(""NSE:""&amp;A343,""VOLUME"")"),49957)</f>
        <v/>
      </c>
      <c r="I343" s="13">
        <f>IFERROR(__xludf.DUMMYFUNCTION("AVERAGE(index(GOOGLEFINANCE(""NSE:""&amp;$A343, ""volume"", today()-21, today()-1), , 2))"),"#N/A")</f>
        <v/>
      </c>
      <c r="J343" s="14">
        <f>(H343-I343)/I343</f>
        <v/>
      </c>
      <c r="K343" s="13">
        <f>IFERROR(__xludf.DUMMYFUNCTION("AVERAGE(index(GOOGLEFINANCE(""NSE:""&amp;$A343, ""close"", today()-6, today()-1), , 2))"),"#N/A")</f>
        <v/>
      </c>
      <c r="L343" s="13">
        <f>IFERROR(__xludf.DUMMYFUNCTION("AVERAGE(index(GOOGLEFINANCE(""NSE:""&amp;$A343, ""close"", today()-14, today()-1), , 2))"),"#N/A")</f>
        <v/>
      </c>
      <c r="M343" s="13">
        <f>IFERROR(__xludf.DUMMYFUNCTION("AVERAGE(index(GOOGLEFINANCE(""NSE:""&amp;$A343, ""close"", today()-22, today()-1), , 2))"),"#N/A")</f>
        <v/>
      </c>
      <c r="N343" s="13">
        <f>AG343</f>
        <v/>
      </c>
      <c r="O343" s="13">
        <f>AI343</f>
        <v/>
      </c>
      <c r="P343" s="13">
        <f>W343</f>
        <v/>
      </c>
      <c r="Q343" s="13">
        <f>Y343</f>
        <v/>
      </c>
      <c r="R343" s="15" t="n"/>
      <c r="S343" s="15">
        <f>LEFT(W343,2)&amp;LEFT(Y343,2)</f>
        <v/>
      </c>
      <c r="T343" s="15" t="n"/>
      <c r="U343" s="15">
        <f>IF(K343&lt;L343,1,0)</f>
        <v/>
      </c>
      <c r="V343" s="15">
        <f>IF(H343&gt;I343,1,0)</f>
        <v/>
      </c>
      <c r="W343" s="15">
        <f>IF(SUM(U343:V343)=2,"Anticipatory_Sell","No_Action")</f>
        <v/>
      </c>
      <c r="X343" s="15" t="n"/>
      <c r="Y343" s="15">
        <f>IF(SUM(Z343:AA343)=2,"Confirm_Sell","No_Action")</f>
        <v/>
      </c>
      <c r="Z343" s="15">
        <f>IF(H343&gt;I343,1,0)</f>
        <v/>
      </c>
      <c r="AA343" s="15">
        <f>IF(K343&lt;M343,1,0)</f>
        <v/>
      </c>
      <c r="AB343" s="15" t="n"/>
      <c r="AC343" s="15">
        <f>LEFT(AG343,2)&amp;LEFT(AI343,2)</f>
        <v/>
      </c>
      <c r="AD343" s="15" t="n"/>
      <c r="AE343" s="15">
        <f>IF(K343&gt;L343,1,0)</f>
        <v/>
      </c>
      <c r="AF343" s="16">
        <f>IF(H343&gt;I343,1,0)</f>
        <v/>
      </c>
      <c r="AG343" s="16">
        <f>IF(SUM(AE343:AF343)=2,"Anticipatory_Buy","No_Action")</f>
        <v/>
      </c>
      <c r="AH343" s="15" t="n"/>
      <c r="AI343" s="15">
        <f>IF(SUM(AJ343:AK343)=2,"Confirm_Buy","No_Action")</f>
        <v/>
      </c>
      <c r="AJ343" s="15">
        <f>IF(H343&gt;I343,1,0)</f>
        <v/>
      </c>
      <c r="AK343" s="15">
        <f>IF(K343&gt;M343,1,0)</f>
        <v/>
      </c>
    </row>
    <row r="344" ht="14.5" customHeight="1">
      <c r="A344" s="12" t="inlineStr">
        <is>
          <t>YASHO</t>
        </is>
      </c>
      <c r="B344" s="13">
        <f>IFERROR(__xludf.DUMMYFUNCTION("GOOGLEFINANCE(""NSE:""&amp;A344,""PRICE"")"),1800)</f>
        <v/>
      </c>
      <c r="C344" s="13">
        <f>IFERROR(__xludf.DUMMYFUNCTION("GOOGLEFINANCE(""NSE:""&amp;A344,""PRICEOPEN"")"),1761.25)</f>
        <v/>
      </c>
      <c r="D344" s="13">
        <f>IFERROR(__xludf.DUMMYFUNCTION("GOOGLEFINANCE(""NSE:""&amp;A344,""HIGH"")"),1827.95)</f>
        <v/>
      </c>
      <c r="E344" s="13">
        <f>IFERROR(__xludf.DUMMYFUNCTION("GOOGLEFINANCE(""NSE:""&amp;A344,""LOW"")"),1761.25)</f>
        <v/>
      </c>
      <c r="F344" s="13">
        <f>IFERROR(__xludf.DUMMYFUNCTION("GOOGLEFINANCE(""NSE:""&amp;A344,""closeyest"")"),1769.45)</f>
        <v/>
      </c>
      <c r="G344" s="14">
        <f>(B344-C344)/B344</f>
        <v/>
      </c>
      <c r="H344" s="13">
        <f>IFERROR(__xludf.DUMMYFUNCTION("GOOGLEFINANCE(""NSE:""&amp;A344,""VOLUME"")"),8570)</f>
        <v/>
      </c>
      <c r="I344" s="13">
        <f>IFERROR(__xludf.DUMMYFUNCTION("AVERAGE(index(GOOGLEFINANCE(""NSE:""&amp;$A344, ""volume"", today()-21, today()-1), , 2))"),"#N/A")</f>
        <v/>
      </c>
      <c r="J344" s="14">
        <f>(H344-I344)/I344</f>
        <v/>
      </c>
      <c r="K344" s="13">
        <f>IFERROR(__xludf.DUMMYFUNCTION("AVERAGE(index(GOOGLEFINANCE(""NSE:""&amp;$A344, ""close"", today()-6, today()-1), , 2))"),"#N/A")</f>
        <v/>
      </c>
      <c r="L344" s="13">
        <f>IFERROR(__xludf.DUMMYFUNCTION("AVERAGE(index(GOOGLEFINANCE(""NSE:""&amp;$A344, ""close"", today()-14, today()-1), , 2))"),"#N/A")</f>
        <v/>
      </c>
      <c r="M344" s="13">
        <f>IFERROR(__xludf.DUMMYFUNCTION("AVERAGE(index(GOOGLEFINANCE(""NSE:""&amp;$A344, ""close"", today()-22, today()-1), , 2))"),"#N/A")</f>
        <v/>
      </c>
      <c r="N344" s="13">
        <f>AG344</f>
        <v/>
      </c>
      <c r="O344" s="13">
        <f>AI344</f>
        <v/>
      </c>
      <c r="P344" s="13">
        <f>W344</f>
        <v/>
      </c>
      <c r="Q344" s="13">
        <f>Y344</f>
        <v/>
      </c>
      <c r="R344" s="15" t="n"/>
      <c r="S344" s="15">
        <f>LEFT(W344,2)&amp;LEFT(Y344,2)</f>
        <v/>
      </c>
      <c r="T344" s="15" t="n"/>
      <c r="U344" s="15">
        <f>IF(K344&lt;L344,1,0)</f>
        <v/>
      </c>
      <c r="V344" s="15">
        <f>IF(H344&gt;I344,1,0)</f>
        <v/>
      </c>
      <c r="W344" s="15">
        <f>IF(SUM(U344:V344)=2,"Anticipatory_Sell","No_Action")</f>
        <v/>
      </c>
      <c r="X344" s="15" t="n"/>
      <c r="Y344" s="15">
        <f>IF(SUM(Z344:AA344)=2,"Confirm_Sell","No_Action")</f>
        <v/>
      </c>
      <c r="Z344" s="15">
        <f>IF(H344&gt;I344,1,0)</f>
        <v/>
      </c>
      <c r="AA344" s="15">
        <f>IF(K344&lt;M344,1,0)</f>
        <v/>
      </c>
      <c r="AB344" s="15" t="n"/>
      <c r="AC344" s="15">
        <f>LEFT(AG344,2)&amp;LEFT(AI344,2)</f>
        <v/>
      </c>
      <c r="AD344" s="15" t="n"/>
      <c r="AE344" s="15">
        <f>IF(K344&gt;L344,1,0)</f>
        <v/>
      </c>
      <c r="AF344" s="16">
        <f>IF(H344&gt;I344,1,0)</f>
        <v/>
      </c>
      <c r="AG344" s="16">
        <f>IF(SUM(AE344:AF344)=2,"Anticipatory_Buy","No_Action")</f>
        <v/>
      </c>
      <c r="AH344" s="15" t="n"/>
      <c r="AI344" s="15">
        <f>IF(SUM(AJ344:AK344)=2,"Confirm_Buy","No_Action")</f>
        <v/>
      </c>
      <c r="AJ344" s="15">
        <f>IF(H344&gt;I344,1,0)</f>
        <v/>
      </c>
      <c r="AK344" s="15">
        <f>IF(K344&gt;M344,1,0)</f>
        <v/>
      </c>
    </row>
    <row r="345" ht="14.5" customHeight="1">
      <c r="A345" s="12" t="inlineStr">
        <is>
          <t>ZYDUSLIFE</t>
        </is>
      </c>
      <c r="B345" s="13">
        <f>IFERROR(__xludf.DUMMYFUNCTION("GOOGLEFINANCE(""NSE:""&amp;A345,""PRICE"")"),985)</f>
        <v/>
      </c>
      <c r="C345" s="13">
        <f>IFERROR(__xludf.DUMMYFUNCTION("GOOGLEFINANCE(""NSE:""&amp;A345,""PRICEOPEN"")"),995.1)</f>
        <v/>
      </c>
      <c r="D345" s="13">
        <f>IFERROR(__xludf.DUMMYFUNCTION("GOOGLEFINANCE(""NSE:""&amp;A345,""HIGH"")"),1000)</f>
        <v/>
      </c>
      <c r="E345" s="13">
        <f>IFERROR(__xludf.DUMMYFUNCTION("GOOGLEFINANCE(""NSE:""&amp;A345,""LOW"")"),981)</f>
        <v/>
      </c>
      <c r="F345" s="13">
        <f>IFERROR(__xludf.DUMMYFUNCTION("GOOGLEFINANCE(""NSE:""&amp;A345,""closeyest"")"),995.1)</f>
        <v/>
      </c>
      <c r="G345" s="14">
        <f>(B345-C345)/B345</f>
        <v/>
      </c>
      <c r="H345" s="13">
        <f>IFERROR(__xludf.DUMMYFUNCTION("GOOGLEFINANCE(""NSE:""&amp;A345,""VOLUME"")"),1191543)</f>
        <v/>
      </c>
      <c r="I345" s="13">
        <f>IFERROR(__xludf.DUMMYFUNCTION("AVERAGE(index(GOOGLEFINANCE(""NSE:""&amp;$A345, ""volume"", today()-21, today()-1), , 2))"),"#N/A")</f>
        <v/>
      </c>
      <c r="J345" s="14">
        <f>(H345-I345)/I345</f>
        <v/>
      </c>
      <c r="K345" s="13">
        <f>IFERROR(__xludf.DUMMYFUNCTION("AVERAGE(index(GOOGLEFINANCE(""NSE:""&amp;$A345, ""close"", today()-6, today()-1), , 2))"),"#N/A")</f>
        <v/>
      </c>
      <c r="L345" s="13">
        <f>IFERROR(__xludf.DUMMYFUNCTION("AVERAGE(index(GOOGLEFINANCE(""NSE:""&amp;$A345, ""close"", today()-14, today()-1), , 2))"),"#N/A")</f>
        <v/>
      </c>
      <c r="M345" s="13">
        <f>IFERROR(__xludf.DUMMYFUNCTION("AVERAGE(index(GOOGLEFINANCE(""NSE:""&amp;$A345, ""close"", today()-22, today()-1), , 2))"),"#N/A")</f>
        <v/>
      </c>
      <c r="N345" s="13">
        <f>AG345</f>
        <v/>
      </c>
      <c r="O345" s="13">
        <f>AI345</f>
        <v/>
      </c>
      <c r="P345" s="13">
        <f>W345</f>
        <v/>
      </c>
      <c r="Q345" s="13">
        <f>Y345</f>
        <v/>
      </c>
      <c r="R345" s="15" t="n"/>
      <c r="S345" s="15">
        <f>LEFT(W345,2)&amp;LEFT(Y345,2)</f>
        <v/>
      </c>
      <c r="T345" s="15" t="n"/>
      <c r="U345" s="15">
        <f>IF(K345&lt;L345,1,0)</f>
        <v/>
      </c>
      <c r="V345" s="15">
        <f>IF(H345&gt;I345,1,0)</f>
        <v/>
      </c>
      <c r="W345" s="15">
        <f>IF(SUM(U345:V345)=2,"Anticipatory_Sell","No_Action")</f>
        <v/>
      </c>
      <c r="X345" s="15" t="n"/>
      <c r="Y345" s="15">
        <f>IF(SUM(Z345:AA345)=2,"Confirm_Sell","No_Action")</f>
        <v/>
      </c>
      <c r="Z345" s="15">
        <f>IF(H345&gt;I345,1,0)</f>
        <v/>
      </c>
      <c r="AA345" s="15">
        <f>IF(K345&lt;M345,1,0)</f>
        <v/>
      </c>
      <c r="AB345" s="15" t="n"/>
      <c r="AC345" s="15">
        <f>LEFT(AG345,2)&amp;LEFT(AI345,2)</f>
        <v/>
      </c>
      <c r="AD345" s="15" t="n"/>
      <c r="AE345" s="15">
        <f>IF(K345&gt;L345,1,0)</f>
        <v/>
      </c>
      <c r="AF345" s="16">
        <f>IF(H345&gt;I345,1,0)</f>
        <v/>
      </c>
      <c r="AG345" s="16">
        <f>IF(SUM(AE345:AF345)=2,"Anticipatory_Buy","No_Action")</f>
        <v/>
      </c>
      <c r="AH345" s="15" t="n"/>
      <c r="AI345" s="15">
        <f>IF(SUM(AJ345:AK345)=2,"Confirm_Buy","No_Action")</f>
        <v/>
      </c>
      <c r="AJ345" s="15">
        <f>IF(H345&gt;I345,1,0)</f>
        <v/>
      </c>
      <c r="AK345" s="15">
        <f>IF(K345&gt;M345,1,0)</f>
        <v/>
      </c>
    </row>
    <row r="346" ht="14.5" customHeight="1">
      <c r="A346" s="17" t="n"/>
      <c r="B346" s="15" t="n"/>
      <c r="C346" s="15" t="n"/>
      <c r="D346" s="15" t="n"/>
      <c r="E346" s="15" t="n"/>
      <c r="F346" s="15" t="n"/>
      <c r="G346" s="18" t="n"/>
      <c r="H346" s="15" t="n"/>
      <c r="I346" s="15" t="n"/>
      <c r="J346" s="18" t="n"/>
      <c r="K346" s="15" t="n"/>
      <c r="L346" s="15" t="n"/>
      <c r="M346" s="15" t="n"/>
      <c r="N346" s="15" t="n"/>
      <c r="O346" s="15" t="n"/>
      <c r="P346" s="15" t="n"/>
      <c r="Q346" s="15" t="n"/>
      <c r="R346" s="15" t="n"/>
      <c r="S346" s="15" t="n"/>
      <c r="T346" s="15" t="n"/>
      <c r="U346" s="15" t="n"/>
      <c r="V346" s="15" t="n"/>
      <c r="W346" s="15" t="n"/>
      <c r="X346" s="15" t="n"/>
      <c r="Y346" s="15" t="n"/>
      <c r="Z346" s="15" t="n"/>
      <c r="AA346" s="15" t="n"/>
      <c r="AB346" s="15" t="n"/>
      <c r="AC346" s="15" t="n"/>
      <c r="AD346" s="15" t="n"/>
      <c r="AE346" s="15" t="n"/>
      <c r="AH346" s="15" t="n"/>
      <c r="AI346" s="15" t="n"/>
      <c r="AJ346" s="15" t="n"/>
      <c r="AK346" s="15" t="n"/>
    </row>
    <row r="347" ht="14.5" customHeight="1">
      <c r="A347" s="17" t="n"/>
      <c r="B347" s="15" t="n"/>
      <c r="C347" s="15" t="n"/>
      <c r="D347" s="15" t="n"/>
      <c r="E347" s="15" t="n"/>
      <c r="F347" s="15" t="n"/>
      <c r="G347" s="18" t="n"/>
      <c r="H347" s="15" t="n"/>
      <c r="I347" s="15" t="n"/>
      <c r="J347" s="18" t="n"/>
      <c r="K347" s="15" t="n"/>
      <c r="L347" s="15" t="n"/>
      <c r="M347" s="15" t="n"/>
      <c r="N347" s="15" t="n"/>
      <c r="O347" s="15" t="n"/>
      <c r="P347" s="15" t="n"/>
      <c r="Q347" s="15" t="n"/>
      <c r="R347" s="15" t="n"/>
      <c r="S347" s="15" t="n"/>
      <c r="T347" s="15" t="n"/>
      <c r="U347" s="15" t="n"/>
      <c r="V347" s="15" t="n"/>
      <c r="W347" s="15" t="n"/>
      <c r="X347" s="15" t="n"/>
      <c r="Y347" s="15" t="n"/>
      <c r="Z347" s="15" t="n"/>
      <c r="AA347" s="15" t="n"/>
      <c r="AB347" s="15" t="n"/>
      <c r="AC347" s="15" t="n"/>
      <c r="AD347" s="15" t="n"/>
      <c r="AE347" s="15" t="n"/>
      <c r="AH347" s="15" t="n"/>
      <c r="AI347" s="15" t="n"/>
      <c r="AJ347" s="15" t="n"/>
      <c r="AK347" s="15" t="n"/>
    </row>
    <row r="348" ht="14.5" customHeight="1">
      <c r="A348" s="17" t="n"/>
      <c r="B348" s="15" t="n"/>
      <c r="C348" s="15" t="n"/>
      <c r="D348" s="15" t="n"/>
      <c r="E348" s="15" t="n"/>
      <c r="F348" s="15" t="n"/>
      <c r="G348" s="18" t="n"/>
      <c r="H348" s="15" t="n"/>
      <c r="I348" s="15" t="n"/>
      <c r="J348" s="18" t="n"/>
      <c r="K348" s="15" t="n"/>
      <c r="L348" s="15" t="n"/>
      <c r="M348" s="15" t="n"/>
      <c r="N348" s="15" t="n"/>
      <c r="O348" s="15" t="n"/>
      <c r="P348" s="15" t="n"/>
      <c r="Q348" s="15" t="n"/>
      <c r="R348" s="15" t="n"/>
      <c r="S348" s="15" t="n"/>
      <c r="T348" s="15" t="n"/>
      <c r="U348" s="15" t="n"/>
      <c r="V348" s="15" t="n"/>
      <c r="W348" s="15" t="n"/>
      <c r="X348" s="15" t="n"/>
      <c r="Y348" s="15" t="n"/>
      <c r="Z348" s="15" t="n"/>
      <c r="AA348" s="15" t="n"/>
      <c r="AB348" s="15" t="n"/>
      <c r="AC348" s="15" t="n"/>
      <c r="AD348" s="15" t="n"/>
      <c r="AE348" s="15" t="n"/>
      <c r="AH348" s="15" t="n"/>
      <c r="AI348" s="15" t="n"/>
      <c r="AJ348" s="15" t="n"/>
      <c r="AK348" s="15" t="n"/>
    </row>
    <row r="349" ht="14.5" customHeight="1">
      <c r="A349" s="17" t="n"/>
      <c r="B349" s="15" t="n"/>
      <c r="C349" s="15" t="n"/>
      <c r="D349" s="15" t="n"/>
      <c r="E349" s="15" t="n"/>
      <c r="F349" s="15" t="n"/>
      <c r="G349" s="18" t="n"/>
      <c r="H349" s="15" t="n"/>
      <c r="I349" s="15" t="n"/>
      <c r="J349" s="18" t="n"/>
      <c r="K349" s="15" t="n"/>
      <c r="L349" s="15" t="n"/>
      <c r="M349" s="15" t="n"/>
      <c r="N349" s="15" t="n"/>
      <c r="O349" s="15" t="n"/>
      <c r="P349" s="15" t="n"/>
      <c r="Q349" s="15" t="n"/>
      <c r="R349" s="15" t="n"/>
      <c r="S349" s="15" t="n"/>
      <c r="T349" s="15" t="n"/>
      <c r="U349" s="15" t="n"/>
      <c r="V349" s="15" t="n"/>
      <c r="W349" s="15" t="n"/>
      <c r="X349" s="15" t="n"/>
      <c r="Y349" s="15" t="n"/>
      <c r="Z349" s="15" t="n"/>
      <c r="AA349" s="15" t="n"/>
      <c r="AB349" s="15" t="n"/>
      <c r="AC349" s="15" t="n"/>
      <c r="AD349" s="15" t="n"/>
      <c r="AE349" s="15" t="n"/>
      <c r="AH349" s="15" t="n"/>
      <c r="AI349" s="15" t="n"/>
      <c r="AJ349" s="15" t="n"/>
      <c r="AK349" s="15" t="n"/>
    </row>
    <row r="350" ht="14.5" customHeight="1">
      <c r="A350" s="17" t="n"/>
      <c r="B350" s="15" t="n"/>
      <c r="C350" s="15" t="n"/>
      <c r="D350" s="15" t="n"/>
      <c r="E350" s="15" t="n"/>
      <c r="F350" s="15" t="n"/>
      <c r="G350" s="18" t="n"/>
      <c r="H350" s="15" t="n"/>
      <c r="I350" s="15" t="n"/>
      <c r="J350" s="18" t="n"/>
      <c r="K350" s="15" t="n"/>
      <c r="L350" s="15" t="n"/>
      <c r="M350" s="15" t="n"/>
      <c r="N350" s="15" t="n"/>
      <c r="O350" s="15" t="n"/>
      <c r="P350" s="15" t="n"/>
      <c r="Q350" s="15" t="n"/>
      <c r="R350" s="15" t="n"/>
      <c r="S350" s="15" t="n"/>
      <c r="T350" s="15" t="n"/>
      <c r="U350" s="15" t="n"/>
      <c r="V350" s="15" t="n"/>
      <c r="W350" s="15" t="n"/>
      <c r="X350" s="15" t="n"/>
      <c r="Y350" s="15" t="n"/>
      <c r="Z350" s="15" t="n"/>
      <c r="AA350" s="15" t="n"/>
      <c r="AB350" s="15" t="n"/>
      <c r="AC350" s="15" t="n"/>
      <c r="AD350" s="15" t="n"/>
      <c r="AE350" s="15" t="n"/>
      <c r="AH350" s="15" t="n"/>
      <c r="AI350" s="15" t="n"/>
      <c r="AJ350" s="15" t="n"/>
      <c r="AK350" s="15" t="n"/>
    </row>
    <row r="351" ht="14.5" customHeight="1">
      <c r="A351" s="17" t="n"/>
      <c r="B351" s="15" t="n"/>
      <c r="C351" s="15" t="n"/>
      <c r="D351" s="15" t="n"/>
      <c r="E351" s="15" t="n"/>
      <c r="F351" s="15" t="n"/>
      <c r="G351" s="18" t="n"/>
      <c r="H351" s="15" t="n"/>
      <c r="I351" s="15" t="n"/>
      <c r="J351" s="18" t="n"/>
      <c r="K351" s="15" t="n"/>
      <c r="L351" s="15" t="n"/>
      <c r="M351" s="15" t="n"/>
      <c r="N351" s="15" t="n"/>
      <c r="O351" s="15" t="n"/>
      <c r="P351" s="15" t="n"/>
      <c r="Q351" s="15" t="n"/>
      <c r="R351" s="15" t="n"/>
      <c r="S351" s="15" t="n"/>
      <c r="T351" s="15" t="n"/>
      <c r="U351" s="15" t="n"/>
      <c r="V351" s="15" t="n"/>
      <c r="W351" s="15" t="n"/>
      <c r="X351" s="15" t="n"/>
      <c r="Y351" s="15" t="n"/>
      <c r="Z351" s="15" t="n"/>
      <c r="AA351" s="15" t="n"/>
      <c r="AB351" s="15" t="n"/>
      <c r="AC351" s="15" t="n"/>
      <c r="AD351" s="15" t="n"/>
      <c r="AE351" s="15" t="n"/>
      <c r="AH351" s="15" t="n"/>
      <c r="AI351" s="15" t="n"/>
      <c r="AJ351" s="15" t="n"/>
      <c r="AK351" s="15" t="n"/>
    </row>
    <row r="352" ht="14.5" customHeight="1">
      <c r="A352" s="17" t="n"/>
      <c r="B352" s="15" t="n"/>
      <c r="C352" s="15" t="n"/>
      <c r="D352" s="15" t="n"/>
      <c r="E352" s="15" t="n"/>
      <c r="F352" s="15" t="n"/>
      <c r="G352" s="18" t="n"/>
      <c r="H352" s="15" t="n"/>
      <c r="I352" s="15" t="n"/>
      <c r="J352" s="18" t="n"/>
      <c r="K352" s="15" t="n"/>
      <c r="L352" s="15" t="n"/>
      <c r="M352" s="15" t="n"/>
      <c r="N352" s="15" t="n"/>
      <c r="O352" s="15" t="n"/>
      <c r="P352" s="15" t="n"/>
      <c r="Q352" s="15" t="n"/>
      <c r="R352" s="15" t="n"/>
      <c r="S352" s="15" t="n"/>
      <c r="T352" s="15" t="n"/>
      <c r="U352" s="15" t="n"/>
      <c r="V352" s="15" t="n"/>
      <c r="W352" s="15" t="n"/>
      <c r="X352" s="15" t="n"/>
      <c r="Y352" s="15" t="n"/>
      <c r="Z352" s="15" t="n"/>
      <c r="AA352" s="15" t="n"/>
      <c r="AB352" s="15" t="n"/>
      <c r="AC352" s="15" t="n"/>
      <c r="AD352" s="15" t="n"/>
      <c r="AE352" s="15" t="n"/>
      <c r="AH352" s="15" t="n"/>
      <c r="AI352" s="15" t="n"/>
      <c r="AJ352" s="15" t="n"/>
      <c r="AK352" s="15" t="n"/>
    </row>
    <row r="353" ht="14.5" customHeight="1">
      <c r="A353" s="17" t="n"/>
      <c r="B353" s="15" t="n"/>
      <c r="C353" s="15" t="n"/>
      <c r="D353" s="15" t="n"/>
      <c r="E353" s="15" t="n"/>
      <c r="F353" s="15" t="n"/>
      <c r="G353" s="18" t="n"/>
      <c r="H353" s="15" t="n"/>
      <c r="I353" s="15" t="n"/>
      <c r="J353" s="18" t="n"/>
      <c r="K353" s="15" t="n"/>
      <c r="L353" s="15" t="n"/>
      <c r="M353" s="15" t="n"/>
      <c r="N353" s="15" t="n"/>
      <c r="O353" s="15" t="n"/>
      <c r="P353" s="15" t="n"/>
      <c r="Q353" s="15" t="n"/>
      <c r="R353" s="15" t="n"/>
      <c r="S353" s="15" t="n"/>
      <c r="T353" s="15" t="n"/>
      <c r="U353" s="15" t="n"/>
      <c r="V353" s="15" t="n"/>
      <c r="W353" s="15" t="n"/>
      <c r="X353" s="15" t="n"/>
      <c r="Y353" s="15" t="n"/>
      <c r="Z353" s="15" t="n"/>
      <c r="AA353" s="15" t="n"/>
      <c r="AB353" s="15" t="n"/>
      <c r="AC353" s="15" t="n"/>
      <c r="AD353" s="15" t="n"/>
      <c r="AE353" s="15" t="n"/>
      <c r="AH353" s="15" t="n"/>
      <c r="AI353" s="15" t="n"/>
      <c r="AJ353" s="15" t="n"/>
      <c r="AK353" s="15" t="n"/>
    </row>
    <row r="354" ht="14.5" customHeight="1">
      <c r="A354" s="17" t="n"/>
      <c r="B354" s="15" t="n"/>
      <c r="C354" s="15" t="n"/>
      <c r="D354" s="15" t="n"/>
      <c r="E354" s="15" t="n"/>
      <c r="F354" s="15" t="n"/>
      <c r="G354" s="18" t="n"/>
      <c r="H354" s="15" t="n"/>
      <c r="I354" s="15" t="n"/>
      <c r="J354" s="18" t="n"/>
      <c r="K354" s="15" t="n"/>
      <c r="L354" s="15" t="n"/>
      <c r="M354" s="15" t="n"/>
      <c r="N354" s="15" t="n"/>
      <c r="O354" s="15" t="n"/>
      <c r="P354" s="15" t="n"/>
      <c r="Q354" s="15" t="n"/>
      <c r="R354" s="15" t="n"/>
      <c r="S354" s="15" t="n"/>
      <c r="T354" s="15" t="n"/>
      <c r="U354" s="15" t="n"/>
      <c r="V354" s="15" t="n"/>
      <c r="W354" s="15" t="n"/>
      <c r="X354" s="15" t="n"/>
      <c r="Y354" s="15" t="n"/>
      <c r="Z354" s="15" t="n"/>
      <c r="AA354" s="15" t="n"/>
      <c r="AB354" s="15" t="n"/>
      <c r="AC354" s="15" t="n"/>
      <c r="AD354" s="15" t="n"/>
      <c r="AE354" s="15" t="n"/>
      <c r="AH354" s="15" t="n"/>
      <c r="AI354" s="15" t="n"/>
      <c r="AJ354" s="15" t="n"/>
      <c r="AK354" s="15" t="n"/>
    </row>
    <row r="355" ht="14.5" customHeight="1">
      <c r="A355" s="17" t="n"/>
      <c r="B355" s="15" t="n"/>
      <c r="C355" s="15" t="n"/>
      <c r="D355" s="15" t="n"/>
      <c r="E355" s="15" t="n"/>
      <c r="F355" s="15" t="n"/>
      <c r="G355" s="18" t="n"/>
      <c r="H355" s="15" t="n"/>
      <c r="I355" s="15" t="n"/>
      <c r="J355" s="18" t="n"/>
      <c r="K355" s="15" t="n"/>
      <c r="L355" s="15" t="n"/>
      <c r="M355" s="15" t="n"/>
      <c r="N355" s="15" t="n"/>
      <c r="O355" s="15" t="n"/>
      <c r="P355" s="15" t="n"/>
      <c r="Q355" s="15" t="n"/>
      <c r="R355" s="15" t="n"/>
      <c r="S355" s="15" t="n"/>
      <c r="T355" s="15" t="n"/>
      <c r="U355" s="15" t="n"/>
      <c r="V355" s="15" t="n"/>
      <c r="W355" s="15" t="n"/>
      <c r="X355" s="15" t="n"/>
      <c r="Y355" s="15" t="n"/>
      <c r="Z355" s="15" t="n"/>
      <c r="AA355" s="15" t="n"/>
      <c r="AB355" s="15" t="n"/>
      <c r="AC355" s="15" t="n"/>
      <c r="AD355" s="15" t="n"/>
      <c r="AE355" s="15" t="n"/>
      <c r="AH355" s="15" t="n"/>
      <c r="AI355" s="15" t="n"/>
      <c r="AJ355" s="15" t="n"/>
      <c r="AK355" s="15" t="n"/>
    </row>
    <row r="356" ht="14.5" customHeight="1">
      <c r="A356" s="17" t="n"/>
      <c r="B356" s="15" t="n"/>
      <c r="C356" s="15" t="n"/>
      <c r="D356" s="15" t="n"/>
      <c r="E356" s="15" t="n"/>
      <c r="F356" s="15" t="n"/>
      <c r="G356" s="18" t="n"/>
      <c r="H356" s="15" t="n"/>
      <c r="I356" s="15" t="n"/>
      <c r="J356" s="18" t="n"/>
      <c r="K356" s="15" t="n"/>
      <c r="L356" s="15" t="n"/>
      <c r="M356" s="15" t="n"/>
      <c r="N356" s="15" t="n"/>
      <c r="O356" s="15" t="n"/>
      <c r="P356" s="15" t="n"/>
      <c r="Q356" s="15" t="n"/>
      <c r="R356" s="15" t="n"/>
      <c r="S356" s="15" t="n"/>
      <c r="T356" s="15" t="n"/>
      <c r="U356" s="15" t="n"/>
      <c r="V356" s="15" t="n"/>
      <c r="W356" s="15" t="n"/>
      <c r="X356" s="15" t="n"/>
      <c r="Y356" s="15" t="n"/>
      <c r="Z356" s="15" t="n"/>
      <c r="AA356" s="15" t="n"/>
      <c r="AB356" s="15" t="n"/>
      <c r="AC356" s="15" t="n"/>
      <c r="AD356" s="15" t="n"/>
      <c r="AE356" s="15" t="n"/>
      <c r="AH356" s="15" t="n"/>
      <c r="AI356" s="15" t="n"/>
      <c r="AJ356" s="15" t="n"/>
      <c r="AK356" s="15" t="n"/>
    </row>
    <row r="357" ht="14.5" customHeight="1">
      <c r="A357" s="17" t="n"/>
      <c r="B357" s="15" t="n"/>
      <c r="C357" s="15" t="n"/>
      <c r="D357" s="15" t="n"/>
      <c r="E357" s="15" t="n"/>
      <c r="F357" s="15" t="n"/>
      <c r="G357" s="18" t="n"/>
      <c r="H357" s="15" t="n"/>
      <c r="I357" s="15" t="n"/>
      <c r="J357" s="18" t="n"/>
      <c r="K357" s="15" t="n"/>
      <c r="L357" s="15" t="n"/>
      <c r="M357" s="15" t="n"/>
      <c r="N357" s="15" t="n"/>
      <c r="O357" s="15" t="n"/>
      <c r="P357" s="15" t="n"/>
      <c r="Q357" s="15" t="n"/>
      <c r="R357" s="15" t="n"/>
      <c r="S357" s="15" t="n"/>
      <c r="T357" s="15" t="n"/>
      <c r="U357" s="15" t="n"/>
      <c r="V357" s="15" t="n"/>
      <c r="W357" s="15" t="n"/>
      <c r="X357" s="15" t="n"/>
      <c r="Y357" s="15" t="n"/>
      <c r="Z357" s="15" t="n"/>
      <c r="AA357" s="15" t="n"/>
      <c r="AB357" s="15" t="n"/>
      <c r="AC357" s="15" t="n"/>
      <c r="AD357" s="15" t="n"/>
      <c r="AE357" s="15" t="n"/>
      <c r="AH357" s="15" t="n"/>
      <c r="AI357" s="15" t="n"/>
      <c r="AJ357" s="15" t="n"/>
      <c r="AK357" s="15" t="n"/>
    </row>
    <row r="358" ht="14.5" customHeight="1">
      <c r="A358" s="17" t="n"/>
      <c r="B358" s="15" t="n"/>
      <c r="C358" s="15" t="n"/>
      <c r="D358" s="15" t="n"/>
      <c r="E358" s="15" t="n"/>
      <c r="F358" s="15" t="n"/>
      <c r="G358" s="18" t="n"/>
      <c r="H358" s="15" t="n"/>
      <c r="I358" s="15" t="n"/>
      <c r="J358" s="18" t="n"/>
      <c r="K358" s="15" t="n"/>
      <c r="L358" s="15" t="n"/>
      <c r="M358" s="15" t="n"/>
      <c r="N358" s="15" t="n"/>
      <c r="O358" s="15" t="n"/>
      <c r="P358" s="15" t="n"/>
      <c r="Q358" s="15" t="n"/>
      <c r="R358" s="15" t="n"/>
      <c r="S358" s="15" t="n"/>
      <c r="T358" s="15" t="n"/>
      <c r="U358" s="15" t="n"/>
      <c r="V358" s="15" t="n"/>
      <c r="W358" s="15" t="n"/>
      <c r="X358" s="15" t="n"/>
      <c r="Y358" s="15" t="n"/>
      <c r="Z358" s="15" t="n"/>
      <c r="AA358" s="15" t="n"/>
      <c r="AB358" s="15" t="n"/>
      <c r="AC358" s="15" t="n"/>
      <c r="AD358" s="15" t="n"/>
      <c r="AE358" s="15" t="n"/>
      <c r="AH358" s="15" t="n"/>
      <c r="AI358" s="15" t="n"/>
      <c r="AJ358" s="15" t="n"/>
      <c r="AK358" s="15" t="n"/>
    </row>
    <row r="359" ht="14.5" customHeight="1">
      <c r="A359" s="17" t="n"/>
      <c r="B359" s="15" t="n"/>
      <c r="C359" s="15" t="n"/>
      <c r="D359" s="15" t="n"/>
      <c r="E359" s="15" t="n"/>
      <c r="F359" s="15" t="n"/>
      <c r="G359" s="18" t="n"/>
      <c r="H359" s="15" t="n"/>
      <c r="I359" s="15" t="n"/>
      <c r="J359" s="18" t="n"/>
      <c r="K359" s="15" t="n"/>
      <c r="L359" s="15" t="n"/>
      <c r="M359" s="15" t="n"/>
      <c r="N359" s="15" t="n"/>
      <c r="O359" s="15" t="n"/>
      <c r="P359" s="15" t="n"/>
      <c r="Q359" s="15" t="n"/>
      <c r="R359" s="15" t="n"/>
      <c r="S359" s="15" t="n"/>
      <c r="T359" s="15" t="n"/>
      <c r="U359" s="15" t="n"/>
      <c r="V359" s="15" t="n"/>
      <c r="W359" s="15" t="n"/>
      <c r="X359" s="15" t="n"/>
      <c r="Y359" s="15" t="n"/>
      <c r="Z359" s="15" t="n"/>
      <c r="AA359" s="15" t="n"/>
      <c r="AB359" s="15" t="n"/>
      <c r="AC359" s="15" t="n"/>
      <c r="AD359" s="15" t="n"/>
      <c r="AE359" s="15" t="n"/>
      <c r="AH359" s="15" t="n"/>
      <c r="AI359" s="15" t="n"/>
      <c r="AJ359" s="15" t="n"/>
      <c r="AK359" s="15" t="n"/>
    </row>
    <row r="360" ht="14.5" customHeight="1">
      <c r="A360" s="17" t="n"/>
      <c r="B360" s="15" t="n"/>
      <c r="C360" s="15" t="n"/>
      <c r="D360" s="15" t="n"/>
      <c r="E360" s="15" t="n"/>
      <c r="F360" s="15" t="n"/>
      <c r="G360" s="18" t="n"/>
      <c r="H360" s="15" t="n"/>
      <c r="I360" s="15" t="n"/>
      <c r="J360" s="18" t="n"/>
      <c r="K360" s="15" t="n"/>
      <c r="L360" s="15" t="n"/>
      <c r="M360" s="15" t="n"/>
      <c r="N360" s="15" t="n"/>
      <c r="O360" s="15" t="n"/>
      <c r="P360" s="15" t="n"/>
      <c r="Q360" s="15" t="n"/>
      <c r="R360" s="15" t="n"/>
      <c r="S360" s="15" t="n"/>
      <c r="T360" s="15" t="n"/>
      <c r="U360" s="15" t="n"/>
      <c r="V360" s="15" t="n"/>
      <c r="W360" s="15" t="n"/>
      <c r="X360" s="15" t="n"/>
      <c r="Y360" s="15" t="n"/>
      <c r="Z360" s="15" t="n"/>
      <c r="AA360" s="15" t="n"/>
      <c r="AB360" s="15" t="n"/>
      <c r="AC360" s="15" t="n"/>
      <c r="AD360" s="15" t="n"/>
      <c r="AE360" s="15" t="n"/>
      <c r="AH360" s="15" t="n"/>
      <c r="AI360" s="15" t="n"/>
      <c r="AJ360" s="15" t="n"/>
      <c r="AK360" s="15" t="n"/>
    </row>
    <row r="361" ht="14.5" customHeight="1">
      <c r="A361" s="17" t="n"/>
      <c r="B361" s="15" t="n"/>
      <c r="C361" s="15" t="n"/>
      <c r="D361" s="15" t="n"/>
      <c r="E361" s="15" t="n"/>
      <c r="F361" s="15" t="n"/>
      <c r="G361" s="18" t="n"/>
      <c r="H361" s="15" t="n"/>
      <c r="I361" s="15" t="n"/>
      <c r="J361" s="18" t="n"/>
      <c r="K361" s="15" t="n"/>
      <c r="L361" s="15" t="n"/>
      <c r="M361" s="15" t="n"/>
      <c r="N361" s="15" t="n"/>
      <c r="O361" s="15" t="n"/>
      <c r="P361" s="15" t="n"/>
      <c r="Q361" s="15" t="n"/>
      <c r="R361" s="15" t="n"/>
      <c r="S361" s="15" t="n"/>
      <c r="T361" s="15" t="n"/>
      <c r="U361" s="15" t="n"/>
      <c r="V361" s="15" t="n"/>
      <c r="W361" s="15" t="n"/>
      <c r="X361" s="15" t="n"/>
      <c r="Y361" s="15" t="n"/>
      <c r="Z361" s="15" t="n"/>
      <c r="AA361" s="15" t="n"/>
      <c r="AB361" s="15" t="n"/>
      <c r="AC361" s="15" t="n"/>
      <c r="AD361" s="15" t="n"/>
      <c r="AE361" s="15" t="n"/>
      <c r="AH361" s="15" t="n"/>
      <c r="AI361" s="15" t="n"/>
      <c r="AJ361" s="15" t="n"/>
      <c r="AK361" s="15" t="n"/>
    </row>
    <row r="362" ht="14.5" customHeight="1">
      <c r="A362" s="17" t="n"/>
      <c r="B362" s="15" t="n"/>
      <c r="C362" s="15" t="n"/>
      <c r="D362" s="15" t="n"/>
      <c r="E362" s="15" t="n"/>
      <c r="F362" s="15" t="n"/>
      <c r="G362" s="18" t="n"/>
      <c r="H362" s="15" t="n"/>
      <c r="I362" s="15" t="n"/>
      <c r="J362" s="18" t="n"/>
      <c r="K362" s="15" t="n"/>
      <c r="L362" s="15" t="n"/>
      <c r="M362" s="15" t="n"/>
      <c r="N362" s="15" t="n"/>
      <c r="O362" s="15" t="n"/>
      <c r="P362" s="15" t="n"/>
      <c r="Q362" s="15" t="n"/>
      <c r="R362" s="15" t="n"/>
      <c r="S362" s="15" t="n"/>
      <c r="T362" s="15" t="n"/>
      <c r="U362" s="15" t="n"/>
      <c r="V362" s="15" t="n"/>
      <c r="W362" s="15" t="n"/>
      <c r="X362" s="15" t="n"/>
      <c r="Y362" s="15" t="n"/>
      <c r="Z362" s="15" t="n"/>
      <c r="AA362" s="15" t="n"/>
      <c r="AB362" s="15" t="n"/>
      <c r="AC362" s="15" t="n"/>
      <c r="AD362" s="15" t="n"/>
      <c r="AE362" s="15" t="n"/>
      <c r="AH362" s="15" t="n"/>
      <c r="AI362" s="15" t="n"/>
      <c r="AJ362" s="15" t="n"/>
      <c r="AK362" s="15" t="n"/>
    </row>
    <row r="363" ht="14.5" customHeight="1">
      <c r="A363" s="17" t="n"/>
      <c r="B363" s="15" t="n"/>
      <c r="C363" s="15" t="n"/>
      <c r="D363" s="15" t="n"/>
      <c r="E363" s="15" t="n"/>
      <c r="F363" s="15" t="n"/>
      <c r="G363" s="18" t="n"/>
      <c r="H363" s="15" t="n"/>
      <c r="I363" s="15" t="n"/>
      <c r="J363" s="18" t="n"/>
      <c r="K363" s="15" t="n"/>
      <c r="L363" s="15" t="n"/>
      <c r="M363" s="15" t="n"/>
      <c r="N363" s="15" t="n"/>
      <c r="O363" s="15" t="n"/>
      <c r="P363" s="15" t="n"/>
      <c r="Q363" s="15" t="n"/>
      <c r="R363" s="15" t="n"/>
      <c r="S363" s="15" t="n"/>
      <c r="T363" s="15" t="n"/>
      <c r="U363" s="15" t="n"/>
      <c r="V363" s="15" t="n"/>
      <c r="W363" s="15" t="n"/>
      <c r="X363" s="15" t="n"/>
      <c r="Y363" s="15" t="n"/>
      <c r="Z363" s="15" t="n"/>
      <c r="AA363" s="15" t="n"/>
      <c r="AB363" s="15" t="n"/>
      <c r="AC363" s="15" t="n"/>
      <c r="AD363" s="15" t="n"/>
      <c r="AE363" s="15" t="n"/>
      <c r="AH363" s="15" t="n"/>
      <c r="AI363" s="15" t="n"/>
      <c r="AJ363" s="15" t="n"/>
      <c r="AK363" s="15" t="n"/>
    </row>
    <row r="364" ht="14.5" customHeight="1">
      <c r="A364" s="17" t="n"/>
      <c r="B364" s="15" t="n"/>
      <c r="C364" s="15" t="n"/>
      <c r="D364" s="15" t="n"/>
      <c r="E364" s="15" t="n"/>
      <c r="F364" s="15" t="n"/>
      <c r="G364" s="18" t="n"/>
      <c r="H364" s="15" t="n"/>
      <c r="I364" s="15" t="n"/>
      <c r="J364" s="18" t="n"/>
      <c r="K364" s="15" t="n"/>
      <c r="L364" s="15" t="n"/>
      <c r="M364" s="15" t="n"/>
      <c r="N364" s="15" t="n"/>
      <c r="O364" s="15" t="n"/>
      <c r="P364" s="15" t="n"/>
      <c r="Q364" s="15" t="n"/>
      <c r="R364" s="15" t="n"/>
      <c r="S364" s="15" t="n"/>
      <c r="T364" s="15" t="n"/>
      <c r="U364" s="15" t="n"/>
      <c r="V364" s="15" t="n"/>
      <c r="W364" s="15" t="n"/>
      <c r="X364" s="15" t="n"/>
      <c r="Y364" s="15" t="n"/>
      <c r="Z364" s="15" t="n"/>
      <c r="AA364" s="15" t="n"/>
      <c r="AB364" s="15" t="n"/>
      <c r="AC364" s="15" t="n"/>
      <c r="AD364" s="15" t="n"/>
      <c r="AE364" s="15" t="n"/>
      <c r="AH364" s="15" t="n"/>
      <c r="AI364" s="15" t="n"/>
      <c r="AJ364" s="15" t="n"/>
      <c r="AK364" s="15" t="n"/>
    </row>
    <row r="365" ht="14.5" customHeight="1">
      <c r="A365" s="17" t="n"/>
      <c r="B365" s="15" t="n"/>
      <c r="C365" s="15" t="n"/>
      <c r="D365" s="15" t="n"/>
      <c r="E365" s="15" t="n"/>
      <c r="F365" s="15" t="n"/>
      <c r="G365" s="18" t="n"/>
      <c r="H365" s="15" t="n"/>
      <c r="I365" s="15" t="n"/>
      <c r="J365" s="18" t="n"/>
      <c r="K365" s="15" t="n"/>
      <c r="L365" s="15" t="n"/>
      <c r="M365" s="15" t="n"/>
      <c r="N365" s="15" t="n"/>
      <c r="O365" s="15" t="n"/>
      <c r="P365" s="15" t="n"/>
      <c r="Q365" s="15" t="n"/>
      <c r="R365" s="15" t="n"/>
      <c r="S365" s="15" t="n"/>
      <c r="T365" s="15" t="n"/>
      <c r="U365" s="15" t="n"/>
      <c r="V365" s="15" t="n"/>
      <c r="W365" s="15" t="n"/>
      <c r="X365" s="15" t="n"/>
      <c r="Y365" s="15" t="n"/>
      <c r="Z365" s="15" t="n"/>
      <c r="AA365" s="15" t="n"/>
      <c r="AB365" s="15" t="n"/>
      <c r="AC365" s="15" t="n"/>
      <c r="AD365" s="15" t="n"/>
      <c r="AE365" s="15" t="n"/>
      <c r="AH365" s="15" t="n"/>
      <c r="AI365" s="15" t="n"/>
      <c r="AJ365" s="15" t="n"/>
      <c r="AK365" s="15" t="n"/>
    </row>
    <row r="366" ht="14.5" customHeight="1">
      <c r="A366" s="17" t="n"/>
      <c r="B366" s="15" t="n"/>
      <c r="C366" s="15" t="n"/>
      <c r="D366" s="15" t="n"/>
      <c r="E366" s="15" t="n"/>
      <c r="F366" s="15" t="n"/>
      <c r="G366" s="18" t="n"/>
      <c r="H366" s="15" t="n"/>
      <c r="I366" s="15" t="n"/>
      <c r="J366" s="18" t="n"/>
      <c r="K366" s="15" t="n"/>
      <c r="L366" s="15" t="n"/>
      <c r="M366" s="15" t="n"/>
      <c r="N366" s="15" t="n"/>
      <c r="O366" s="15" t="n"/>
      <c r="P366" s="15" t="n"/>
      <c r="Q366" s="15" t="n"/>
      <c r="R366" s="15" t="n"/>
      <c r="S366" s="15" t="n"/>
      <c r="T366" s="15" t="n"/>
      <c r="U366" s="15" t="n"/>
      <c r="V366" s="15" t="n"/>
      <c r="W366" s="15" t="n"/>
      <c r="X366" s="15" t="n"/>
      <c r="Y366" s="15" t="n"/>
      <c r="Z366" s="15" t="n"/>
      <c r="AA366" s="15" t="n"/>
      <c r="AB366" s="15" t="n"/>
      <c r="AC366" s="15" t="n"/>
      <c r="AD366" s="15" t="n"/>
      <c r="AE366" s="15" t="n"/>
      <c r="AH366" s="15" t="n"/>
      <c r="AI366" s="15" t="n"/>
      <c r="AJ366" s="15" t="n"/>
      <c r="AK366" s="15" t="n"/>
    </row>
    <row r="367" ht="14.5" customHeight="1">
      <c r="A367" s="17" t="n"/>
      <c r="B367" s="15" t="n"/>
      <c r="C367" s="15" t="n"/>
      <c r="D367" s="15" t="n"/>
      <c r="E367" s="15" t="n"/>
      <c r="F367" s="15" t="n"/>
      <c r="G367" s="18" t="n"/>
      <c r="H367" s="15" t="n"/>
      <c r="I367" s="15" t="n"/>
      <c r="J367" s="18" t="n"/>
      <c r="K367" s="15" t="n"/>
      <c r="L367" s="15" t="n"/>
      <c r="M367" s="15" t="n"/>
      <c r="N367" s="15" t="n"/>
      <c r="O367" s="15" t="n"/>
      <c r="P367" s="15" t="n"/>
      <c r="Q367" s="15" t="n"/>
      <c r="R367" s="15" t="n"/>
      <c r="S367" s="15" t="n"/>
      <c r="T367" s="15" t="n"/>
      <c r="U367" s="15" t="n"/>
      <c r="V367" s="15" t="n"/>
      <c r="W367" s="15" t="n"/>
      <c r="X367" s="15" t="n"/>
      <c r="Y367" s="15" t="n"/>
      <c r="Z367" s="15" t="n"/>
      <c r="AA367" s="15" t="n"/>
      <c r="AB367" s="15" t="n"/>
      <c r="AC367" s="15" t="n"/>
      <c r="AD367" s="15" t="n"/>
      <c r="AE367" s="15" t="n"/>
      <c r="AH367" s="15" t="n"/>
      <c r="AI367" s="15" t="n"/>
      <c r="AJ367" s="15" t="n"/>
      <c r="AK367" s="15" t="n"/>
    </row>
    <row r="368" ht="14.5" customHeight="1">
      <c r="A368" s="17" t="n"/>
      <c r="B368" s="15" t="n"/>
      <c r="C368" s="15" t="n"/>
      <c r="D368" s="15" t="n"/>
      <c r="E368" s="15" t="n"/>
      <c r="F368" s="15" t="n"/>
      <c r="G368" s="18" t="n"/>
      <c r="H368" s="15" t="n"/>
      <c r="I368" s="15" t="n"/>
      <c r="J368" s="18" t="n"/>
      <c r="K368" s="15" t="n"/>
      <c r="L368" s="15" t="n"/>
      <c r="M368" s="15" t="n"/>
      <c r="N368" s="15" t="n"/>
      <c r="O368" s="15" t="n"/>
      <c r="P368" s="15" t="n"/>
      <c r="Q368" s="15" t="n"/>
      <c r="R368" s="15" t="n"/>
      <c r="S368" s="15" t="n"/>
      <c r="T368" s="15" t="n"/>
      <c r="U368" s="15" t="n"/>
      <c r="V368" s="15" t="n"/>
      <c r="W368" s="15" t="n"/>
      <c r="X368" s="15" t="n"/>
      <c r="Y368" s="15" t="n"/>
      <c r="Z368" s="15" t="n"/>
      <c r="AA368" s="15" t="n"/>
      <c r="AB368" s="15" t="n"/>
      <c r="AC368" s="15" t="n"/>
      <c r="AD368" s="15" t="n"/>
      <c r="AE368" s="15" t="n"/>
      <c r="AH368" s="15" t="n"/>
      <c r="AI368" s="15" t="n"/>
      <c r="AJ368" s="15" t="n"/>
      <c r="AK368" s="15" t="n"/>
    </row>
    <row r="369" ht="14.5" customHeight="1">
      <c r="A369" s="17" t="n"/>
      <c r="B369" s="15" t="n"/>
      <c r="C369" s="15" t="n"/>
      <c r="D369" s="15" t="n"/>
      <c r="E369" s="15" t="n"/>
      <c r="F369" s="15" t="n"/>
      <c r="G369" s="18" t="n"/>
      <c r="H369" s="15" t="n"/>
      <c r="I369" s="15" t="n"/>
      <c r="J369" s="18" t="n"/>
      <c r="K369" s="15" t="n"/>
      <c r="L369" s="15" t="n"/>
      <c r="M369" s="15" t="n"/>
      <c r="N369" s="15" t="n"/>
      <c r="O369" s="15" t="n"/>
      <c r="P369" s="15" t="n"/>
      <c r="Q369" s="15" t="n"/>
      <c r="R369" s="15" t="n"/>
      <c r="S369" s="15" t="n"/>
      <c r="T369" s="15" t="n"/>
      <c r="U369" s="15" t="n"/>
      <c r="V369" s="15" t="n"/>
      <c r="W369" s="15" t="n"/>
      <c r="X369" s="15" t="n"/>
      <c r="Y369" s="15" t="n"/>
      <c r="Z369" s="15" t="n"/>
      <c r="AA369" s="15" t="n"/>
      <c r="AB369" s="15" t="n"/>
      <c r="AC369" s="15" t="n"/>
      <c r="AD369" s="15" t="n"/>
      <c r="AE369" s="15" t="n"/>
      <c r="AH369" s="15" t="n"/>
      <c r="AI369" s="15" t="n"/>
      <c r="AJ369" s="15" t="n"/>
      <c r="AK369" s="15" t="n"/>
    </row>
    <row r="370" ht="14.5" customHeight="1">
      <c r="A370" s="17" t="n"/>
      <c r="B370" s="15" t="n"/>
      <c r="C370" s="15" t="n"/>
      <c r="D370" s="15" t="n"/>
      <c r="E370" s="15" t="n"/>
      <c r="F370" s="15" t="n"/>
      <c r="G370" s="18" t="n"/>
      <c r="H370" s="15" t="n"/>
      <c r="I370" s="15" t="n"/>
      <c r="J370" s="18" t="n"/>
      <c r="K370" s="15" t="n"/>
      <c r="L370" s="15" t="n"/>
      <c r="M370" s="15" t="n"/>
      <c r="N370" s="15" t="n"/>
      <c r="O370" s="15" t="n"/>
      <c r="P370" s="15" t="n"/>
      <c r="Q370" s="15" t="n"/>
      <c r="R370" s="15" t="n"/>
      <c r="S370" s="15" t="n"/>
      <c r="T370" s="15" t="n"/>
      <c r="U370" s="15" t="n"/>
      <c r="V370" s="15" t="n"/>
      <c r="W370" s="15" t="n"/>
      <c r="X370" s="15" t="n"/>
      <c r="Y370" s="15" t="n"/>
      <c r="Z370" s="15" t="n"/>
      <c r="AA370" s="15" t="n"/>
      <c r="AB370" s="15" t="n"/>
      <c r="AC370" s="15" t="n"/>
      <c r="AD370" s="15" t="n"/>
      <c r="AE370" s="15" t="n"/>
      <c r="AH370" s="15" t="n"/>
      <c r="AI370" s="15" t="n"/>
      <c r="AJ370" s="15" t="n"/>
      <c r="AK370" s="15" t="n"/>
    </row>
    <row r="371" ht="14.5" customHeight="1">
      <c r="A371" s="17" t="n"/>
      <c r="B371" s="15" t="n"/>
      <c r="C371" s="15" t="n"/>
      <c r="D371" s="15" t="n"/>
      <c r="E371" s="15" t="n"/>
      <c r="F371" s="15" t="n"/>
      <c r="G371" s="18" t="n"/>
      <c r="H371" s="15" t="n"/>
      <c r="I371" s="15" t="n"/>
      <c r="J371" s="18" t="n"/>
      <c r="K371" s="15" t="n"/>
      <c r="L371" s="15" t="n"/>
      <c r="M371" s="15" t="n"/>
      <c r="N371" s="15" t="n"/>
      <c r="O371" s="15" t="n"/>
      <c r="P371" s="15" t="n"/>
      <c r="Q371" s="15" t="n"/>
      <c r="R371" s="15" t="n"/>
      <c r="S371" s="15" t="n"/>
      <c r="T371" s="15" t="n"/>
      <c r="U371" s="15" t="n"/>
      <c r="V371" s="15" t="n"/>
      <c r="W371" s="15" t="n"/>
      <c r="X371" s="15" t="n"/>
      <c r="Y371" s="15" t="n"/>
      <c r="Z371" s="15" t="n"/>
      <c r="AA371" s="15" t="n"/>
      <c r="AB371" s="15" t="n"/>
      <c r="AC371" s="15" t="n"/>
      <c r="AD371" s="15" t="n"/>
      <c r="AE371" s="15" t="n"/>
      <c r="AH371" s="15" t="n"/>
      <c r="AI371" s="15" t="n"/>
      <c r="AJ371" s="15" t="n"/>
      <c r="AK371" s="15" t="n"/>
    </row>
    <row r="372" ht="14.5" customHeight="1">
      <c r="A372" s="17" t="n"/>
      <c r="B372" s="15" t="n"/>
      <c r="C372" s="15" t="n"/>
      <c r="D372" s="15" t="n"/>
      <c r="E372" s="15" t="n"/>
      <c r="F372" s="15" t="n"/>
      <c r="G372" s="18" t="n"/>
      <c r="H372" s="15" t="n"/>
      <c r="I372" s="15" t="n"/>
      <c r="J372" s="18" t="n"/>
      <c r="K372" s="15" t="n"/>
      <c r="L372" s="15" t="n"/>
      <c r="M372" s="15" t="n"/>
      <c r="N372" s="15" t="n"/>
      <c r="O372" s="15" t="n"/>
      <c r="P372" s="15" t="n"/>
      <c r="Q372" s="15" t="n"/>
      <c r="R372" s="15" t="n"/>
      <c r="S372" s="15" t="n"/>
      <c r="T372" s="15" t="n"/>
      <c r="U372" s="15" t="n"/>
      <c r="V372" s="15" t="n"/>
      <c r="W372" s="15" t="n"/>
      <c r="X372" s="15" t="n"/>
      <c r="Y372" s="15" t="n"/>
      <c r="Z372" s="15" t="n"/>
      <c r="AA372" s="15" t="n"/>
      <c r="AB372" s="15" t="n"/>
      <c r="AC372" s="15" t="n"/>
      <c r="AD372" s="15" t="n"/>
      <c r="AE372" s="15" t="n"/>
      <c r="AH372" s="15" t="n"/>
      <c r="AI372" s="15" t="n"/>
      <c r="AJ372" s="15" t="n"/>
      <c r="AK372" s="15" t="n"/>
    </row>
    <row r="373" ht="14.5" customHeight="1">
      <c r="A373" s="17" t="n"/>
      <c r="B373" s="15" t="n"/>
      <c r="C373" s="15" t="n"/>
      <c r="D373" s="15" t="n"/>
      <c r="E373" s="15" t="n"/>
      <c r="F373" s="15" t="n"/>
      <c r="G373" s="18" t="n"/>
      <c r="H373" s="15" t="n"/>
      <c r="I373" s="15" t="n"/>
      <c r="J373" s="18" t="n"/>
      <c r="K373" s="15" t="n"/>
      <c r="L373" s="15" t="n"/>
      <c r="M373" s="15" t="n"/>
      <c r="N373" s="15" t="n"/>
      <c r="O373" s="15" t="n"/>
      <c r="P373" s="15" t="n"/>
      <c r="Q373" s="15" t="n"/>
      <c r="R373" s="15" t="n"/>
      <c r="S373" s="15" t="n"/>
      <c r="T373" s="15" t="n"/>
      <c r="U373" s="15" t="n"/>
      <c r="V373" s="15" t="n"/>
      <c r="W373" s="15" t="n"/>
      <c r="X373" s="15" t="n"/>
      <c r="Y373" s="15" t="n"/>
      <c r="Z373" s="15" t="n"/>
      <c r="AA373" s="15" t="n"/>
      <c r="AB373" s="15" t="n"/>
      <c r="AC373" s="15" t="n"/>
      <c r="AD373" s="15" t="n"/>
      <c r="AE373" s="15" t="n"/>
      <c r="AH373" s="15" t="n"/>
      <c r="AI373" s="15" t="n"/>
      <c r="AJ373" s="15" t="n"/>
      <c r="AK373" s="15" t="n"/>
    </row>
    <row r="374" ht="14.5" customHeight="1">
      <c r="A374" s="17" t="n"/>
      <c r="B374" s="15" t="n"/>
      <c r="C374" s="15" t="n"/>
      <c r="D374" s="15" t="n"/>
      <c r="E374" s="15" t="n"/>
      <c r="F374" s="15" t="n"/>
      <c r="G374" s="18" t="n"/>
      <c r="H374" s="15" t="n"/>
      <c r="I374" s="15" t="n"/>
      <c r="J374" s="18" t="n"/>
      <c r="K374" s="15" t="n"/>
      <c r="L374" s="15" t="n"/>
      <c r="M374" s="15" t="n"/>
      <c r="N374" s="15" t="n"/>
      <c r="O374" s="15" t="n"/>
      <c r="P374" s="15" t="n"/>
      <c r="Q374" s="15" t="n"/>
      <c r="R374" s="15" t="n"/>
      <c r="S374" s="15" t="n"/>
      <c r="T374" s="15" t="n"/>
      <c r="U374" s="15" t="n"/>
      <c r="V374" s="15" t="n"/>
      <c r="W374" s="15" t="n"/>
      <c r="X374" s="15" t="n"/>
      <c r="Y374" s="15" t="n"/>
      <c r="Z374" s="15" t="n"/>
      <c r="AA374" s="15" t="n"/>
      <c r="AB374" s="15" t="n"/>
      <c r="AC374" s="15" t="n"/>
      <c r="AD374" s="15" t="n"/>
      <c r="AE374" s="15" t="n"/>
      <c r="AH374" s="15" t="n"/>
      <c r="AI374" s="15" t="n"/>
      <c r="AJ374" s="15" t="n"/>
      <c r="AK374" s="15" t="n"/>
    </row>
    <row r="375" ht="14.5" customHeight="1">
      <c r="A375" s="17" t="n"/>
      <c r="B375" s="15" t="n"/>
      <c r="C375" s="15" t="n"/>
      <c r="D375" s="15" t="n"/>
      <c r="E375" s="15" t="n"/>
      <c r="F375" s="15" t="n"/>
      <c r="G375" s="18" t="n"/>
      <c r="H375" s="15" t="n"/>
      <c r="I375" s="15" t="n"/>
      <c r="J375" s="18" t="n"/>
      <c r="K375" s="15" t="n"/>
      <c r="L375" s="15" t="n"/>
      <c r="M375" s="15" t="n"/>
      <c r="N375" s="15" t="n"/>
      <c r="O375" s="15" t="n"/>
      <c r="P375" s="15" t="n"/>
      <c r="Q375" s="15" t="n"/>
      <c r="R375" s="15" t="n"/>
      <c r="S375" s="15" t="n"/>
      <c r="T375" s="15" t="n"/>
      <c r="U375" s="15" t="n"/>
      <c r="V375" s="15" t="n"/>
      <c r="W375" s="15" t="n"/>
      <c r="X375" s="15" t="n"/>
      <c r="Y375" s="15" t="n"/>
      <c r="Z375" s="15" t="n"/>
      <c r="AA375" s="15" t="n"/>
      <c r="AB375" s="15" t="n"/>
      <c r="AC375" s="15" t="n"/>
      <c r="AD375" s="15" t="n"/>
      <c r="AE375" s="15" t="n"/>
      <c r="AH375" s="15" t="n"/>
      <c r="AI375" s="15" t="n"/>
      <c r="AJ375" s="15" t="n"/>
      <c r="AK375" s="15" t="n"/>
    </row>
    <row r="376" ht="14.5" customHeight="1">
      <c r="A376" s="17" t="n"/>
      <c r="B376" s="15" t="n"/>
      <c r="C376" s="15" t="n"/>
      <c r="D376" s="15" t="n"/>
      <c r="E376" s="15" t="n"/>
      <c r="F376" s="15" t="n"/>
      <c r="G376" s="18" t="n"/>
      <c r="H376" s="15" t="n"/>
      <c r="I376" s="15" t="n"/>
      <c r="J376" s="18" t="n"/>
      <c r="K376" s="15" t="n"/>
      <c r="L376" s="15" t="n"/>
      <c r="M376" s="15" t="n"/>
      <c r="N376" s="15" t="n"/>
      <c r="O376" s="15" t="n"/>
      <c r="P376" s="15" t="n"/>
      <c r="Q376" s="15" t="n"/>
      <c r="R376" s="15" t="n"/>
      <c r="S376" s="15" t="n"/>
      <c r="T376" s="15" t="n"/>
      <c r="U376" s="15" t="n"/>
      <c r="V376" s="15" t="n"/>
      <c r="W376" s="15" t="n"/>
      <c r="X376" s="15" t="n"/>
      <c r="Y376" s="15" t="n"/>
      <c r="Z376" s="15" t="n"/>
      <c r="AA376" s="15" t="n"/>
      <c r="AB376" s="15" t="n"/>
      <c r="AC376" s="15" t="n"/>
      <c r="AD376" s="15" t="n"/>
      <c r="AE376" s="15" t="n"/>
      <c r="AH376" s="15" t="n"/>
      <c r="AI376" s="15" t="n"/>
      <c r="AJ376" s="15" t="n"/>
      <c r="AK376" s="15" t="n"/>
    </row>
    <row r="377" ht="14.5" customHeight="1">
      <c r="A377" s="17" t="n"/>
      <c r="B377" s="15" t="n"/>
      <c r="C377" s="15" t="n"/>
      <c r="D377" s="15" t="n"/>
      <c r="E377" s="15" t="n"/>
      <c r="F377" s="15" t="n"/>
      <c r="G377" s="18" t="n"/>
      <c r="H377" s="15" t="n"/>
      <c r="I377" s="15" t="n"/>
      <c r="J377" s="18" t="n"/>
      <c r="K377" s="15" t="n"/>
      <c r="L377" s="15" t="n"/>
      <c r="M377" s="15" t="n"/>
      <c r="N377" s="15" t="n"/>
      <c r="O377" s="15" t="n"/>
      <c r="P377" s="15" t="n"/>
      <c r="Q377" s="15" t="n"/>
      <c r="R377" s="15" t="n"/>
      <c r="S377" s="15" t="n"/>
      <c r="T377" s="15" t="n"/>
      <c r="U377" s="15" t="n"/>
      <c r="V377" s="15" t="n"/>
      <c r="W377" s="15" t="n"/>
      <c r="X377" s="15" t="n"/>
      <c r="Y377" s="15" t="n"/>
      <c r="Z377" s="15" t="n"/>
      <c r="AA377" s="15" t="n"/>
      <c r="AB377" s="15" t="n"/>
      <c r="AC377" s="15" t="n"/>
      <c r="AD377" s="15" t="n"/>
      <c r="AE377" s="15" t="n"/>
      <c r="AH377" s="15" t="n"/>
      <c r="AI377" s="15" t="n"/>
      <c r="AJ377" s="15" t="n"/>
      <c r="AK377" s="15" t="n"/>
    </row>
    <row r="378" ht="14.5" customHeight="1">
      <c r="A378" s="17" t="n"/>
      <c r="B378" s="15" t="n"/>
      <c r="C378" s="15" t="n"/>
      <c r="D378" s="15" t="n"/>
      <c r="E378" s="15" t="n"/>
      <c r="F378" s="15" t="n"/>
      <c r="G378" s="18" t="n"/>
      <c r="H378" s="15" t="n"/>
      <c r="I378" s="15" t="n"/>
      <c r="J378" s="18" t="n"/>
      <c r="K378" s="15" t="n"/>
      <c r="L378" s="15" t="n"/>
      <c r="M378" s="15" t="n"/>
      <c r="N378" s="15" t="n"/>
      <c r="O378" s="15" t="n"/>
      <c r="P378" s="15" t="n"/>
      <c r="Q378" s="15" t="n"/>
      <c r="R378" s="15" t="n"/>
      <c r="S378" s="15" t="n"/>
      <c r="T378" s="15" t="n"/>
      <c r="U378" s="15" t="n"/>
      <c r="V378" s="15" t="n"/>
      <c r="W378" s="15" t="n"/>
      <c r="X378" s="15" t="n"/>
      <c r="Y378" s="15" t="n"/>
      <c r="Z378" s="15" t="n"/>
      <c r="AA378" s="15" t="n"/>
      <c r="AB378" s="15" t="n"/>
      <c r="AC378" s="15" t="n"/>
      <c r="AD378" s="15" t="n"/>
      <c r="AE378" s="15" t="n"/>
      <c r="AH378" s="15" t="n"/>
      <c r="AI378" s="15" t="n"/>
      <c r="AJ378" s="15" t="n"/>
      <c r="AK378" s="15" t="n"/>
    </row>
    <row r="379" ht="14.5" customHeight="1">
      <c r="A379" s="17" t="n"/>
      <c r="B379" s="15" t="n"/>
      <c r="C379" s="15" t="n"/>
      <c r="D379" s="15" t="n"/>
      <c r="E379" s="15" t="n"/>
      <c r="F379" s="15" t="n"/>
      <c r="G379" s="18" t="n"/>
      <c r="H379" s="15" t="n"/>
      <c r="I379" s="15" t="n"/>
      <c r="J379" s="18" t="n"/>
      <c r="K379" s="15" t="n"/>
      <c r="L379" s="15" t="n"/>
      <c r="M379" s="15" t="n"/>
      <c r="N379" s="15" t="n"/>
      <c r="O379" s="15" t="n"/>
      <c r="P379" s="15" t="n"/>
      <c r="Q379" s="15" t="n"/>
      <c r="R379" s="15" t="n"/>
      <c r="S379" s="15" t="n"/>
      <c r="T379" s="15" t="n"/>
      <c r="U379" s="15" t="n"/>
      <c r="V379" s="15" t="n"/>
      <c r="W379" s="15" t="n"/>
      <c r="X379" s="15" t="n"/>
      <c r="Y379" s="15" t="n"/>
      <c r="Z379" s="15" t="n"/>
      <c r="AA379" s="15" t="n"/>
      <c r="AB379" s="15" t="n"/>
      <c r="AC379" s="15" t="n"/>
      <c r="AD379" s="15" t="n"/>
      <c r="AE379" s="15" t="n"/>
      <c r="AH379" s="15" t="n"/>
      <c r="AI379" s="15" t="n"/>
      <c r="AJ379" s="15" t="n"/>
      <c r="AK379" s="15" t="n"/>
    </row>
    <row r="380" ht="14.5" customHeight="1">
      <c r="A380" s="17" t="n"/>
      <c r="B380" s="15" t="n"/>
      <c r="C380" s="15" t="n"/>
      <c r="D380" s="15" t="n"/>
      <c r="E380" s="15" t="n"/>
      <c r="F380" s="15" t="n"/>
      <c r="G380" s="18" t="n"/>
      <c r="H380" s="15" t="n"/>
      <c r="I380" s="15" t="n"/>
      <c r="J380" s="18" t="n"/>
      <c r="K380" s="15" t="n"/>
      <c r="L380" s="15" t="n"/>
      <c r="M380" s="15" t="n"/>
      <c r="N380" s="15" t="n"/>
      <c r="O380" s="15" t="n"/>
      <c r="P380" s="15" t="n"/>
      <c r="Q380" s="15" t="n"/>
      <c r="R380" s="15" t="n"/>
      <c r="S380" s="15" t="n"/>
      <c r="T380" s="15" t="n"/>
      <c r="U380" s="15" t="n"/>
      <c r="V380" s="15" t="n"/>
      <c r="W380" s="15" t="n"/>
      <c r="X380" s="15" t="n"/>
      <c r="Y380" s="15" t="n"/>
      <c r="Z380" s="15" t="n"/>
      <c r="AA380" s="15" t="n"/>
      <c r="AB380" s="15" t="n"/>
      <c r="AC380" s="15" t="n"/>
      <c r="AD380" s="15" t="n"/>
      <c r="AE380" s="15" t="n"/>
      <c r="AH380" s="15" t="n"/>
      <c r="AI380" s="15" t="n"/>
      <c r="AJ380" s="15" t="n"/>
      <c r="AK380" s="15" t="n"/>
    </row>
    <row r="381" ht="14.5" customHeight="1">
      <c r="A381" s="17" t="n"/>
      <c r="B381" s="15" t="n"/>
      <c r="C381" s="15" t="n"/>
      <c r="D381" s="15" t="n"/>
      <c r="E381" s="15" t="n"/>
      <c r="F381" s="15" t="n"/>
      <c r="G381" s="18" t="n"/>
      <c r="H381" s="15" t="n"/>
      <c r="I381" s="15" t="n"/>
      <c r="J381" s="18" t="n"/>
      <c r="K381" s="15" t="n"/>
      <c r="L381" s="15" t="n"/>
      <c r="M381" s="15" t="n"/>
      <c r="N381" s="15" t="n"/>
      <c r="O381" s="15" t="n"/>
      <c r="P381" s="15" t="n"/>
      <c r="Q381" s="15" t="n"/>
      <c r="R381" s="15" t="n"/>
      <c r="S381" s="15" t="n"/>
      <c r="T381" s="15" t="n"/>
      <c r="U381" s="15" t="n"/>
      <c r="V381" s="15" t="n"/>
      <c r="W381" s="15" t="n"/>
      <c r="X381" s="15" t="n"/>
      <c r="Y381" s="15" t="n"/>
      <c r="Z381" s="15" t="n"/>
      <c r="AA381" s="15" t="n"/>
      <c r="AB381" s="15" t="n"/>
      <c r="AC381" s="15" t="n"/>
      <c r="AD381" s="15" t="n"/>
      <c r="AE381" s="15" t="n"/>
      <c r="AH381" s="15" t="n"/>
      <c r="AI381" s="15" t="n"/>
      <c r="AJ381" s="15" t="n"/>
      <c r="AK381" s="15" t="n"/>
    </row>
    <row r="382" ht="14.5" customHeight="1">
      <c r="A382" s="17" t="n"/>
      <c r="B382" s="15" t="n"/>
      <c r="C382" s="15" t="n"/>
      <c r="D382" s="15" t="n"/>
      <c r="E382" s="15" t="n"/>
      <c r="F382" s="15" t="n"/>
      <c r="G382" s="18" t="n"/>
      <c r="H382" s="15" t="n"/>
      <c r="I382" s="15" t="n"/>
      <c r="J382" s="18" t="n"/>
      <c r="K382" s="15" t="n"/>
      <c r="L382" s="15" t="n"/>
      <c r="M382" s="15" t="n"/>
      <c r="N382" s="15" t="n"/>
      <c r="O382" s="15" t="n"/>
      <c r="P382" s="15" t="n"/>
      <c r="Q382" s="15" t="n"/>
      <c r="R382" s="15" t="n"/>
      <c r="S382" s="15" t="n"/>
      <c r="T382" s="15" t="n"/>
      <c r="U382" s="15" t="n"/>
      <c r="V382" s="15" t="n"/>
      <c r="W382" s="15" t="n"/>
      <c r="X382" s="15" t="n"/>
      <c r="Y382" s="15" t="n"/>
      <c r="Z382" s="15" t="n"/>
      <c r="AA382" s="15" t="n"/>
      <c r="AB382" s="15" t="n"/>
      <c r="AC382" s="15" t="n"/>
      <c r="AD382" s="15" t="n"/>
      <c r="AE382" s="15" t="n"/>
      <c r="AH382" s="15" t="n"/>
      <c r="AI382" s="15" t="n"/>
      <c r="AJ382" s="15" t="n"/>
      <c r="AK382" s="15" t="n"/>
    </row>
    <row r="383" ht="14.5" customHeight="1">
      <c r="A383" s="17" t="n"/>
      <c r="B383" s="15" t="n"/>
      <c r="C383" s="15" t="n"/>
      <c r="D383" s="15" t="n"/>
      <c r="E383" s="15" t="n"/>
      <c r="F383" s="15" t="n"/>
      <c r="G383" s="18" t="n"/>
      <c r="H383" s="15" t="n"/>
      <c r="I383" s="15" t="n"/>
      <c r="J383" s="18" t="n"/>
      <c r="K383" s="15" t="n"/>
      <c r="L383" s="15" t="n"/>
      <c r="M383" s="15" t="n"/>
      <c r="N383" s="15" t="n"/>
      <c r="O383" s="15" t="n"/>
      <c r="P383" s="15" t="n"/>
      <c r="Q383" s="15" t="n"/>
      <c r="R383" s="15" t="n"/>
      <c r="S383" s="15" t="n"/>
      <c r="T383" s="15" t="n"/>
      <c r="U383" s="15" t="n"/>
      <c r="V383" s="15" t="n"/>
      <c r="W383" s="15" t="n"/>
      <c r="X383" s="15" t="n"/>
      <c r="Y383" s="15" t="n"/>
      <c r="Z383" s="15" t="n"/>
      <c r="AA383" s="15" t="n"/>
      <c r="AB383" s="15" t="n"/>
      <c r="AC383" s="15" t="n"/>
      <c r="AD383" s="15" t="n"/>
      <c r="AE383" s="15" t="n"/>
      <c r="AH383" s="15" t="n"/>
      <c r="AI383" s="15" t="n"/>
      <c r="AJ383" s="15" t="n"/>
      <c r="AK383" s="15" t="n"/>
    </row>
    <row r="384" ht="14.5" customHeight="1">
      <c r="A384" s="17" t="n"/>
      <c r="B384" s="15" t="n"/>
      <c r="C384" s="15" t="n"/>
      <c r="D384" s="15" t="n"/>
      <c r="E384" s="15" t="n"/>
      <c r="F384" s="15" t="n"/>
      <c r="G384" s="18" t="n"/>
      <c r="H384" s="15" t="n"/>
      <c r="I384" s="15" t="n"/>
      <c r="J384" s="18" t="n"/>
      <c r="K384" s="15" t="n"/>
      <c r="L384" s="15" t="n"/>
      <c r="M384" s="15" t="n"/>
      <c r="N384" s="15" t="n"/>
      <c r="O384" s="15" t="n"/>
      <c r="P384" s="15" t="n"/>
      <c r="Q384" s="15" t="n"/>
      <c r="R384" s="15" t="n"/>
      <c r="S384" s="15" t="n"/>
      <c r="T384" s="15" t="n"/>
      <c r="U384" s="15" t="n"/>
      <c r="V384" s="15" t="n"/>
      <c r="W384" s="15" t="n"/>
      <c r="X384" s="15" t="n"/>
      <c r="Y384" s="15" t="n"/>
      <c r="Z384" s="15" t="n"/>
      <c r="AA384" s="15" t="n"/>
      <c r="AB384" s="15" t="n"/>
      <c r="AC384" s="15" t="n"/>
      <c r="AD384" s="15" t="n"/>
      <c r="AE384" s="15" t="n"/>
      <c r="AH384" s="15" t="n"/>
      <c r="AI384" s="15" t="n"/>
      <c r="AJ384" s="15" t="n"/>
      <c r="AK384" s="15" t="n"/>
    </row>
    <row r="385" ht="14.5" customHeight="1">
      <c r="A385" s="17" t="n"/>
      <c r="B385" s="15" t="n"/>
      <c r="C385" s="15" t="n"/>
      <c r="D385" s="15" t="n"/>
      <c r="E385" s="15" t="n"/>
      <c r="F385" s="15" t="n"/>
      <c r="G385" s="18" t="n"/>
      <c r="H385" s="15" t="n"/>
      <c r="I385" s="15" t="n"/>
      <c r="J385" s="18" t="n"/>
      <c r="K385" s="15" t="n"/>
      <c r="L385" s="15" t="n"/>
      <c r="M385" s="15" t="n"/>
      <c r="N385" s="15" t="n"/>
      <c r="O385" s="15" t="n"/>
      <c r="P385" s="15" t="n"/>
      <c r="Q385" s="15" t="n"/>
      <c r="R385" s="15" t="n"/>
      <c r="S385" s="15" t="n"/>
      <c r="T385" s="15" t="n"/>
      <c r="U385" s="15" t="n"/>
      <c r="V385" s="15" t="n"/>
      <c r="W385" s="15" t="n"/>
      <c r="X385" s="15" t="n"/>
      <c r="Y385" s="15" t="n"/>
      <c r="Z385" s="15" t="n"/>
      <c r="AA385" s="15" t="n"/>
      <c r="AB385" s="15" t="n"/>
      <c r="AC385" s="15" t="n"/>
      <c r="AD385" s="15" t="n"/>
      <c r="AE385" s="15" t="n"/>
      <c r="AH385" s="15" t="n"/>
      <c r="AI385" s="15" t="n"/>
      <c r="AJ385" s="15" t="n"/>
      <c r="AK385" s="15" t="n"/>
    </row>
    <row r="386" ht="14.5" customHeight="1">
      <c r="A386" s="17" t="n"/>
      <c r="B386" s="15" t="n"/>
      <c r="C386" s="15" t="n"/>
      <c r="D386" s="15" t="n"/>
      <c r="E386" s="15" t="n"/>
      <c r="F386" s="15" t="n"/>
      <c r="G386" s="18" t="n"/>
      <c r="H386" s="15" t="n"/>
      <c r="I386" s="15" t="n"/>
      <c r="J386" s="18" t="n"/>
      <c r="K386" s="15" t="n"/>
      <c r="L386" s="15" t="n"/>
      <c r="M386" s="15" t="n"/>
      <c r="N386" s="15" t="n"/>
      <c r="O386" s="15" t="n"/>
      <c r="P386" s="15" t="n"/>
      <c r="Q386" s="15" t="n"/>
      <c r="R386" s="15" t="n"/>
      <c r="S386" s="15" t="n"/>
      <c r="T386" s="15" t="n"/>
      <c r="U386" s="15" t="n"/>
      <c r="V386" s="15" t="n"/>
      <c r="W386" s="15" t="n"/>
      <c r="X386" s="15" t="n"/>
      <c r="Y386" s="15" t="n"/>
      <c r="Z386" s="15" t="n"/>
      <c r="AA386" s="15" t="n"/>
      <c r="AB386" s="15" t="n"/>
      <c r="AC386" s="15" t="n"/>
      <c r="AD386" s="15" t="n"/>
      <c r="AE386" s="15" t="n"/>
      <c r="AH386" s="15" t="n"/>
      <c r="AI386" s="15" t="n"/>
      <c r="AJ386" s="15" t="n"/>
      <c r="AK386" s="15" t="n"/>
    </row>
    <row r="387" ht="14.5" customHeight="1">
      <c r="A387" s="17" t="n"/>
      <c r="B387" s="15" t="n"/>
      <c r="C387" s="15" t="n"/>
      <c r="D387" s="15" t="n"/>
      <c r="E387" s="15" t="n"/>
      <c r="F387" s="15" t="n"/>
      <c r="G387" s="18" t="n"/>
      <c r="H387" s="15" t="n"/>
      <c r="I387" s="15" t="n"/>
      <c r="J387" s="18" t="n"/>
      <c r="K387" s="15" t="n"/>
      <c r="L387" s="15" t="n"/>
      <c r="M387" s="15" t="n"/>
      <c r="N387" s="15" t="n"/>
      <c r="O387" s="15" t="n"/>
      <c r="P387" s="15" t="n"/>
      <c r="Q387" s="15" t="n"/>
      <c r="R387" s="15" t="n"/>
      <c r="S387" s="15" t="n"/>
      <c r="T387" s="15" t="n"/>
      <c r="U387" s="15" t="n"/>
      <c r="V387" s="15" t="n"/>
      <c r="W387" s="15" t="n"/>
      <c r="X387" s="15" t="n"/>
      <c r="Y387" s="15" t="n"/>
      <c r="Z387" s="15" t="n"/>
      <c r="AA387" s="15" t="n"/>
      <c r="AB387" s="15" t="n"/>
      <c r="AC387" s="15" t="n"/>
      <c r="AD387" s="15" t="n"/>
      <c r="AE387" s="15" t="n"/>
      <c r="AH387" s="15" t="n"/>
      <c r="AI387" s="15" t="n"/>
      <c r="AJ387" s="15" t="n"/>
      <c r="AK387" s="15" t="n"/>
    </row>
    <row r="388" ht="14.5" customHeight="1">
      <c r="A388" s="17" t="n"/>
      <c r="B388" s="15" t="n"/>
      <c r="C388" s="15" t="n"/>
      <c r="D388" s="15" t="n"/>
      <c r="E388" s="15" t="n"/>
      <c r="F388" s="15" t="n"/>
      <c r="G388" s="18" t="n"/>
      <c r="H388" s="15" t="n"/>
      <c r="I388" s="15" t="n"/>
      <c r="J388" s="18" t="n"/>
      <c r="K388" s="15" t="n"/>
      <c r="L388" s="15" t="n"/>
      <c r="M388" s="15" t="n"/>
      <c r="N388" s="15" t="n"/>
      <c r="O388" s="15" t="n"/>
      <c r="P388" s="15" t="n"/>
      <c r="Q388" s="15" t="n"/>
      <c r="R388" s="15" t="n"/>
      <c r="S388" s="15" t="n"/>
      <c r="T388" s="15" t="n"/>
      <c r="U388" s="15" t="n"/>
      <c r="V388" s="15" t="n"/>
      <c r="W388" s="15" t="n"/>
      <c r="X388" s="15" t="n"/>
      <c r="Y388" s="15" t="n"/>
      <c r="Z388" s="15" t="n"/>
      <c r="AA388" s="15" t="n"/>
      <c r="AB388" s="15" t="n"/>
      <c r="AC388" s="15" t="n"/>
      <c r="AD388" s="15" t="n"/>
      <c r="AE388" s="15" t="n"/>
      <c r="AH388" s="15" t="n"/>
      <c r="AI388" s="15" t="n"/>
      <c r="AJ388" s="15" t="n"/>
      <c r="AK388" s="15" t="n"/>
    </row>
    <row r="389" ht="14.5" customHeight="1">
      <c r="A389" s="17" t="n"/>
      <c r="B389" s="15" t="n"/>
      <c r="C389" s="15" t="n"/>
      <c r="D389" s="15" t="n"/>
      <c r="E389" s="15" t="n"/>
      <c r="F389" s="15" t="n"/>
      <c r="G389" s="18" t="n"/>
      <c r="H389" s="15" t="n"/>
      <c r="I389" s="15" t="n"/>
      <c r="J389" s="18" t="n"/>
      <c r="K389" s="15" t="n"/>
      <c r="L389" s="15" t="n"/>
      <c r="M389" s="15" t="n"/>
      <c r="N389" s="15" t="n"/>
      <c r="O389" s="15" t="n"/>
      <c r="P389" s="15" t="n"/>
      <c r="Q389" s="15" t="n"/>
      <c r="R389" s="15" t="n"/>
      <c r="S389" s="15" t="n"/>
      <c r="T389" s="15" t="n"/>
      <c r="U389" s="15" t="n"/>
      <c r="V389" s="15" t="n"/>
      <c r="W389" s="15" t="n"/>
      <c r="X389" s="15" t="n"/>
      <c r="Y389" s="15" t="n"/>
      <c r="Z389" s="15" t="n"/>
      <c r="AA389" s="15" t="n"/>
      <c r="AB389" s="15" t="n"/>
      <c r="AC389" s="15" t="n"/>
      <c r="AD389" s="15" t="n"/>
      <c r="AE389" s="15" t="n"/>
      <c r="AH389" s="15" t="n"/>
      <c r="AI389" s="15" t="n"/>
      <c r="AJ389" s="15" t="n"/>
      <c r="AK389" s="15" t="n"/>
    </row>
    <row r="390" ht="14.5" customHeight="1">
      <c r="A390" s="17" t="n"/>
      <c r="B390" s="15" t="n"/>
      <c r="C390" s="15" t="n"/>
      <c r="D390" s="15" t="n"/>
      <c r="E390" s="15" t="n"/>
      <c r="F390" s="15" t="n"/>
      <c r="G390" s="18" t="n"/>
      <c r="H390" s="15" t="n"/>
      <c r="I390" s="15" t="n"/>
      <c r="J390" s="18" t="n"/>
      <c r="K390" s="15" t="n"/>
      <c r="L390" s="15" t="n"/>
      <c r="M390" s="15" t="n"/>
      <c r="N390" s="15" t="n"/>
      <c r="O390" s="15" t="n"/>
      <c r="P390" s="15" t="n"/>
      <c r="Q390" s="15" t="n"/>
      <c r="R390" s="15" t="n"/>
      <c r="S390" s="15" t="n"/>
      <c r="T390" s="15" t="n"/>
      <c r="U390" s="15" t="n"/>
      <c r="V390" s="15" t="n"/>
      <c r="W390" s="15" t="n"/>
      <c r="X390" s="15" t="n"/>
      <c r="Y390" s="15" t="n"/>
      <c r="Z390" s="15" t="n"/>
      <c r="AA390" s="15" t="n"/>
      <c r="AB390" s="15" t="n"/>
      <c r="AC390" s="15" t="n"/>
      <c r="AD390" s="15" t="n"/>
      <c r="AE390" s="15" t="n"/>
      <c r="AH390" s="15" t="n"/>
      <c r="AI390" s="15" t="n"/>
      <c r="AJ390" s="15" t="n"/>
      <c r="AK390" s="15" t="n"/>
    </row>
    <row r="391" ht="14.5" customHeight="1">
      <c r="A391" s="17" t="n"/>
      <c r="B391" s="15" t="n"/>
      <c r="C391" s="15" t="n"/>
      <c r="D391" s="15" t="n"/>
      <c r="E391" s="15" t="n"/>
      <c r="F391" s="15" t="n"/>
      <c r="G391" s="18" t="n"/>
      <c r="H391" s="15" t="n"/>
      <c r="I391" s="15" t="n"/>
      <c r="J391" s="18" t="n"/>
      <c r="K391" s="15" t="n"/>
      <c r="L391" s="15" t="n"/>
      <c r="M391" s="15" t="n"/>
      <c r="N391" s="15" t="n"/>
      <c r="O391" s="15" t="n"/>
      <c r="P391" s="15" t="n"/>
      <c r="Q391" s="15" t="n"/>
      <c r="R391" s="15" t="n"/>
      <c r="S391" s="15" t="n"/>
      <c r="T391" s="15" t="n"/>
      <c r="U391" s="15" t="n"/>
      <c r="V391" s="15" t="n"/>
      <c r="W391" s="15" t="n"/>
      <c r="X391" s="15" t="n"/>
      <c r="Y391" s="15" t="n"/>
      <c r="Z391" s="15" t="n"/>
      <c r="AA391" s="15" t="n"/>
      <c r="AB391" s="15" t="n"/>
      <c r="AC391" s="15" t="n"/>
      <c r="AD391" s="15" t="n"/>
      <c r="AE391" s="15" t="n"/>
      <c r="AH391" s="15" t="n"/>
      <c r="AI391" s="15" t="n"/>
      <c r="AJ391" s="15" t="n"/>
      <c r="AK391" s="15" t="n"/>
    </row>
    <row r="392" ht="14.5" customHeight="1">
      <c r="A392" s="17" t="n"/>
      <c r="B392" s="15" t="n"/>
      <c r="C392" s="15" t="n"/>
      <c r="D392" s="15" t="n"/>
      <c r="E392" s="15" t="n"/>
      <c r="F392" s="15" t="n"/>
      <c r="G392" s="18" t="n"/>
      <c r="H392" s="15" t="n"/>
      <c r="I392" s="15" t="n"/>
      <c r="J392" s="18" t="n"/>
      <c r="K392" s="15" t="n"/>
      <c r="L392" s="15" t="n"/>
      <c r="M392" s="15" t="n"/>
      <c r="N392" s="15" t="n"/>
      <c r="O392" s="15" t="n"/>
      <c r="P392" s="15" t="n"/>
      <c r="Q392" s="15" t="n"/>
      <c r="R392" s="15" t="n"/>
      <c r="S392" s="15" t="n"/>
      <c r="T392" s="15" t="n"/>
      <c r="U392" s="15" t="n"/>
      <c r="V392" s="15" t="n"/>
      <c r="W392" s="15" t="n"/>
      <c r="X392" s="15" t="n"/>
      <c r="Y392" s="15" t="n"/>
      <c r="Z392" s="15" t="n"/>
      <c r="AA392" s="15" t="n"/>
      <c r="AB392" s="15" t="n"/>
      <c r="AC392" s="15" t="n"/>
      <c r="AD392" s="15" t="n"/>
      <c r="AE392" s="15" t="n"/>
      <c r="AH392" s="15" t="n"/>
      <c r="AI392" s="15" t="n"/>
      <c r="AJ392" s="15" t="n"/>
      <c r="AK392" s="15" t="n"/>
    </row>
    <row r="393" ht="14.5" customHeight="1">
      <c r="A393" s="17" t="n"/>
      <c r="B393" s="15" t="n"/>
      <c r="C393" s="15" t="n"/>
      <c r="D393" s="15" t="n"/>
      <c r="E393" s="15" t="n"/>
      <c r="F393" s="15" t="n"/>
      <c r="G393" s="18" t="n"/>
      <c r="H393" s="15" t="n"/>
      <c r="I393" s="15" t="n"/>
      <c r="J393" s="18" t="n"/>
      <c r="K393" s="15" t="n"/>
      <c r="L393" s="15" t="n"/>
      <c r="M393" s="15" t="n"/>
      <c r="N393" s="15" t="n"/>
      <c r="O393" s="15" t="n"/>
      <c r="P393" s="15" t="n"/>
      <c r="Q393" s="15" t="n"/>
      <c r="R393" s="15" t="n"/>
      <c r="S393" s="15" t="n"/>
      <c r="T393" s="15" t="n"/>
      <c r="U393" s="15" t="n"/>
      <c r="V393" s="15" t="n"/>
      <c r="W393" s="15" t="n"/>
      <c r="X393" s="15" t="n"/>
      <c r="Y393" s="15" t="n"/>
      <c r="Z393" s="15" t="n"/>
      <c r="AA393" s="15" t="n"/>
      <c r="AB393" s="15" t="n"/>
      <c r="AC393" s="15" t="n"/>
      <c r="AD393" s="15" t="n"/>
      <c r="AE393" s="15" t="n"/>
      <c r="AH393" s="15" t="n"/>
      <c r="AI393" s="15" t="n"/>
      <c r="AJ393" s="15" t="n"/>
      <c r="AK393" s="15" t="n"/>
    </row>
    <row r="394" ht="14.5" customHeight="1">
      <c r="A394" s="17" t="n"/>
      <c r="B394" s="15" t="n"/>
      <c r="C394" s="15" t="n"/>
      <c r="D394" s="15" t="n"/>
      <c r="E394" s="15" t="n"/>
      <c r="F394" s="15" t="n"/>
      <c r="G394" s="18" t="n"/>
      <c r="H394" s="15" t="n"/>
      <c r="I394" s="15" t="n"/>
      <c r="J394" s="18" t="n"/>
      <c r="K394" s="15" t="n"/>
      <c r="L394" s="15" t="n"/>
      <c r="M394" s="15" t="n"/>
      <c r="N394" s="15" t="n"/>
      <c r="O394" s="15" t="n"/>
      <c r="P394" s="15" t="n"/>
      <c r="Q394" s="15" t="n"/>
      <c r="R394" s="15" t="n"/>
      <c r="S394" s="15" t="n"/>
      <c r="T394" s="15" t="n"/>
      <c r="U394" s="15" t="n"/>
      <c r="V394" s="15" t="n"/>
      <c r="W394" s="15" t="n"/>
      <c r="X394" s="15" t="n"/>
      <c r="Y394" s="15" t="n"/>
      <c r="Z394" s="15" t="n"/>
      <c r="AA394" s="15" t="n"/>
      <c r="AB394" s="15" t="n"/>
      <c r="AC394" s="15" t="n"/>
      <c r="AD394" s="15" t="n"/>
      <c r="AE394" s="15" t="n"/>
      <c r="AH394" s="15" t="n"/>
      <c r="AI394" s="15" t="n"/>
      <c r="AJ394" s="15" t="n"/>
      <c r="AK394" s="15" t="n"/>
    </row>
    <row r="395" ht="14.5" customHeight="1">
      <c r="A395" s="17" t="n"/>
      <c r="B395" s="15" t="n"/>
      <c r="C395" s="15" t="n"/>
      <c r="D395" s="15" t="n"/>
      <c r="E395" s="15" t="n"/>
      <c r="F395" s="15" t="n"/>
      <c r="G395" s="18" t="n"/>
      <c r="H395" s="15" t="n"/>
      <c r="I395" s="15" t="n"/>
      <c r="J395" s="18" t="n"/>
      <c r="K395" s="15" t="n"/>
      <c r="L395" s="15" t="n"/>
      <c r="M395" s="15" t="n"/>
      <c r="N395" s="15" t="n"/>
      <c r="O395" s="15" t="n"/>
      <c r="P395" s="15" t="n"/>
      <c r="Q395" s="15" t="n"/>
      <c r="R395" s="15" t="n"/>
      <c r="S395" s="15" t="n"/>
      <c r="T395" s="15" t="n"/>
      <c r="U395" s="15" t="n"/>
      <c r="V395" s="15" t="n"/>
      <c r="W395" s="15" t="n"/>
      <c r="X395" s="15" t="n"/>
      <c r="Y395" s="15" t="n"/>
      <c r="Z395" s="15" t="n"/>
      <c r="AA395" s="15" t="n"/>
      <c r="AB395" s="15" t="n"/>
      <c r="AC395" s="15" t="n"/>
      <c r="AD395" s="15" t="n"/>
      <c r="AE395" s="15" t="n"/>
      <c r="AH395" s="15" t="n"/>
      <c r="AI395" s="15" t="n"/>
      <c r="AJ395" s="15" t="n"/>
      <c r="AK395" s="15" t="n"/>
    </row>
    <row r="396" ht="14.5" customHeight="1">
      <c r="A396" s="17" t="n"/>
      <c r="B396" s="15" t="n"/>
      <c r="C396" s="15" t="n"/>
      <c r="D396" s="15" t="n"/>
      <c r="E396" s="15" t="n"/>
      <c r="F396" s="15" t="n"/>
      <c r="G396" s="18" t="n"/>
      <c r="H396" s="15" t="n"/>
      <c r="I396" s="15" t="n"/>
      <c r="J396" s="18" t="n"/>
      <c r="K396" s="15" t="n"/>
      <c r="L396" s="15" t="n"/>
      <c r="M396" s="15" t="n"/>
      <c r="N396" s="15" t="n"/>
      <c r="O396" s="15" t="n"/>
      <c r="P396" s="15" t="n"/>
      <c r="Q396" s="15" t="n"/>
      <c r="R396" s="15" t="n"/>
      <c r="S396" s="15" t="n"/>
      <c r="T396" s="15" t="n"/>
      <c r="U396" s="15" t="n"/>
      <c r="V396" s="15" t="n"/>
      <c r="W396" s="15" t="n"/>
      <c r="X396" s="15" t="n"/>
      <c r="Y396" s="15" t="n"/>
      <c r="Z396" s="15" t="n"/>
      <c r="AA396" s="15" t="n"/>
      <c r="AB396" s="15" t="n"/>
      <c r="AC396" s="15" t="n"/>
      <c r="AD396" s="15" t="n"/>
      <c r="AE396" s="15" t="n"/>
      <c r="AH396" s="15" t="n"/>
      <c r="AI396" s="15" t="n"/>
      <c r="AJ396" s="15" t="n"/>
      <c r="AK396" s="15" t="n"/>
    </row>
    <row r="397" ht="14.5" customHeight="1">
      <c r="A397" s="17" t="n"/>
      <c r="B397" s="15" t="n"/>
      <c r="C397" s="15" t="n"/>
      <c r="D397" s="15" t="n"/>
      <c r="E397" s="15" t="n"/>
      <c r="F397" s="15" t="n"/>
      <c r="G397" s="18" t="n"/>
      <c r="H397" s="15" t="n"/>
      <c r="I397" s="15" t="n"/>
      <c r="J397" s="18" t="n"/>
      <c r="K397" s="15" t="n"/>
      <c r="L397" s="15" t="n"/>
      <c r="M397" s="15" t="n"/>
      <c r="N397" s="15" t="n"/>
      <c r="O397" s="15" t="n"/>
      <c r="P397" s="15" t="n"/>
      <c r="Q397" s="15" t="n"/>
      <c r="R397" s="15" t="n"/>
      <c r="S397" s="15" t="n"/>
      <c r="T397" s="15" t="n"/>
      <c r="U397" s="15" t="n"/>
      <c r="V397" s="15" t="n"/>
      <c r="W397" s="15" t="n"/>
      <c r="X397" s="15" t="n"/>
      <c r="Y397" s="15" t="n"/>
      <c r="Z397" s="15" t="n"/>
      <c r="AA397" s="15" t="n"/>
      <c r="AB397" s="15" t="n"/>
      <c r="AC397" s="15" t="n"/>
      <c r="AD397" s="15" t="n"/>
      <c r="AE397" s="15" t="n"/>
      <c r="AH397" s="15" t="n"/>
      <c r="AI397" s="15" t="n"/>
      <c r="AJ397" s="15" t="n"/>
      <c r="AK397" s="15" t="n"/>
    </row>
    <row r="398" ht="14.5" customHeight="1">
      <c r="A398" s="17" t="n"/>
      <c r="B398" s="15" t="n"/>
      <c r="C398" s="15" t="n"/>
      <c r="D398" s="15" t="n"/>
      <c r="E398" s="15" t="n"/>
      <c r="F398" s="15" t="n"/>
      <c r="G398" s="18" t="n"/>
      <c r="H398" s="15" t="n"/>
      <c r="I398" s="15" t="n"/>
      <c r="J398" s="18" t="n"/>
      <c r="K398" s="15" t="n"/>
      <c r="L398" s="15" t="n"/>
      <c r="M398" s="15" t="n"/>
      <c r="N398" s="15" t="n"/>
      <c r="O398" s="15" t="n"/>
      <c r="P398" s="15" t="n"/>
      <c r="Q398" s="15" t="n"/>
      <c r="R398" s="15" t="n"/>
      <c r="S398" s="15" t="n"/>
      <c r="T398" s="15" t="n"/>
      <c r="U398" s="15" t="n"/>
      <c r="V398" s="15" t="n"/>
      <c r="W398" s="15" t="n"/>
      <c r="X398" s="15" t="n"/>
      <c r="Y398" s="15" t="n"/>
      <c r="Z398" s="15" t="n"/>
      <c r="AA398" s="15" t="n"/>
      <c r="AB398" s="15" t="n"/>
      <c r="AC398" s="15" t="n"/>
      <c r="AD398" s="15" t="n"/>
      <c r="AE398" s="15" t="n"/>
      <c r="AH398" s="15" t="n"/>
      <c r="AI398" s="15" t="n"/>
      <c r="AJ398" s="15" t="n"/>
      <c r="AK398" s="15" t="n"/>
    </row>
    <row r="399" ht="14.5" customHeight="1">
      <c r="A399" s="17" t="n"/>
      <c r="B399" s="15" t="n"/>
      <c r="C399" s="15" t="n"/>
      <c r="D399" s="15" t="n"/>
      <c r="E399" s="15" t="n"/>
      <c r="F399" s="15" t="n"/>
      <c r="G399" s="18" t="n"/>
      <c r="H399" s="15" t="n"/>
      <c r="I399" s="15" t="n"/>
      <c r="J399" s="18" t="n"/>
      <c r="K399" s="15" t="n"/>
      <c r="L399" s="15" t="n"/>
      <c r="M399" s="15" t="n"/>
      <c r="N399" s="15" t="n"/>
      <c r="O399" s="15" t="n"/>
      <c r="P399" s="15" t="n"/>
      <c r="Q399" s="15" t="n"/>
      <c r="R399" s="15" t="n"/>
      <c r="S399" s="15" t="n"/>
      <c r="T399" s="15" t="n"/>
      <c r="U399" s="15" t="n"/>
      <c r="V399" s="15" t="n"/>
      <c r="W399" s="15" t="n"/>
      <c r="X399" s="15" t="n"/>
      <c r="Y399" s="15" t="n"/>
      <c r="Z399" s="15" t="n"/>
      <c r="AA399" s="15" t="n"/>
      <c r="AB399" s="15" t="n"/>
      <c r="AC399" s="15" t="n"/>
      <c r="AD399" s="15" t="n"/>
      <c r="AE399" s="15" t="n"/>
      <c r="AH399" s="15" t="n"/>
      <c r="AI399" s="15" t="n"/>
      <c r="AJ399" s="15" t="n"/>
      <c r="AK399" s="15" t="n"/>
    </row>
    <row r="400" ht="14.5" customHeight="1">
      <c r="A400" s="17" t="n"/>
      <c r="B400" s="15" t="n"/>
      <c r="C400" s="15" t="n"/>
      <c r="D400" s="15" t="n"/>
      <c r="E400" s="15" t="n"/>
      <c r="F400" s="15" t="n"/>
      <c r="G400" s="18" t="n"/>
      <c r="H400" s="15" t="n"/>
      <c r="I400" s="15" t="n"/>
      <c r="J400" s="18" t="n"/>
      <c r="K400" s="15" t="n"/>
      <c r="L400" s="15" t="n"/>
      <c r="M400" s="15" t="n"/>
      <c r="N400" s="15" t="n"/>
      <c r="O400" s="15" t="n"/>
      <c r="P400" s="15" t="n"/>
      <c r="Q400" s="15" t="n"/>
      <c r="R400" s="15" t="n"/>
      <c r="S400" s="15" t="n"/>
      <c r="T400" s="15" t="n"/>
      <c r="U400" s="15" t="n"/>
      <c r="V400" s="15" t="n"/>
      <c r="W400" s="15" t="n"/>
      <c r="X400" s="15" t="n"/>
      <c r="Y400" s="15" t="n"/>
      <c r="Z400" s="15" t="n"/>
      <c r="AA400" s="15" t="n"/>
      <c r="AB400" s="15" t="n"/>
      <c r="AC400" s="15" t="n"/>
      <c r="AD400" s="15" t="n"/>
      <c r="AE400" s="15" t="n"/>
      <c r="AH400" s="15" t="n"/>
      <c r="AI400" s="15" t="n"/>
      <c r="AJ400" s="15" t="n"/>
      <c r="AK400" s="15" t="n"/>
    </row>
    <row r="401" ht="14.5" customHeight="1">
      <c r="A401" s="17" t="n"/>
      <c r="B401" s="15" t="n"/>
      <c r="C401" s="15" t="n"/>
      <c r="D401" s="15" t="n"/>
      <c r="E401" s="15" t="n"/>
      <c r="F401" s="15" t="n"/>
      <c r="G401" s="18" t="n"/>
      <c r="H401" s="15" t="n"/>
      <c r="I401" s="15" t="n"/>
      <c r="J401" s="18" t="n"/>
      <c r="K401" s="15" t="n"/>
      <c r="L401" s="15" t="n"/>
      <c r="M401" s="15" t="n"/>
      <c r="N401" s="15" t="n"/>
      <c r="O401" s="15" t="n"/>
      <c r="P401" s="15" t="n"/>
      <c r="Q401" s="15" t="n"/>
      <c r="R401" s="15" t="n"/>
      <c r="S401" s="15" t="n"/>
      <c r="T401" s="15" t="n"/>
      <c r="U401" s="15" t="n"/>
      <c r="V401" s="15" t="n"/>
      <c r="W401" s="15" t="n"/>
      <c r="X401" s="15" t="n"/>
      <c r="Y401" s="15" t="n"/>
      <c r="Z401" s="15" t="n"/>
      <c r="AA401" s="15" t="n"/>
      <c r="AB401" s="15" t="n"/>
      <c r="AC401" s="15" t="n"/>
      <c r="AD401" s="15" t="n"/>
      <c r="AE401" s="15" t="n"/>
      <c r="AH401" s="15" t="n"/>
      <c r="AI401" s="15" t="n"/>
      <c r="AJ401" s="15" t="n"/>
      <c r="AK401" s="15" t="n"/>
    </row>
    <row r="402" ht="14.5" customHeight="1">
      <c r="A402" s="17" t="n"/>
      <c r="B402" s="15" t="n"/>
      <c r="C402" s="15" t="n"/>
      <c r="D402" s="15" t="n"/>
      <c r="E402" s="15" t="n"/>
      <c r="F402" s="15" t="n"/>
      <c r="G402" s="18" t="n"/>
      <c r="H402" s="15" t="n"/>
      <c r="I402" s="15" t="n"/>
      <c r="J402" s="18" t="n"/>
      <c r="K402" s="15" t="n"/>
      <c r="L402" s="15" t="n"/>
      <c r="M402" s="15" t="n"/>
      <c r="N402" s="15" t="n"/>
      <c r="O402" s="15" t="n"/>
      <c r="P402" s="15" t="n"/>
      <c r="Q402" s="15" t="n"/>
      <c r="R402" s="15" t="n"/>
      <c r="S402" s="15" t="n"/>
      <c r="T402" s="15" t="n"/>
      <c r="U402" s="15" t="n"/>
      <c r="V402" s="15" t="n"/>
      <c r="W402" s="15" t="n"/>
      <c r="X402" s="15" t="n"/>
      <c r="Y402" s="15" t="n"/>
      <c r="Z402" s="15" t="n"/>
      <c r="AA402" s="15" t="n"/>
      <c r="AB402" s="15" t="n"/>
      <c r="AC402" s="15" t="n"/>
      <c r="AD402" s="15" t="n"/>
      <c r="AE402" s="15" t="n"/>
      <c r="AH402" s="15" t="n"/>
      <c r="AI402" s="15" t="n"/>
      <c r="AJ402" s="15" t="n"/>
      <c r="AK402" s="15" t="n"/>
    </row>
    <row r="403" ht="14.5" customHeight="1">
      <c r="A403" s="17" t="n"/>
      <c r="B403" s="15" t="n"/>
      <c r="C403" s="15" t="n"/>
      <c r="D403" s="15" t="n"/>
      <c r="E403" s="15" t="n"/>
      <c r="F403" s="15" t="n"/>
      <c r="G403" s="18" t="n"/>
      <c r="H403" s="15" t="n"/>
      <c r="I403" s="15" t="n"/>
      <c r="J403" s="18" t="n"/>
      <c r="K403" s="15" t="n"/>
      <c r="L403" s="15" t="n"/>
      <c r="M403" s="15" t="n"/>
      <c r="N403" s="15" t="n"/>
      <c r="O403" s="15" t="n"/>
      <c r="P403" s="15" t="n"/>
      <c r="Q403" s="15" t="n"/>
      <c r="R403" s="15" t="n"/>
      <c r="S403" s="15" t="n"/>
      <c r="T403" s="15" t="n"/>
      <c r="U403" s="15" t="n"/>
      <c r="V403" s="15" t="n"/>
      <c r="W403" s="15" t="n"/>
      <c r="X403" s="15" t="n"/>
      <c r="Y403" s="15" t="n"/>
      <c r="Z403" s="15" t="n"/>
      <c r="AA403" s="15" t="n"/>
      <c r="AB403" s="15" t="n"/>
      <c r="AC403" s="15" t="n"/>
      <c r="AD403" s="15" t="n"/>
      <c r="AE403" s="15" t="n"/>
      <c r="AH403" s="15" t="n"/>
      <c r="AI403" s="15" t="n"/>
      <c r="AJ403" s="15" t="n"/>
      <c r="AK403" s="15" t="n"/>
    </row>
    <row r="404" ht="14.5" customHeight="1">
      <c r="A404" s="17" t="n"/>
      <c r="B404" s="15" t="n"/>
      <c r="C404" s="15" t="n"/>
      <c r="D404" s="15" t="n"/>
      <c r="E404" s="15" t="n"/>
      <c r="F404" s="15" t="n"/>
      <c r="G404" s="18" t="n"/>
      <c r="H404" s="15" t="n"/>
      <c r="I404" s="15" t="n"/>
      <c r="J404" s="18" t="n"/>
      <c r="K404" s="15" t="n"/>
      <c r="L404" s="15" t="n"/>
      <c r="M404" s="15" t="n"/>
      <c r="N404" s="15" t="n"/>
      <c r="O404" s="15" t="n"/>
      <c r="P404" s="15" t="n"/>
      <c r="Q404" s="15" t="n"/>
      <c r="R404" s="15" t="n"/>
      <c r="S404" s="15" t="n"/>
      <c r="T404" s="15" t="n"/>
      <c r="U404" s="15" t="n"/>
      <c r="V404" s="15" t="n"/>
      <c r="W404" s="15" t="n"/>
      <c r="X404" s="15" t="n"/>
      <c r="Y404" s="15" t="n"/>
      <c r="Z404" s="15" t="n"/>
      <c r="AA404" s="15" t="n"/>
      <c r="AB404" s="15" t="n"/>
      <c r="AC404" s="15" t="n"/>
      <c r="AD404" s="15" t="n"/>
      <c r="AE404" s="15" t="n"/>
      <c r="AH404" s="15" t="n"/>
      <c r="AI404" s="15" t="n"/>
      <c r="AJ404" s="15" t="n"/>
      <c r="AK404" s="15" t="n"/>
    </row>
    <row r="405" ht="14.5" customHeight="1">
      <c r="A405" s="17" t="n"/>
      <c r="B405" s="15" t="n"/>
      <c r="C405" s="15" t="n"/>
      <c r="D405" s="15" t="n"/>
      <c r="E405" s="15" t="n"/>
      <c r="F405" s="15" t="n"/>
      <c r="G405" s="18" t="n"/>
      <c r="H405" s="15" t="n"/>
      <c r="I405" s="15" t="n"/>
      <c r="J405" s="18" t="n"/>
      <c r="K405" s="15" t="n"/>
      <c r="L405" s="15" t="n"/>
      <c r="M405" s="15" t="n"/>
      <c r="N405" s="15" t="n"/>
      <c r="O405" s="15" t="n"/>
      <c r="P405" s="15" t="n"/>
      <c r="Q405" s="15" t="n"/>
      <c r="R405" s="15" t="n"/>
      <c r="S405" s="15" t="n"/>
      <c r="T405" s="15" t="n"/>
      <c r="U405" s="15" t="n"/>
      <c r="V405" s="15" t="n"/>
      <c r="W405" s="15" t="n"/>
      <c r="X405" s="15" t="n"/>
      <c r="Y405" s="15" t="n"/>
      <c r="Z405" s="15" t="n"/>
      <c r="AA405" s="15" t="n"/>
      <c r="AB405" s="15" t="n"/>
      <c r="AC405" s="15" t="n"/>
      <c r="AD405" s="15" t="n"/>
      <c r="AE405" s="15" t="n"/>
      <c r="AH405" s="15" t="n"/>
      <c r="AI405" s="15" t="n"/>
      <c r="AJ405" s="15" t="n"/>
      <c r="AK405" s="15" t="n"/>
    </row>
    <row r="406" ht="14.5" customHeight="1">
      <c r="A406" s="17" t="n"/>
      <c r="B406" s="15" t="n"/>
      <c r="C406" s="15" t="n"/>
      <c r="D406" s="15" t="n"/>
      <c r="E406" s="15" t="n"/>
      <c r="F406" s="15" t="n"/>
      <c r="G406" s="18" t="n"/>
      <c r="H406" s="15" t="n"/>
      <c r="I406" s="15" t="n"/>
      <c r="J406" s="18" t="n"/>
      <c r="K406" s="15" t="n"/>
      <c r="L406" s="15" t="n"/>
      <c r="M406" s="15" t="n"/>
      <c r="N406" s="15" t="n"/>
      <c r="O406" s="15" t="n"/>
      <c r="P406" s="15" t="n"/>
      <c r="Q406" s="15" t="n"/>
      <c r="R406" s="15" t="n"/>
      <c r="S406" s="15" t="n"/>
      <c r="T406" s="15" t="n"/>
      <c r="U406" s="15" t="n"/>
      <c r="V406" s="15" t="n"/>
      <c r="W406" s="15" t="n"/>
      <c r="X406" s="15" t="n"/>
      <c r="Y406" s="15" t="n"/>
      <c r="Z406" s="15" t="n"/>
      <c r="AA406" s="15" t="n"/>
      <c r="AB406" s="15" t="n"/>
      <c r="AC406" s="15" t="n"/>
      <c r="AD406" s="15" t="n"/>
      <c r="AE406" s="15" t="n"/>
      <c r="AH406" s="15" t="n"/>
      <c r="AI406" s="15" t="n"/>
      <c r="AJ406" s="15" t="n"/>
      <c r="AK406" s="15" t="n"/>
    </row>
    <row r="407" ht="14.5" customHeight="1">
      <c r="A407" s="17" t="n"/>
      <c r="B407" s="15" t="n"/>
      <c r="C407" s="15" t="n"/>
      <c r="D407" s="15" t="n"/>
      <c r="E407" s="15" t="n"/>
      <c r="F407" s="15" t="n"/>
      <c r="G407" s="18" t="n"/>
      <c r="H407" s="15" t="n"/>
      <c r="I407" s="15" t="n"/>
      <c r="J407" s="18" t="n"/>
      <c r="K407" s="15" t="n"/>
      <c r="L407" s="15" t="n"/>
      <c r="M407" s="15" t="n"/>
      <c r="N407" s="15" t="n"/>
      <c r="O407" s="15" t="n"/>
      <c r="P407" s="15" t="n"/>
      <c r="Q407" s="15" t="n"/>
      <c r="R407" s="15" t="n"/>
      <c r="S407" s="15" t="n"/>
      <c r="T407" s="15" t="n"/>
      <c r="U407" s="15" t="n"/>
      <c r="V407" s="15" t="n"/>
      <c r="W407" s="15" t="n"/>
      <c r="X407" s="15" t="n"/>
      <c r="Y407" s="15" t="n"/>
      <c r="Z407" s="15" t="n"/>
      <c r="AA407" s="15" t="n"/>
      <c r="AB407" s="15" t="n"/>
      <c r="AC407" s="15" t="n"/>
      <c r="AD407" s="15" t="n"/>
      <c r="AE407" s="15" t="n"/>
      <c r="AH407" s="15" t="n"/>
      <c r="AI407" s="15" t="n"/>
      <c r="AJ407" s="15" t="n"/>
      <c r="AK407" s="15" t="n"/>
    </row>
    <row r="408" ht="14.5" customHeight="1">
      <c r="A408" s="17" t="n"/>
      <c r="B408" s="15" t="n"/>
      <c r="C408" s="15" t="n"/>
      <c r="D408" s="15" t="n"/>
      <c r="E408" s="15" t="n"/>
      <c r="F408" s="15" t="n"/>
      <c r="G408" s="18" t="n"/>
      <c r="H408" s="15" t="n"/>
      <c r="I408" s="15" t="n"/>
      <c r="J408" s="18" t="n"/>
      <c r="K408" s="15" t="n"/>
      <c r="L408" s="15" t="n"/>
      <c r="M408" s="15" t="n"/>
      <c r="N408" s="15" t="n"/>
      <c r="O408" s="15" t="n"/>
      <c r="P408" s="15" t="n"/>
      <c r="Q408" s="15" t="n"/>
      <c r="R408" s="15" t="n"/>
      <c r="S408" s="15" t="n"/>
      <c r="T408" s="15" t="n"/>
      <c r="U408" s="15" t="n"/>
      <c r="V408" s="15" t="n"/>
      <c r="W408" s="15" t="n"/>
      <c r="X408" s="15" t="n"/>
      <c r="Y408" s="15" t="n"/>
      <c r="Z408" s="15" t="n"/>
      <c r="AA408" s="15" t="n"/>
      <c r="AB408" s="15" t="n"/>
      <c r="AC408" s="15" t="n"/>
      <c r="AD408" s="15" t="n"/>
      <c r="AE408" s="15" t="n"/>
      <c r="AH408" s="15" t="n"/>
      <c r="AI408" s="15" t="n"/>
      <c r="AJ408" s="15" t="n"/>
      <c r="AK408" s="15" t="n"/>
    </row>
    <row r="409" ht="14.5" customHeight="1">
      <c r="A409" s="17" t="n"/>
      <c r="B409" s="15" t="n"/>
      <c r="C409" s="15" t="n"/>
      <c r="D409" s="15" t="n"/>
      <c r="E409" s="15" t="n"/>
      <c r="F409" s="15" t="n"/>
      <c r="G409" s="18" t="n"/>
      <c r="H409" s="15" t="n"/>
      <c r="I409" s="15" t="n"/>
      <c r="J409" s="18" t="n"/>
      <c r="K409" s="15" t="n"/>
      <c r="L409" s="15" t="n"/>
      <c r="M409" s="15" t="n"/>
      <c r="N409" s="15" t="n"/>
      <c r="O409" s="15" t="n"/>
      <c r="P409" s="15" t="n"/>
      <c r="Q409" s="15" t="n"/>
      <c r="R409" s="15" t="n"/>
      <c r="S409" s="15" t="n"/>
      <c r="T409" s="15" t="n"/>
      <c r="U409" s="15" t="n"/>
      <c r="V409" s="15" t="n"/>
      <c r="W409" s="15" t="n"/>
      <c r="X409" s="15" t="n"/>
      <c r="Y409" s="15" t="n"/>
      <c r="Z409" s="15" t="n"/>
      <c r="AA409" s="15" t="n"/>
      <c r="AB409" s="15" t="n"/>
      <c r="AC409" s="15" t="n"/>
      <c r="AD409" s="15" t="n"/>
      <c r="AE409" s="15" t="n"/>
      <c r="AH409" s="15" t="n"/>
      <c r="AI409" s="15" t="n"/>
      <c r="AJ409" s="15" t="n"/>
      <c r="AK409" s="15" t="n"/>
    </row>
    <row r="410" ht="14.5" customHeight="1">
      <c r="A410" s="17" t="n"/>
      <c r="B410" s="15" t="n"/>
      <c r="C410" s="15" t="n"/>
      <c r="D410" s="15" t="n"/>
      <c r="E410" s="15" t="n"/>
      <c r="F410" s="15" t="n"/>
      <c r="G410" s="18" t="n"/>
      <c r="H410" s="15" t="n"/>
      <c r="I410" s="15" t="n"/>
      <c r="J410" s="18" t="n"/>
      <c r="K410" s="15" t="n"/>
      <c r="L410" s="15" t="n"/>
      <c r="M410" s="15" t="n"/>
      <c r="N410" s="15" t="n"/>
      <c r="O410" s="15" t="n"/>
      <c r="P410" s="15" t="n"/>
      <c r="Q410" s="15" t="n"/>
      <c r="R410" s="15" t="n"/>
      <c r="S410" s="15" t="n"/>
      <c r="T410" s="15" t="n"/>
      <c r="U410" s="15" t="n"/>
      <c r="V410" s="15" t="n"/>
      <c r="W410" s="15" t="n"/>
      <c r="X410" s="15" t="n"/>
      <c r="Y410" s="15" t="n"/>
      <c r="Z410" s="15" t="n"/>
      <c r="AA410" s="15" t="n"/>
      <c r="AB410" s="15" t="n"/>
      <c r="AC410" s="15" t="n"/>
      <c r="AD410" s="15" t="n"/>
      <c r="AE410" s="15" t="n"/>
      <c r="AH410" s="15" t="n"/>
      <c r="AI410" s="15" t="n"/>
      <c r="AJ410" s="15" t="n"/>
      <c r="AK410" s="15" t="n"/>
    </row>
    <row r="411" ht="14.5" customHeight="1">
      <c r="A411" s="17" t="n"/>
      <c r="B411" s="15" t="n"/>
      <c r="C411" s="15" t="n"/>
      <c r="D411" s="15" t="n"/>
      <c r="E411" s="15" t="n"/>
      <c r="F411" s="15" t="n"/>
      <c r="G411" s="18" t="n"/>
      <c r="H411" s="15" t="n"/>
      <c r="I411" s="15" t="n"/>
      <c r="J411" s="18" t="n"/>
      <c r="K411" s="15" t="n"/>
      <c r="L411" s="15" t="n"/>
      <c r="M411" s="15" t="n"/>
      <c r="N411" s="15" t="n"/>
      <c r="O411" s="15" t="n"/>
      <c r="P411" s="15" t="n"/>
      <c r="Q411" s="15" t="n"/>
      <c r="R411" s="15" t="n"/>
      <c r="S411" s="15" t="n"/>
      <c r="T411" s="15" t="n"/>
      <c r="U411" s="15" t="n"/>
      <c r="V411" s="15" t="n"/>
      <c r="W411" s="15" t="n"/>
      <c r="X411" s="15" t="n"/>
      <c r="Y411" s="15" t="n"/>
      <c r="Z411" s="15" t="n"/>
      <c r="AA411" s="15" t="n"/>
      <c r="AB411" s="15" t="n"/>
      <c r="AC411" s="15" t="n"/>
      <c r="AD411" s="15" t="n"/>
      <c r="AE411" s="15" t="n"/>
      <c r="AH411" s="15" t="n"/>
      <c r="AI411" s="15" t="n"/>
      <c r="AJ411" s="15" t="n"/>
      <c r="AK411" s="15" t="n"/>
    </row>
    <row r="412" ht="14.5" customHeight="1">
      <c r="A412" s="17" t="n"/>
      <c r="B412" s="15" t="n"/>
      <c r="C412" s="15" t="n"/>
      <c r="D412" s="15" t="n"/>
      <c r="E412" s="15" t="n"/>
      <c r="F412" s="15" t="n"/>
      <c r="G412" s="18" t="n"/>
      <c r="H412" s="15" t="n"/>
      <c r="I412" s="15" t="n"/>
      <c r="J412" s="18" t="n"/>
      <c r="K412" s="15" t="n"/>
      <c r="L412" s="15" t="n"/>
      <c r="M412" s="15" t="n"/>
      <c r="N412" s="15" t="n"/>
      <c r="O412" s="15" t="n"/>
      <c r="P412" s="15" t="n"/>
      <c r="Q412" s="15" t="n"/>
      <c r="R412" s="15" t="n"/>
      <c r="S412" s="15" t="n"/>
      <c r="T412" s="15" t="n"/>
      <c r="U412" s="15" t="n"/>
      <c r="V412" s="15" t="n"/>
      <c r="W412" s="15" t="n"/>
      <c r="X412" s="15" t="n"/>
      <c r="Y412" s="15" t="n"/>
      <c r="Z412" s="15" t="n"/>
      <c r="AA412" s="15" t="n"/>
      <c r="AB412" s="15" t="n"/>
      <c r="AC412" s="15" t="n"/>
      <c r="AD412" s="15" t="n"/>
      <c r="AE412" s="15" t="n"/>
      <c r="AH412" s="15" t="n"/>
      <c r="AI412" s="15" t="n"/>
      <c r="AJ412" s="15" t="n"/>
      <c r="AK412" s="15" t="n"/>
    </row>
    <row r="413" ht="14.5" customHeight="1">
      <c r="A413" s="17" t="n"/>
      <c r="B413" s="15" t="n"/>
      <c r="C413" s="15" t="n"/>
      <c r="D413" s="15" t="n"/>
      <c r="E413" s="15" t="n"/>
      <c r="F413" s="15" t="n"/>
      <c r="G413" s="18" t="n"/>
      <c r="H413" s="15" t="n"/>
      <c r="I413" s="15" t="n"/>
      <c r="J413" s="18" t="n"/>
      <c r="K413" s="15" t="n"/>
      <c r="L413" s="15" t="n"/>
      <c r="M413" s="15" t="n"/>
      <c r="N413" s="15" t="n"/>
      <c r="O413" s="15" t="n"/>
      <c r="P413" s="15" t="n"/>
      <c r="Q413" s="15" t="n"/>
      <c r="R413" s="15" t="n"/>
      <c r="S413" s="15" t="n"/>
      <c r="T413" s="15" t="n"/>
      <c r="U413" s="15" t="n"/>
      <c r="V413" s="15" t="n"/>
      <c r="W413" s="15" t="n"/>
      <c r="X413" s="15" t="n"/>
      <c r="Y413" s="15" t="n"/>
      <c r="Z413" s="15" t="n"/>
      <c r="AA413" s="15" t="n"/>
      <c r="AB413" s="15" t="n"/>
      <c r="AC413" s="15" t="n"/>
      <c r="AD413" s="15" t="n"/>
      <c r="AE413" s="15" t="n"/>
      <c r="AH413" s="15" t="n"/>
      <c r="AI413" s="15" t="n"/>
      <c r="AJ413" s="15" t="n"/>
      <c r="AK413" s="15" t="n"/>
    </row>
    <row r="414" ht="14.5" customHeight="1">
      <c r="A414" s="17" t="n"/>
      <c r="B414" s="15" t="n"/>
      <c r="C414" s="15" t="n"/>
      <c r="D414" s="15" t="n"/>
      <c r="E414" s="15" t="n"/>
      <c r="F414" s="15" t="n"/>
      <c r="G414" s="18" t="n"/>
      <c r="H414" s="15" t="n"/>
      <c r="I414" s="15" t="n"/>
      <c r="J414" s="18" t="n"/>
      <c r="K414" s="15" t="n"/>
      <c r="L414" s="15" t="n"/>
      <c r="M414" s="15" t="n"/>
      <c r="N414" s="15" t="n"/>
      <c r="O414" s="15" t="n"/>
      <c r="P414" s="15" t="n"/>
      <c r="Q414" s="15" t="n"/>
      <c r="R414" s="15" t="n"/>
      <c r="S414" s="15" t="n"/>
      <c r="T414" s="15" t="n"/>
      <c r="U414" s="15" t="n"/>
      <c r="V414" s="15" t="n"/>
      <c r="W414" s="15" t="n"/>
      <c r="X414" s="15" t="n"/>
      <c r="Y414" s="15" t="n"/>
      <c r="Z414" s="15" t="n"/>
      <c r="AA414" s="15" t="n"/>
      <c r="AB414" s="15" t="n"/>
      <c r="AC414" s="15" t="n"/>
      <c r="AD414" s="15" t="n"/>
      <c r="AE414" s="15" t="n"/>
      <c r="AH414" s="15" t="n"/>
      <c r="AI414" s="15" t="n"/>
      <c r="AJ414" s="15" t="n"/>
      <c r="AK414" s="15" t="n"/>
    </row>
    <row r="415" ht="14.5" customHeight="1">
      <c r="A415" s="17" t="n"/>
      <c r="B415" s="15" t="n"/>
      <c r="C415" s="15" t="n"/>
      <c r="D415" s="15" t="n"/>
      <c r="E415" s="15" t="n"/>
      <c r="F415" s="15" t="n"/>
      <c r="G415" s="18" t="n"/>
      <c r="H415" s="15" t="n"/>
      <c r="I415" s="15" t="n"/>
      <c r="J415" s="18" t="n"/>
      <c r="K415" s="15" t="n"/>
      <c r="L415" s="15" t="n"/>
      <c r="M415" s="15" t="n"/>
      <c r="N415" s="15" t="n"/>
      <c r="O415" s="15" t="n"/>
      <c r="P415" s="15" t="n"/>
      <c r="Q415" s="15" t="n"/>
      <c r="R415" s="15" t="n"/>
      <c r="S415" s="15" t="n"/>
      <c r="T415" s="15" t="n"/>
      <c r="U415" s="15" t="n"/>
      <c r="V415" s="15" t="n"/>
      <c r="W415" s="15" t="n"/>
      <c r="X415" s="15" t="n"/>
      <c r="Y415" s="15" t="n"/>
      <c r="Z415" s="15" t="n"/>
      <c r="AA415" s="15" t="n"/>
      <c r="AB415" s="15" t="n"/>
      <c r="AC415" s="15" t="n"/>
      <c r="AD415" s="15" t="n"/>
      <c r="AE415" s="15" t="n"/>
      <c r="AH415" s="15" t="n"/>
      <c r="AI415" s="15" t="n"/>
      <c r="AJ415" s="15" t="n"/>
      <c r="AK415" s="15" t="n"/>
    </row>
    <row r="416" ht="14.5" customHeight="1">
      <c r="A416" s="17" t="n"/>
      <c r="B416" s="15" t="n"/>
      <c r="C416" s="15" t="n"/>
      <c r="D416" s="15" t="n"/>
      <c r="E416" s="15" t="n"/>
      <c r="F416" s="15" t="n"/>
      <c r="G416" s="18" t="n"/>
      <c r="H416" s="15" t="n"/>
      <c r="I416" s="15" t="n"/>
      <c r="J416" s="18" t="n"/>
      <c r="K416" s="15" t="n"/>
      <c r="L416" s="15" t="n"/>
      <c r="M416" s="15" t="n"/>
      <c r="N416" s="15" t="n"/>
      <c r="O416" s="15" t="n"/>
      <c r="P416" s="15" t="n"/>
      <c r="Q416" s="15" t="n"/>
      <c r="R416" s="15" t="n"/>
      <c r="S416" s="15" t="n"/>
      <c r="T416" s="15" t="n"/>
      <c r="U416" s="15" t="n"/>
      <c r="V416" s="15" t="n"/>
      <c r="W416" s="15" t="n"/>
      <c r="X416" s="15" t="n"/>
      <c r="Y416" s="15" t="n"/>
      <c r="Z416" s="15" t="n"/>
      <c r="AA416" s="15" t="n"/>
      <c r="AB416" s="15" t="n"/>
      <c r="AC416" s="15" t="n"/>
      <c r="AD416" s="15" t="n"/>
      <c r="AE416" s="15" t="n"/>
      <c r="AH416" s="15" t="n"/>
      <c r="AI416" s="15" t="n"/>
      <c r="AJ416" s="15" t="n"/>
      <c r="AK416" s="15" t="n"/>
    </row>
    <row r="417" ht="14.5" customHeight="1">
      <c r="A417" s="17" t="n"/>
      <c r="B417" s="15" t="n"/>
      <c r="C417" s="15" t="n"/>
      <c r="D417" s="15" t="n"/>
      <c r="E417" s="15" t="n"/>
      <c r="F417" s="15" t="n"/>
      <c r="G417" s="18" t="n"/>
      <c r="H417" s="15" t="n"/>
      <c r="I417" s="15" t="n"/>
      <c r="J417" s="18" t="n"/>
      <c r="K417" s="15" t="n"/>
      <c r="L417" s="15" t="n"/>
      <c r="M417" s="15" t="n"/>
      <c r="N417" s="15" t="n"/>
      <c r="O417" s="15" t="n"/>
      <c r="P417" s="15" t="n"/>
      <c r="Q417" s="15" t="n"/>
      <c r="R417" s="15" t="n"/>
      <c r="S417" s="15" t="n"/>
      <c r="T417" s="15" t="n"/>
      <c r="U417" s="15" t="n"/>
      <c r="V417" s="15" t="n"/>
      <c r="W417" s="15" t="n"/>
      <c r="X417" s="15" t="n"/>
      <c r="Y417" s="15" t="n"/>
      <c r="Z417" s="15" t="n"/>
      <c r="AA417" s="15" t="n"/>
      <c r="AB417" s="15" t="n"/>
      <c r="AC417" s="15" t="n"/>
      <c r="AD417" s="15" t="n"/>
      <c r="AE417" s="15" t="n"/>
      <c r="AH417" s="15" t="n"/>
      <c r="AI417" s="15" t="n"/>
      <c r="AJ417" s="15" t="n"/>
      <c r="AK417" s="15" t="n"/>
    </row>
    <row r="418" ht="14.5" customHeight="1">
      <c r="A418" s="17" t="n"/>
      <c r="B418" s="15" t="n"/>
      <c r="C418" s="15" t="n"/>
      <c r="D418" s="15" t="n"/>
      <c r="E418" s="15" t="n"/>
      <c r="F418" s="15" t="n"/>
      <c r="G418" s="18" t="n"/>
      <c r="H418" s="15" t="n"/>
      <c r="I418" s="15" t="n"/>
      <c r="J418" s="18" t="n"/>
      <c r="K418" s="15" t="n"/>
      <c r="L418" s="15" t="n"/>
      <c r="M418" s="15" t="n"/>
      <c r="N418" s="15" t="n"/>
      <c r="O418" s="15" t="n"/>
      <c r="P418" s="15" t="n"/>
      <c r="Q418" s="15" t="n"/>
      <c r="R418" s="15" t="n"/>
      <c r="S418" s="15" t="n"/>
      <c r="T418" s="15" t="n"/>
      <c r="U418" s="15" t="n"/>
      <c r="V418" s="15" t="n"/>
      <c r="W418" s="15" t="n"/>
      <c r="X418" s="15" t="n"/>
      <c r="Y418" s="15" t="n"/>
      <c r="Z418" s="15" t="n"/>
      <c r="AA418" s="15" t="n"/>
      <c r="AB418" s="15" t="n"/>
      <c r="AC418" s="15" t="n"/>
      <c r="AD418" s="15" t="n"/>
      <c r="AE418" s="15" t="n"/>
      <c r="AH418" s="15" t="n"/>
      <c r="AI418" s="15" t="n"/>
      <c r="AJ418" s="15" t="n"/>
      <c r="AK418" s="15" t="n"/>
    </row>
    <row r="419" ht="14.5" customHeight="1">
      <c r="A419" s="17" t="n"/>
      <c r="B419" s="15" t="n"/>
      <c r="C419" s="15" t="n"/>
      <c r="D419" s="15" t="n"/>
      <c r="E419" s="15" t="n"/>
      <c r="F419" s="15" t="n"/>
      <c r="G419" s="18" t="n"/>
      <c r="H419" s="15" t="n"/>
      <c r="I419" s="15" t="n"/>
      <c r="J419" s="18" t="n"/>
      <c r="K419" s="15" t="n"/>
      <c r="L419" s="15" t="n"/>
      <c r="M419" s="15" t="n"/>
      <c r="N419" s="15" t="n"/>
      <c r="O419" s="15" t="n"/>
      <c r="P419" s="15" t="n"/>
      <c r="Q419" s="15" t="n"/>
      <c r="R419" s="15" t="n"/>
      <c r="S419" s="15" t="n"/>
      <c r="T419" s="15" t="n"/>
      <c r="U419" s="15" t="n"/>
      <c r="V419" s="15" t="n"/>
      <c r="W419" s="15" t="n"/>
      <c r="X419" s="15" t="n"/>
      <c r="Y419" s="15" t="n"/>
      <c r="Z419" s="15" t="n"/>
      <c r="AA419" s="15" t="n"/>
      <c r="AB419" s="15" t="n"/>
      <c r="AC419" s="15" t="n"/>
      <c r="AD419" s="15" t="n"/>
      <c r="AE419" s="15" t="n"/>
      <c r="AH419" s="15" t="n"/>
      <c r="AI419" s="15" t="n"/>
      <c r="AJ419" s="15" t="n"/>
      <c r="AK419" s="15" t="n"/>
    </row>
    <row r="420" ht="14.5" customHeight="1">
      <c r="A420" s="17" t="n"/>
      <c r="B420" s="15" t="n"/>
      <c r="C420" s="15" t="n"/>
      <c r="D420" s="15" t="n"/>
      <c r="E420" s="15" t="n"/>
      <c r="F420" s="15" t="n"/>
      <c r="G420" s="18" t="n"/>
      <c r="H420" s="15" t="n"/>
      <c r="I420" s="15" t="n"/>
      <c r="J420" s="18" t="n"/>
      <c r="K420" s="15" t="n"/>
      <c r="L420" s="15" t="n"/>
      <c r="M420" s="15" t="n"/>
      <c r="N420" s="15" t="n"/>
      <c r="O420" s="15" t="n"/>
      <c r="P420" s="15" t="n"/>
      <c r="Q420" s="15" t="n"/>
      <c r="R420" s="15" t="n"/>
      <c r="S420" s="15" t="n"/>
      <c r="T420" s="15" t="n"/>
      <c r="U420" s="15" t="n"/>
      <c r="V420" s="15" t="n"/>
      <c r="W420" s="15" t="n"/>
      <c r="X420" s="15" t="n"/>
      <c r="Y420" s="15" t="n"/>
      <c r="Z420" s="15" t="n"/>
      <c r="AA420" s="15" t="n"/>
      <c r="AB420" s="15" t="n"/>
      <c r="AC420" s="15" t="n"/>
      <c r="AD420" s="15" t="n"/>
      <c r="AE420" s="15" t="n"/>
      <c r="AH420" s="15" t="n"/>
      <c r="AI420" s="15" t="n"/>
      <c r="AJ420" s="15" t="n"/>
      <c r="AK420" s="15" t="n"/>
    </row>
    <row r="421" ht="14.5" customHeight="1">
      <c r="A421" s="17" t="n"/>
      <c r="B421" s="15" t="n"/>
      <c r="C421" s="15" t="n"/>
      <c r="D421" s="15" t="n"/>
      <c r="E421" s="15" t="n"/>
      <c r="F421" s="15" t="n"/>
      <c r="G421" s="18" t="n"/>
      <c r="H421" s="15" t="n"/>
      <c r="I421" s="15" t="n"/>
      <c r="J421" s="18" t="n"/>
      <c r="K421" s="15" t="n"/>
      <c r="L421" s="15" t="n"/>
      <c r="M421" s="15" t="n"/>
      <c r="N421" s="15" t="n"/>
      <c r="O421" s="15" t="n"/>
      <c r="P421" s="15" t="n"/>
      <c r="Q421" s="15" t="n"/>
      <c r="R421" s="15" t="n"/>
      <c r="S421" s="15" t="n"/>
      <c r="T421" s="15" t="n"/>
      <c r="U421" s="15" t="n"/>
      <c r="V421" s="15" t="n"/>
      <c r="W421" s="15" t="n"/>
      <c r="X421" s="15" t="n"/>
      <c r="Y421" s="15" t="n"/>
      <c r="Z421" s="15" t="n"/>
      <c r="AA421" s="15" t="n"/>
      <c r="AB421" s="15" t="n"/>
      <c r="AC421" s="15" t="n"/>
      <c r="AD421" s="15" t="n"/>
      <c r="AE421" s="15" t="n"/>
      <c r="AH421" s="15" t="n"/>
      <c r="AI421" s="15" t="n"/>
      <c r="AJ421" s="15" t="n"/>
      <c r="AK421" s="15" t="n"/>
    </row>
    <row r="422" ht="14.5" customHeight="1">
      <c r="A422" s="17" t="n"/>
      <c r="B422" s="15" t="n"/>
      <c r="C422" s="15" t="n"/>
      <c r="D422" s="15" t="n"/>
      <c r="E422" s="15" t="n"/>
      <c r="F422" s="15" t="n"/>
      <c r="G422" s="18" t="n"/>
      <c r="H422" s="15" t="n"/>
      <c r="I422" s="15" t="n"/>
      <c r="J422" s="18" t="n"/>
      <c r="K422" s="15" t="n"/>
      <c r="L422" s="15" t="n"/>
      <c r="M422" s="15" t="n"/>
      <c r="N422" s="15" t="n"/>
      <c r="O422" s="15" t="n"/>
      <c r="P422" s="15" t="n"/>
      <c r="Q422" s="15" t="n"/>
      <c r="R422" s="15" t="n"/>
      <c r="S422" s="15" t="n"/>
      <c r="T422" s="15" t="n"/>
      <c r="U422" s="15" t="n"/>
      <c r="V422" s="15" t="n"/>
      <c r="W422" s="15" t="n"/>
      <c r="X422" s="15" t="n"/>
      <c r="Y422" s="15" t="n"/>
      <c r="Z422" s="15" t="n"/>
      <c r="AA422" s="15" t="n"/>
      <c r="AB422" s="15" t="n"/>
      <c r="AC422" s="15" t="n"/>
      <c r="AD422" s="15" t="n"/>
      <c r="AE422" s="15" t="n"/>
      <c r="AH422" s="15" t="n"/>
      <c r="AI422" s="15" t="n"/>
      <c r="AJ422" s="15" t="n"/>
      <c r="AK422" s="15" t="n"/>
    </row>
    <row r="423" ht="14.5" customHeight="1">
      <c r="A423" s="17" t="n"/>
      <c r="B423" s="15" t="n"/>
      <c r="C423" s="15" t="n"/>
      <c r="D423" s="15" t="n"/>
      <c r="E423" s="15" t="n"/>
      <c r="F423" s="15" t="n"/>
      <c r="G423" s="18" t="n"/>
      <c r="H423" s="15" t="n"/>
      <c r="I423" s="15" t="n"/>
      <c r="J423" s="18" t="n"/>
      <c r="K423" s="15" t="n"/>
      <c r="L423" s="15" t="n"/>
      <c r="M423" s="15" t="n"/>
      <c r="N423" s="15" t="n"/>
      <c r="O423" s="15" t="n"/>
      <c r="P423" s="15" t="n"/>
      <c r="Q423" s="15" t="n"/>
      <c r="R423" s="15" t="n"/>
      <c r="S423" s="15" t="n"/>
      <c r="T423" s="15" t="n"/>
      <c r="U423" s="15" t="n"/>
      <c r="V423" s="15" t="n"/>
      <c r="W423" s="15" t="n"/>
      <c r="X423" s="15" t="n"/>
      <c r="Y423" s="15" t="n"/>
      <c r="Z423" s="15" t="n"/>
      <c r="AA423" s="15" t="n"/>
      <c r="AB423" s="15" t="n"/>
      <c r="AC423" s="15" t="n"/>
      <c r="AD423" s="15" t="n"/>
      <c r="AE423" s="15" t="n"/>
      <c r="AH423" s="15" t="n"/>
      <c r="AI423" s="15" t="n"/>
      <c r="AJ423" s="15" t="n"/>
      <c r="AK423" s="15" t="n"/>
    </row>
    <row r="424" ht="14.5" customHeight="1">
      <c r="A424" s="17" t="n"/>
      <c r="B424" s="15" t="n"/>
      <c r="C424" s="15" t="n"/>
      <c r="D424" s="15" t="n"/>
      <c r="E424" s="15" t="n"/>
      <c r="F424" s="15" t="n"/>
      <c r="G424" s="18" t="n"/>
      <c r="H424" s="15" t="n"/>
      <c r="I424" s="15" t="n"/>
      <c r="J424" s="18" t="n"/>
      <c r="K424" s="15" t="n"/>
      <c r="L424" s="15" t="n"/>
      <c r="M424" s="15" t="n"/>
      <c r="N424" s="15" t="n"/>
      <c r="O424" s="15" t="n"/>
      <c r="P424" s="15" t="n"/>
      <c r="Q424" s="15" t="n"/>
      <c r="R424" s="15" t="n"/>
      <c r="S424" s="15" t="n"/>
      <c r="T424" s="15" t="n"/>
      <c r="U424" s="15" t="n"/>
      <c r="V424" s="15" t="n"/>
      <c r="W424" s="15" t="n"/>
      <c r="X424" s="15" t="n"/>
      <c r="Y424" s="15" t="n"/>
      <c r="Z424" s="15" t="n"/>
      <c r="AA424" s="15" t="n"/>
      <c r="AB424" s="15" t="n"/>
      <c r="AC424" s="15" t="n"/>
      <c r="AD424" s="15" t="n"/>
      <c r="AE424" s="15" t="n"/>
      <c r="AH424" s="15" t="n"/>
      <c r="AI424" s="15" t="n"/>
      <c r="AJ424" s="15" t="n"/>
      <c r="AK424" s="15" t="n"/>
    </row>
    <row r="425" ht="14.5" customHeight="1">
      <c r="A425" s="17" t="n"/>
      <c r="B425" s="15" t="n"/>
      <c r="C425" s="15" t="n"/>
      <c r="D425" s="15" t="n"/>
      <c r="E425" s="15" t="n"/>
      <c r="F425" s="15" t="n"/>
      <c r="G425" s="18" t="n"/>
      <c r="H425" s="15" t="n"/>
      <c r="I425" s="15" t="n"/>
      <c r="J425" s="18" t="n"/>
      <c r="K425" s="15" t="n"/>
      <c r="L425" s="15" t="n"/>
      <c r="M425" s="15" t="n"/>
      <c r="N425" s="15" t="n"/>
      <c r="O425" s="15" t="n"/>
      <c r="P425" s="15" t="n"/>
      <c r="Q425" s="15" t="n"/>
      <c r="R425" s="15" t="n"/>
      <c r="S425" s="15" t="n"/>
      <c r="T425" s="15" t="n"/>
      <c r="U425" s="15" t="n"/>
      <c r="V425" s="15" t="n"/>
      <c r="W425" s="15" t="n"/>
      <c r="X425" s="15" t="n"/>
      <c r="Y425" s="15" t="n"/>
      <c r="Z425" s="15" t="n"/>
      <c r="AA425" s="15" t="n"/>
      <c r="AB425" s="15" t="n"/>
      <c r="AC425" s="15" t="n"/>
      <c r="AD425" s="15" t="n"/>
      <c r="AE425" s="15" t="n"/>
      <c r="AH425" s="15" t="n"/>
      <c r="AI425" s="15" t="n"/>
      <c r="AJ425" s="15" t="n"/>
      <c r="AK425" s="15" t="n"/>
    </row>
    <row r="426" ht="14.5" customHeight="1">
      <c r="A426" s="17" t="n"/>
      <c r="B426" s="15" t="n"/>
      <c r="C426" s="15" t="n"/>
      <c r="D426" s="15" t="n"/>
      <c r="E426" s="15" t="n"/>
      <c r="F426" s="15" t="n"/>
      <c r="G426" s="18" t="n"/>
      <c r="H426" s="15" t="n"/>
      <c r="I426" s="15" t="n"/>
      <c r="J426" s="18" t="n"/>
      <c r="K426" s="15" t="n"/>
      <c r="L426" s="15" t="n"/>
      <c r="M426" s="15" t="n"/>
      <c r="N426" s="15" t="n"/>
      <c r="O426" s="15" t="n"/>
      <c r="P426" s="15" t="n"/>
      <c r="Q426" s="15" t="n"/>
      <c r="R426" s="15" t="n"/>
      <c r="S426" s="15" t="n"/>
      <c r="T426" s="15" t="n"/>
      <c r="U426" s="15" t="n"/>
      <c r="V426" s="15" t="n"/>
      <c r="W426" s="15" t="n"/>
      <c r="X426" s="15" t="n"/>
      <c r="Y426" s="15" t="n"/>
      <c r="Z426" s="15" t="n"/>
      <c r="AA426" s="15" t="n"/>
      <c r="AB426" s="15" t="n"/>
      <c r="AC426" s="15" t="n"/>
      <c r="AD426" s="15" t="n"/>
      <c r="AE426" s="15" t="n"/>
      <c r="AH426" s="15" t="n"/>
      <c r="AI426" s="15" t="n"/>
      <c r="AJ426" s="15" t="n"/>
      <c r="AK426" s="15" t="n"/>
    </row>
    <row r="427" ht="14.5" customHeight="1">
      <c r="A427" s="17" t="n"/>
      <c r="B427" s="15" t="n"/>
      <c r="C427" s="15" t="n"/>
      <c r="D427" s="15" t="n"/>
      <c r="E427" s="15" t="n"/>
      <c r="F427" s="15" t="n"/>
      <c r="G427" s="18" t="n"/>
      <c r="H427" s="15" t="n"/>
      <c r="I427" s="15" t="n"/>
      <c r="J427" s="18" t="n"/>
      <c r="K427" s="15" t="n"/>
      <c r="L427" s="15" t="n"/>
      <c r="M427" s="15" t="n"/>
      <c r="N427" s="15" t="n"/>
      <c r="O427" s="15" t="n"/>
      <c r="P427" s="15" t="n"/>
      <c r="Q427" s="15" t="n"/>
      <c r="R427" s="15" t="n"/>
      <c r="S427" s="15" t="n"/>
      <c r="T427" s="15" t="n"/>
      <c r="U427" s="15" t="n"/>
      <c r="V427" s="15" t="n"/>
      <c r="W427" s="15" t="n"/>
      <c r="X427" s="15" t="n"/>
      <c r="Y427" s="15" t="n"/>
      <c r="Z427" s="15" t="n"/>
      <c r="AA427" s="15" t="n"/>
      <c r="AB427" s="15" t="n"/>
      <c r="AC427" s="15" t="n"/>
      <c r="AD427" s="15" t="n"/>
      <c r="AE427" s="15" t="n"/>
      <c r="AH427" s="15" t="n"/>
      <c r="AI427" s="15" t="n"/>
      <c r="AJ427" s="15" t="n"/>
      <c r="AK427" s="15" t="n"/>
    </row>
    <row r="428" ht="14.5" customHeight="1">
      <c r="A428" s="17" t="n"/>
      <c r="B428" s="15" t="n"/>
      <c r="C428" s="15" t="n"/>
      <c r="D428" s="15" t="n"/>
      <c r="E428" s="15" t="n"/>
      <c r="F428" s="15" t="n"/>
      <c r="G428" s="18" t="n"/>
      <c r="H428" s="15" t="n"/>
      <c r="I428" s="15" t="n"/>
      <c r="J428" s="18" t="n"/>
      <c r="K428" s="15" t="n"/>
      <c r="L428" s="15" t="n"/>
      <c r="M428" s="15" t="n"/>
      <c r="N428" s="15" t="n"/>
      <c r="O428" s="15" t="n"/>
      <c r="P428" s="15" t="n"/>
      <c r="Q428" s="15" t="n"/>
      <c r="R428" s="15" t="n"/>
      <c r="S428" s="15" t="n"/>
      <c r="T428" s="15" t="n"/>
      <c r="U428" s="15" t="n"/>
      <c r="V428" s="15" t="n"/>
      <c r="W428" s="15" t="n"/>
      <c r="X428" s="15" t="n"/>
      <c r="Y428" s="15" t="n"/>
      <c r="Z428" s="15" t="n"/>
      <c r="AA428" s="15" t="n"/>
      <c r="AB428" s="15" t="n"/>
      <c r="AC428" s="15" t="n"/>
      <c r="AD428" s="15" t="n"/>
      <c r="AE428" s="15" t="n"/>
      <c r="AH428" s="15" t="n"/>
      <c r="AI428" s="15" t="n"/>
      <c r="AJ428" s="15" t="n"/>
      <c r="AK428" s="15" t="n"/>
    </row>
    <row r="429" ht="14.5" customHeight="1">
      <c r="A429" s="17" t="n"/>
      <c r="B429" s="15" t="n"/>
      <c r="C429" s="15" t="n"/>
      <c r="D429" s="15" t="n"/>
      <c r="E429" s="15" t="n"/>
      <c r="F429" s="15" t="n"/>
      <c r="G429" s="18" t="n"/>
      <c r="H429" s="15" t="n"/>
      <c r="I429" s="15" t="n"/>
      <c r="J429" s="18" t="n"/>
      <c r="K429" s="15" t="n"/>
      <c r="L429" s="15" t="n"/>
      <c r="M429" s="15" t="n"/>
      <c r="N429" s="15" t="n"/>
      <c r="O429" s="15" t="n"/>
      <c r="P429" s="15" t="n"/>
      <c r="Q429" s="15" t="n"/>
      <c r="R429" s="15" t="n"/>
      <c r="S429" s="15" t="n"/>
      <c r="T429" s="15" t="n"/>
      <c r="U429" s="15" t="n"/>
      <c r="V429" s="15" t="n"/>
      <c r="W429" s="15" t="n"/>
      <c r="X429" s="15" t="n"/>
      <c r="Y429" s="15" t="n"/>
      <c r="Z429" s="15" t="n"/>
      <c r="AA429" s="15" t="n"/>
      <c r="AB429" s="15" t="n"/>
      <c r="AC429" s="15" t="n"/>
      <c r="AD429" s="15" t="n"/>
      <c r="AE429" s="15" t="n"/>
      <c r="AH429" s="15" t="n"/>
      <c r="AI429" s="15" t="n"/>
      <c r="AJ429" s="15" t="n"/>
      <c r="AK429" s="15" t="n"/>
    </row>
    <row r="430" ht="14.5" customHeight="1">
      <c r="A430" s="17" t="n"/>
      <c r="B430" s="15" t="n"/>
      <c r="C430" s="15" t="n"/>
      <c r="D430" s="15" t="n"/>
      <c r="E430" s="15" t="n"/>
      <c r="F430" s="15" t="n"/>
      <c r="G430" s="18" t="n"/>
      <c r="H430" s="15" t="n"/>
      <c r="I430" s="15" t="n"/>
      <c r="J430" s="18" t="n"/>
      <c r="K430" s="15" t="n"/>
      <c r="L430" s="15" t="n"/>
      <c r="M430" s="15" t="n"/>
      <c r="N430" s="15" t="n"/>
      <c r="O430" s="15" t="n"/>
      <c r="P430" s="15" t="n"/>
      <c r="Q430" s="15" t="n"/>
      <c r="R430" s="15" t="n"/>
      <c r="S430" s="15" t="n"/>
      <c r="T430" s="15" t="n"/>
      <c r="U430" s="15" t="n"/>
      <c r="V430" s="15" t="n"/>
      <c r="W430" s="15" t="n"/>
      <c r="X430" s="15" t="n"/>
      <c r="Y430" s="15" t="n"/>
      <c r="Z430" s="15" t="n"/>
      <c r="AA430" s="15" t="n"/>
      <c r="AB430" s="15" t="n"/>
      <c r="AC430" s="15" t="n"/>
      <c r="AD430" s="15" t="n"/>
      <c r="AE430" s="15" t="n"/>
      <c r="AH430" s="15" t="n"/>
      <c r="AI430" s="15" t="n"/>
      <c r="AJ430" s="15" t="n"/>
      <c r="AK430" s="15" t="n"/>
    </row>
    <row r="431" ht="14.5" customHeight="1">
      <c r="A431" s="17" t="n"/>
      <c r="B431" s="15" t="n"/>
      <c r="C431" s="15" t="n"/>
      <c r="D431" s="15" t="n"/>
      <c r="E431" s="15" t="n"/>
      <c r="F431" s="15" t="n"/>
      <c r="G431" s="18" t="n"/>
      <c r="H431" s="15" t="n"/>
      <c r="I431" s="15" t="n"/>
      <c r="J431" s="18" t="n"/>
      <c r="K431" s="15" t="n"/>
      <c r="L431" s="15" t="n"/>
      <c r="M431" s="15" t="n"/>
      <c r="N431" s="15" t="n"/>
      <c r="O431" s="15" t="n"/>
      <c r="P431" s="15" t="n"/>
      <c r="Q431" s="15" t="n"/>
      <c r="R431" s="15" t="n"/>
      <c r="S431" s="15" t="n"/>
      <c r="T431" s="15" t="n"/>
      <c r="U431" s="15" t="n"/>
      <c r="V431" s="15" t="n"/>
      <c r="W431" s="15" t="n"/>
      <c r="X431" s="15" t="n"/>
      <c r="Y431" s="15" t="n"/>
      <c r="Z431" s="15" t="n"/>
      <c r="AA431" s="15" t="n"/>
      <c r="AB431" s="15" t="n"/>
      <c r="AC431" s="15" t="n"/>
      <c r="AD431" s="15" t="n"/>
      <c r="AE431" s="15" t="n"/>
      <c r="AH431" s="15" t="n"/>
      <c r="AI431" s="15" t="n"/>
      <c r="AJ431" s="15" t="n"/>
      <c r="AK431" s="15" t="n"/>
    </row>
    <row r="432" ht="14.5" customHeight="1">
      <c r="A432" s="17" t="n"/>
      <c r="B432" s="15" t="n"/>
      <c r="C432" s="15" t="n"/>
      <c r="D432" s="15" t="n"/>
      <c r="E432" s="15" t="n"/>
      <c r="F432" s="15" t="n"/>
      <c r="G432" s="18" t="n"/>
      <c r="H432" s="15" t="n"/>
      <c r="I432" s="15" t="n"/>
      <c r="J432" s="18" t="n"/>
      <c r="K432" s="15" t="n"/>
      <c r="L432" s="15" t="n"/>
      <c r="M432" s="15" t="n"/>
      <c r="N432" s="15" t="n"/>
      <c r="O432" s="15" t="n"/>
      <c r="P432" s="15" t="n"/>
      <c r="Q432" s="15" t="n"/>
      <c r="R432" s="15" t="n"/>
      <c r="S432" s="15" t="n"/>
      <c r="T432" s="15" t="n"/>
      <c r="U432" s="15" t="n"/>
      <c r="V432" s="15" t="n"/>
      <c r="W432" s="15" t="n"/>
      <c r="X432" s="15" t="n"/>
      <c r="Y432" s="15" t="n"/>
      <c r="Z432" s="15" t="n"/>
      <c r="AA432" s="15" t="n"/>
      <c r="AB432" s="15" t="n"/>
      <c r="AC432" s="15" t="n"/>
      <c r="AD432" s="15" t="n"/>
      <c r="AE432" s="15" t="n"/>
      <c r="AH432" s="15" t="n"/>
      <c r="AI432" s="15" t="n"/>
      <c r="AJ432" s="15" t="n"/>
      <c r="AK432" s="15" t="n"/>
    </row>
    <row r="433" ht="14.5" customHeight="1">
      <c r="A433" s="17" t="n"/>
      <c r="B433" s="15" t="n"/>
      <c r="C433" s="15" t="n"/>
      <c r="D433" s="15" t="n"/>
      <c r="E433" s="15" t="n"/>
      <c r="F433" s="15" t="n"/>
      <c r="G433" s="18" t="n"/>
      <c r="H433" s="15" t="n"/>
      <c r="I433" s="15" t="n"/>
      <c r="J433" s="18" t="n"/>
      <c r="K433" s="15" t="n"/>
      <c r="L433" s="15" t="n"/>
      <c r="M433" s="15" t="n"/>
      <c r="N433" s="15" t="n"/>
      <c r="O433" s="15" t="n"/>
      <c r="P433" s="15" t="n"/>
      <c r="Q433" s="15" t="n"/>
      <c r="R433" s="15" t="n"/>
      <c r="S433" s="15" t="n"/>
      <c r="T433" s="15" t="n"/>
      <c r="U433" s="15" t="n"/>
      <c r="V433" s="15" t="n"/>
      <c r="W433" s="15" t="n"/>
      <c r="X433" s="15" t="n"/>
      <c r="Y433" s="15" t="n"/>
      <c r="Z433" s="15" t="n"/>
      <c r="AA433" s="15" t="n"/>
      <c r="AB433" s="15" t="n"/>
      <c r="AC433" s="15" t="n"/>
      <c r="AD433" s="15" t="n"/>
      <c r="AE433" s="15" t="n"/>
      <c r="AH433" s="15" t="n"/>
      <c r="AI433" s="15" t="n"/>
      <c r="AJ433" s="15" t="n"/>
      <c r="AK433" s="15" t="n"/>
    </row>
    <row r="434" ht="14.5" customHeight="1">
      <c r="A434" s="17" t="n"/>
      <c r="B434" s="15" t="n"/>
      <c r="C434" s="15" t="n"/>
      <c r="D434" s="15" t="n"/>
      <c r="E434" s="15" t="n"/>
      <c r="F434" s="15" t="n"/>
      <c r="G434" s="18" t="n"/>
      <c r="H434" s="15" t="n"/>
      <c r="I434" s="15" t="n"/>
      <c r="J434" s="18" t="n"/>
      <c r="K434" s="15" t="n"/>
      <c r="L434" s="15" t="n"/>
      <c r="M434" s="15" t="n"/>
      <c r="N434" s="15" t="n"/>
      <c r="O434" s="15" t="n"/>
      <c r="P434" s="15" t="n"/>
      <c r="Q434" s="15" t="n"/>
      <c r="R434" s="15" t="n"/>
      <c r="S434" s="15" t="n"/>
      <c r="T434" s="15" t="n"/>
      <c r="U434" s="15" t="n"/>
      <c r="V434" s="15" t="n"/>
      <c r="W434" s="15" t="n"/>
      <c r="X434" s="15" t="n"/>
      <c r="Y434" s="15" t="n"/>
      <c r="Z434" s="15" t="n"/>
      <c r="AA434" s="15" t="n"/>
      <c r="AB434" s="15" t="n"/>
      <c r="AC434" s="15" t="n"/>
      <c r="AD434" s="15" t="n"/>
      <c r="AE434" s="15" t="n"/>
      <c r="AH434" s="15" t="n"/>
      <c r="AI434" s="15" t="n"/>
      <c r="AJ434" s="15" t="n"/>
      <c r="AK434" s="15" t="n"/>
    </row>
    <row r="435" ht="14.5" customHeight="1">
      <c r="A435" s="17" t="n"/>
      <c r="B435" s="15" t="n"/>
      <c r="C435" s="15" t="n"/>
      <c r="D435" s="15" t="n"/>
      <c r="E435" s="15" t="n"/>
      <c r="F435" s="15" t="n"/>
      <c r="G435" s="18" t="n"/>
      <c r="H435" s="15" t="n"/>
      <c r="I435" s="15" t="n"/>
      <c r="J435" s="18" t="n"/>
      <c r="K435" s="15" t="n"/>
      <c r="L435" s="15" t="n"/>
      <c r="M435" s="15" t="n"/>
      <c r="N435" s="15" t="n"/>
      <c r="O435" s="15" t="n"/>
      <c r="P435" s="15" t="n"/>
      <c r="Q435" s="15" t="n"/>
      <c r="R435" s="15" t="n"/>
      <c r="S435" s="15" t="n"/>
      <c r="T435" s="15" t="n"/>
      <c r="U435" s="15" t="n"/>
      <c r="V435" s="15" t="n"/>
      <c r="W435" s="15" t="n"/>
      <c r="X435" s="15" t="n"/>
      <c r="Y435" s="15" t="n"/>
      <c r="Z435" s="15" t="n"/>
      <c r="AA435" s="15" t="n"/>
      <c r="AB435" s="15" t="n"/>
      <c r="AC435" s="15" t="n"/>
      <c r="AD435" s="15" t="n"/>
      <c r="AE435" s="15" t="n"/>
      <c r="AH435" s="15" t="n"/>
      <c r="AI435" s="15" t="n"/>
      <c r="AJ435" s="15" t="n"/>
      <c r="AK435" s="15" t="n"/>
    </row>
    <row r="436" ht="14.5" customHeight="1">
      <c r="A436" s="17" t="n"/>
      <c r="B436" s="15" t="n"/>
      <c r="C436" s="15" t="n"/>
      <c r="D436" s="15" t="n"/>
      <c r="E436" s="15" t="n"/>
      <c r="F436" s="15" t="n"/>
      <c r="G436" s="18" t="n"/>
      <c r="H436" s="15" t="n"/>
      <c r="I436" s="15" t="n"/>
      <c r="J436" s="18" t="n"/>
      <c r="K436" s="15" t="n"/>
      <c r="L436" s="15" t="n"/>
      <c r="M436" s="15" t="n"/>
      <c r="N436" s="15" t="n"/>
      <c r="O436" s="15" t="n"/>
      <c r="P436" s="15" t="n"/>
      <c r="Q436" s="15" t="n"/>
      <c r="R436" s="15" t="n"/>
      <c r="S436" s="15" t="n"/>
      <c r="T436" s="15" t="n"/>
      <c r="U436" s="15" t="n"/>
      <c r="V436" s="15" t="n"/>
      <c r="W436" s="15" t="n"/>
      <c r="X436" s="15" t="n"/>
      <c r="Y436" s="15" t="n"/>
      <c r="Z436" s="15" t="n"/>
      <c r="AA436" s="15" t="n"/>
      <c r="AB436" s="15" t="n"/>
      <c r="AC436" s="15" t="n"/>
      <c r="AD436" s="15" t="n"/>
      <c r="AE436" s="15" t="n"/>
      <c r="AH436" s="15" t="n"/>
      <c r="AI436" s="15" t="n"/>
      <c r="AJ436" s="15" t="n"/>
      <c r="AK436" s="15" t="n"/>
    </row>
    <row r="437" ht="14.5" customHeight="1">
      <c r="A437" s="17" t="n"/>
      <c r="B437" s="15" t="n"/>
      <c r="C437" s="15" t="n"/>
      <c r="D437" s="15" t="n"/>
      <c r="E437" s="15" t="n"/>
      <c r="F437" s="15" t="n"/>
      <c r="G437" s="18" t="n"/>
      <c r="H437" s="15" t="n"/>
      <c r="I437" s="15" t="n"/>
      <c r="J437" s="18" t="n"/>
      <c r="K437" s="15" t="n"/>
      <c r="L437" s="15" t="n"/>
      <c r="M437" s="15" t="n"/>
      <c r="N437" s="15" t="n"/>
      <c r="O437" s="15" t="n"/>
      <c r="P437" s="15" t="n"/>
      <c r="Q437" s="15" t="n"/>
      <c r="R437" s="15" t="n"/>
      <c r="S437" s="15" t="n"/>
      <c r="T437" s="15" t="n"/>
      <c r="U437" s="15" t="n"/>
      <c r="V437" s="15" t="n"/>
      <c r="W437" s="15" t="n"/>
      <c r="X437" s="15" t="n"/>
      <c r="Y437" s="15" t="n"/>
      <c r="Z437" s="15" t="n"/>
      <c r="AA437" s="15" t="n"/>
      <c r="AB437" s="15" t="n"/>
      <c r="AC437" s="15" t="n"/>
      <c r="AD437" s="15" t="n"/>
      <c r="AE437" s="15" t="n"/>
      <c r="AH437" s="15" t="n"/>
      <c r="AI437" s="15" t="n"/>
      <c r="AJ437" s="15" t="n"/>
      <c r="AK437" s="15" t="n"/>
    </row>
    <row r="438" ht="14.5" customHeight="1">
      <c r="A438" s="17" t="n"/>
      <c r="B438" s="15" t="n"/>
      <c r="C438" s="15" t="n"/>
      <c r="D438" s="15" t="n"/>
      <c r="E438" s="15" t="n"/>
      <c r="F438" s="15" t="n"/>
      <c r="G438" s="18" t="n"/>
      <c r="H438" s="15" t="n"/>
      <c r="I438" s="15" t="n"/>
      <c r="J438" s="18" t="n"/>
      <c r="K438" s="15" t="n"/>
      <c r="L438" s="15" t="n"/>
      <c r="M438" s="15" t="n"/>
      <c r="N438" s="15" t="n"/>
      <c r="O438" s="15" t="n"/>
      <c r="P438" s="15" t="n"/>
      <c r="Q438" s="15" t="n"/>
      <c r="R438" s="15" t="n"/>
      <c r="S438" s="15" t="n"/>
      <c r="T438" s="15" t="n"/>
      <c r="U438" s="15" t="n"/>
      <c r="V438" s="15" t="n"/>
      <c r="W438" s="15" t="n"/>
      <c r="X438" s="15" t="n"/>
      <c r="Y438" s="15" t="n"/>
      <c r="Z438" s="15" t="n"/>
      <c r="AA438" s="15" t="n"/>
      <c r="AB438" s="15" t="n"/>
      <c r="AC438" s="15" t="n"/>
      <c r="AD438" s="15" t="n"/>
      <c r="AE438" s="15" t="n"/>
      <c r="AH438" s="15" t="n"/>
      <c r="AI438" s="15" t="n"/>
      <c r="AJ438" s="15" t="n"/>
      <c r="AK438" s="15" t="n"/>
    </row>
    <row r="439" ht="14.5" customHeight="1">
      <c r="A439" s="17" t="n"/>
      <c r="B439" s="15" t="n"/>
      <c r="C439" s="15" t="n"/>
      <c r="D439" s="15" t="n"/>
      <c r="E439" s="15" t="n"/>
      <c r="F439" s="15" t="n"/>
      <c r="G439" s="18" t="n"/>
      <c r="H439" s="15" t="n"/>
      <c r="I439" s="15" t="n"/>
      <c r="J439" s="18" t="n"/>
      <c r="K439" s="15" t="n"/>
      <c r="L439" s="15" t="n"/>
      <c r="M439" s="15" t="n"/>
      <c r="N439" s="15" t="n"/>
      <c r="O439" s="15" t="n"/>
      <c r="P439" s="15" t="n"/>
      <c r="Q439" s="15" t="n"/>
      <c r="R439" s="15" t="n"/>
      <c r="S439" s="15" t="n"/>
      <c r="T439" s="15" t="n"/>
      <c r="U439" s="15" t="n"/>
      <c r="V439" s="15" t="n"/>
      <c r="W439" s="15" t="n"/>
      <c r="X439" s="15" t="n"/>
      <c r="Y439" s="15" t="n"/>
      <c r="Z439" s="15" t="n"/>
      <c r="AA439" s="15" t="n"/>
      <c r="AB439" s="15" t="n"/>
      <c r="AC439" s="15" t="n"/>
      <c r="AD439" s="15" t="n"/>
      <c r="AE439" s="15" t="n"/>
      <c r="AH439" s="15" t="n"/>
      <c r="AI439" s="15" t="n"/>
      <c r="AJ439" s="15" t="n"/>
      <c r="AK439" s="15" t="n"/>
    </row>
    <row r="440" ht="14.5" customHeight="1">
      <c r="A440" s="17" t="n"/>
      <c r="B440" s="15" t="n"/>
      <c r="C440" s="15" t="n"/>
      <c r="D440" s="15" t="n"/>
      <c r="E440" s="15" t="n"/>
      <c r="F440" s="15" t="n"/>
      <c r="G440" s="18" t="n"/>
      <c r="H440" s="15" t="n"/>
      <c r="I440" s="15" t="n"/>
      <c r="J440" s="18" t="n"/>
      <c r="K440" s="15" t="n"/>
      <c r="L440" s="15" t="n"/>
      <c r="M440" s="15" t="n"/>
      <c r="N440" s="15" t="n"/>
      <c r="O440" s="15" t="n"/>
      <c r="P440" s="15" t="n"/>
      <c r="Q440" s="15" t="n"/>
      <c r="R440" s="15" t="n"/>
      <c r="S440" s="15" t="n"/>
      <c r="T440" s="15" t="n"/>
      <c r="U440" s="15" t="n"/>
      <c r="V440" s="15" t="n"/>
      <c r="W440" s="15" t="n"/>
      <c r="X440" s="15" t="n"/>
      <c r="Y440" s="15" t="n"/>
      <c r="Z440" s="15" t="n"/>
      <c r="AA440" s="15" t="n"/>
      <c r="AB440" s="15" t="n"/>
      <c r="AC440" s="15" t="n"/>
      <c r="AD440" s="15" t="n"/>
      <c r="AE440" s="15" t="n"/>
      <c r="AH440" s="15" t="n"/>
      <c r="AI440" s="15" t="n"/>
      <c r="AJ440" s="15" t="n"/>
      <c r="AK440" s="15" t="n"/>
    </row>
    <row r="441" ht="14.5" customHeight="1">
      <c r="A441" s="17" t="n"/>
      <c r="B441" s="15" t="n"/>
      <c r="C441" s="15" t="n"/>
      <c r="D441" s="15" t="n"/>
      <c r="E441" s="15" t="n"/>
      <c r="F441" s="15" t="n"/>
      <c r="G441" s="18" t="n"/>
      <c r="H441" s="15" t="n"/>
      <c r="I441" s="15" t="n"/>
      <c r="J441" s="18" t="n"/>
      <c r="K441" s="15" t="n"/>
      <c r="L441" s="15" t="n"/>
      <c r="M441" s="15" t="n"/>
      <c r="N441" s="15" t="n"/>
      <c r="O441" s="15" t="n"/>
      <c r="P441" s="15" t="n"/>
      <c r="Q441" s="15" t="n"/>
      <c r="R441" s="15" t="n"/>
      <c r="S441" s="15" t="n"/>
      <c r="T441" s="15" t="n"/>
      <c r="U441" s="15" t="n"/>
      <c r="V441" s="15" t="n"/>
      <c r="W441" s="15" t="n"/>
      <c r="X441" s="15" t="n"/>
      <c r="Y441" s="15" t="n"/>
      <c r="Z441" s="15" t="n"/>
      <c r="AA441" s="15" t="n"/>
      <c r="AB441" s="15" t="n"/>
      <c r="AC441" s="15" t="n"/>
      <c r="AD441" s="15" t="n"/>
      <c r="AE441" s="15" t="n"/>
      <c r="AH441" s="15" t="n"/>
      <c r="AI441" s="15" t="n"/>
      <c r="AJ441" s="15" t="n"/>
      <c r="AK441" s="15" t="n"/>
    </row>
    <row r="442" ht="14.5" customHeight="1">
      <c r="A442" s="17" t="n"/>
      <c r="B442" s="15" t="n"/>
      <c r="C442" s="15" t="n"/>
      <c r="D442" s="15" t="n"/>
      <c r="E442" s="15" t="n"/>
      <c r="F442" s="15" t="n"/>
      <c r="G442" s="18" t="n"/>
      <c r="H442" s="15" t="n"/>
      <c r="I442" s="15" t="n"/>
      <c r="J442" s="18" t="n"/>
      <c r="K442" s="15" t="n"/>
      <c r="L442" s="15" t="n"/>
      <c r="M442" s="15" t="n"/>
      <c r="N442" s="15" t="n"/>
      <c r="O442" s="15" t="n"/>
      <c r="P442" s="15" t="n"/>
      <c r="Q442" s="15" t="n"/>
      <c r="R442" s="15" t="n"/>
      <c r="S442" s="15" t="n"/>
      <c r="T442" s="15" t="n"/>
      <c r="U442" s="15" t="n"/>
      <c r="V442" s="15" t="n"/>
      <c r="W442" s="15" t="n"/>
      <c r="X442" s="15" t="n"/>
      <c r="Y442" s="15" t="n"/>
      <c r="Z442" s="15" t="n"/>
      <c r="AA442" s="15" t="n"/>
      <c r="AB442" s="15" t="n"/>
      <c r="AC442" s="15" t="n"/>
      <c r="AD442" s="15" t="n"/>
      <c r="AE442" s="15" t="n"/>
      <c r="AH442" s="15" t="n"/>
      <c r="AI442" s="15" t="n"/>
      <c r="AJ442" s="15" t="n"/>
      <c r="AK442" s="15" t="n"/>
    </row>
    <row r="443" ht="14.5" customHeight="1">
      <c r="A443" s="17" t="n"/>
      <c r="B443" s="15" t="n"/>
      <c r="C443" s="15" t="n"/>
      <c r="D443" s="15" t="n"/>
      <c r="E443" s="15" t="n"/>
      <c r="F443" s="15" t="n"/>
      <c r="G443" s="18" t="n"/>
      <c r="H443" s="15" t="n"/>
      <c r="I443" s="15" t="n"/>
      <c r="J443" s="18" t="n"/>
      <c r="K443" s="15" t="n"/>
      <c r="L443" s="15" t="n"/>
      <c r="M443" s="15" t="n"/>
      <c r="N443" s="15" t="n"/>
      <c r="O443" s="15" t="n"/>
      <c r="P443" s="15" t="n"/>
      <c r="Q443" s="15" t="n"/>
      <c r="R443" s="15" t="n"/>
      <c r="S443" s="15" t="n"/>
      <c r="T443" s="15" t="n"/>
      <c r="U443" s="15" t="n"/>
      <c r="V443" s="15" t="n"/>
      <c r="W443" s="15" t="n"/>
      <c r="X443" s="15" t="n"/>
      <c r="Y443" s="15" t="n"/>
      <c r="Z443" s="15" t="n"/>
      <c r="AA443" s="15" t="n"/>
      <c r="AB443" s="15" t="n"/>
      <c r="AC443" s="15" t="n"/>
      <c r="AD443" s="15" t="n"/>
      <c r="AE443" s="15" t="n"/>
      <c r="AH443" s="15" t="n"/>
      <c r="AI443" s="15" t="n"/>
      <c r="AJ443" s="15" t="n"/>
      <c r="AK443" s="15" t="n"/>
    </row>
    <row r="444" ht="14.5" customHeight="1">
      <c r="A444" s="17" t="n"/>
      <c r="B444" s="15" t="n"/>
      <c r="C444" s="15" t="n"/>
      <c r="D444" s="15" t="n"/>
      <c r="E444" s="15" t="n"/>
      <c r="F444" s="15" t="n"/>
      <c r="G444" s="18" t="n"/>
      <c r="H444" s="15" t="n"/>
      <c r="I444" s="15" t="n"/>
      <c r="J444" s="18" t="n"/>
      <c r="K444" s="15" t="n"/>
      <c r="L444" s="15" t="n"/>
      <c r="M444" s="15" t="n"/>
      <c r="N444" s="15" t="n"/>
      <c r="O444" s="15" t="n"/>
      <c r="P444" s="15" t="n"/>
      <c r="Q444" s="15" t="n"/>
      <c r="R444" s="15" t="n"/>
      <c r="S444" s="15" t="n"/>
      <c r="T444" s="15" t="n"/>
      <c r="U444" s="15" t="n"/>
      <c r="V444" s="15" t="n"/>
      <c r="W444" s="15" t="n"/>
      <c r="X444" s="15" t="n"/>
      <c r="Y444" s="15" t="n"/>
      <c r="Z444" s="15" t="n"/>
      <c r="AA444" s="15" t="n"/>
      <c r="AB444" s="15" t="n"/>
      <c r="AC444" s="15" t="n"/>
      <c r="AD444" s="15" t="n"/>
      <c r="AE444" s="15" t="n"/>
      <c r="AH444" s="15" t="n"/>
      <c r="AI444" s="15" t="n"/>
      <c r="AJ444" s="15" t="n"/>
      <c r="AK444" s="15" t="n"/>
    </row>
    <row r="445" ht="14.5" customHeight="1">
      <c r="A445" s="17" t="n"/>
      <c r="B445" s="15" t="n"/>
      <c r="C445" s="15" t="n"/>
      <c r="D445" s="15" t="n"/>
      <c r="E445" s="15" t="n"/>
      <c r="F445" s="15" t="n"/>
      <c r="G445" s="18" t="n"/>
      <c r="H445" s="15" t="n"/>
      <c r="I445" s="15" t="n"/>
      <c r="J445" s="18" t="n"/>
      <c r="K445" s="15" t="n"/>
      <c r="L445" s="15" t="n"/>
      <c r="M445" s="15" t="n"/>
      <c r="N445" s="15" t="n"/>
      <c r="O445" s="15" t="n"/>
      <c r="P445" s="15" t="n"/>
      <c r="Q445" s="15" t="n"/>
      <c r="R445" s="15" t="n"/>
      <c r="S445" s="15" t="n"/>
      <c r="T445" s="15" t="n"/>
      <c r="U445" s="15" t="n"/>
      <c r="V445" s="15" t="n"/>
      <c r="W445" s="15" t="n"/>
      <c r="X445" s="15" t="n"/>
      <c r="Y445" s="15" t="n"/>
      <c r="Z445" s="15" t="n"/>
      <c r="AA445" s="15" t="n"/>
      <c r="AB445" s="15" t="n"/>
      <c r="AC445" s="15" t="n"/>
      <c r="AD445" s="15" t="n"/>
      <c r="AE445" s="15" t="n"/>
      <c r="AH445" s="15" t="n"/>
      <c r="AI445" s="15" t="n"/>
      <c r="AJ445" s="15" t="n"/>
      <c r="AK445" s="15" t="n"/>
    </row>
    <row r="446" ht="14.5" customHeight="1">
      <c r="A446" s="17" t="n"/>
      <c r="B446" s="15" t="n"/>
      <c r="C446" s="15" t="n"/>
      <c r="D446" s="15" t="n"/>
      <c r="E446" s="15" t="n"/>
      <c r="F446" s="15" t="n"/>
      <c r="G446" s="18" t="n"/>
      <c r="H446" s="15" t="n"/>
      <c r="I446" s="15" t="n"/>
      <c r="J446" s="18" t="n"/>
      <c r="K446" s="15" t="n"/>
      <c r="L446" s="15" t="n"/>
      <c r="M446" s="15" t="n"/>
      <c r="N446" s="15" t="n"/>
      <c r="O446" s="15" t="n"/>
      <c r="P446" s="15" t="n"/>
      <c r="Q446" s="15" t="n"/>
      <c r="R446" s="15" t="n"/>
      <c r="S446" s="15" t="n"/>
      <c r="T446" s="15" t="n"/>
      <c r="U446" s="15" t="n"/>
      <c r="V446" s="15" t="n"/>
      <c r="W446" s="15" t="n"/>
      <c r="X446" s="15" t="n"/>
      <c r="Y446" s="15" t="n"/>
      <c r="Z446" s="15" t="n"/>
      <c r="AA446" s="15" t="n"/>
      <c r="AB446" s="15" t="n"/>
      <c r="AC446" s="15" t="n"/>
      <c r="AD446" s="15" t="n"/>
      <c r="AE446" s="15" t="n"/>
      <c r="AH446" s="15" t="n"/>
      <c r="AI446" s="15" t="n"/>
      <c r="AJ446" s="15" t="n"/>
      <c r="AK446" s="15" t="n"/>
    </row>
    <row r="447" ht="14.5" customHeight="1">
      <c r="A447" s="17" t="n"/>
      <c r="B447" s="15" t="n"/>
      <c r="C447" s="15" t="n"/>
      <c r="D447" s="15" t="n"/>
      <c r="E447" s="15" t="n"/>
      <c r="F447" s="15" t="n"/>
      <c r="G447" s="18" t="n"/>
      <c r="H447" s="15" t="n"/>
      <c r="I447" s="15" t="n"/>
      <c r="J447" s="18" t="n"/>
      <c r="K447" s="15" t="n"/>
      <c r="L447" s="15" t="n"/>
      <c r="M447" s="15" t="n"/>
      <c r="N447" s="15" t="n"/>
      <c r="O447" s="15" t="n"/>
      <c r="P447" s="15" t="n"/>
      <c r="Q447" s="15" t="n"/>
      <c r="R447" s="15" t="n"/>
      <c r="S447" s="15" t="n"/>
      <c r="T447" s="15" t="n"/>
      <c r="U447" s="15" t="n"/>
      <c r="V447" s="15" t="n"/>
      <c r="W447" s="15" t="n"/>
      <c r="X447" s="15" t="n"/>
      <c r="Y447" s="15" t="n"/>
      <c r="Z447" s="15" t="n"/>
      <c r="AA447" s="15" t="n"/>
      <c r="AB447" s="15" t="n"/>
      <c r="AC447" s="15" t="n"/>
      <c r="AD447" s="15" t="n"/>
      <c r="AE447" s="15" t="n"/>
      <c r="AH447" s="15" t="n"/>
      <c r="AI447" s="15" t="n"/>
      <c r="AJ447" s="15" t="n"/>
      <c r="AK447" s="15" t="n"/>
    </row>
    <row r="448" ht="14.5" customHeight="1">
      <c r="A448" s="17" t="n"/>
      <c r="B448" s="15" t="n"/>
      <c r="C448" s="15" t="n"/>
      <c r="D448" s="15" t="n"/>
      <c r="E448" s="15" t="n"/>
      <c r="F448" s="15" t="n"/>
      <c r="G448" s="18" t="n"/>
      <c r="H448" s="15" t="n"/>
      <c r="I448" s="15" t="n"/>
      <c r="J448" s="18" t="n"/>
      <c r="K448" s="15" t="n"/>
      <c r="L448" s="15" t="n"/>
      <c r="M448" s="15" t="n"/>
      <c r="N448" s="15" t="n"/>
      <c r="O448" s="15" t="n"/>
      <c r="P448" s="15" t="n"/>
      <c r="Q448" s="15" t="n"/>
      <c r="R448" s="15" t="n"/>
      <c r="S448" s="15" t="n"/>
      <c r="T448" s="15" t="n"/>
      <c r="U448" s="15" t="n"/>
      <c r="V448" s="15" t="n"/>
      <c r="W448" s="15" t="n"/>
      <c r="X448" s="15" t="n"/>
      <c r="Y448" s="15" t="n"/>
      <c r="Z448" s="15" t="n"/>
      <c r="AA448" s="15" t="n"/>
      <c r="AB448" s="15" t="n"/>
      <c r="AC448" s="15" t="n"/>
      <c r="AD448" s="15" t="n"/>
      <c r="AE448" s="15" t="n"/>
      <c r="AH448" s="15" t="n"/>
      <c r="AI448" s="15" t="n"/>
      <c r="AJ448" s="15" t="n"/>
      <c r="AK448" s="15" t="n"/>
    </row>
    <row r="449" ht="14.5" customHeight="1">
      <c r="A449" s="17" t="n"/>
      <c r="B449" s="15" t="n"/>
      <c r="C449" s="15" t="n"/>
      <c r="D449" s="15" t="n"/>
      <c r="E449" s="15" t="n"/>
      <c r="F449" s="15" t="n"/>
      <c r="G449" s="18" t="n"/>
      <c r="H449" s="15" t="n"/>
      <c r="I449" s="15" t="n"/>
      <c r="J449" s="18" t="n"/>
      <c r="K449" s="15" t="n"/>
      <c r="L449" s="15" t="n"/>
      <c r="M449" s="15" t="n"/>
      <c r="N449" s="15" t="n"/>
      <c r="O449" s="15" t="n"/>
      <c r="P449" s="15" t="n"/>
      <c r="Q449" s="15" t="n"/>
      <c r="R449" s="15" t="n"/>
      <c r="S449" s="15" t="n"/>
      <c r="T449" s="15" t="n"/>
      <c r="U449" s="15" t="n"/>
      <c r="V449" s="15" t="n"/>
      <c r="W449" s="15" t="n"/>
      <c r="X449" s="15" t="n"/>
      <c r="Y449" s="15" t="n"/>
      <c r="Z449" s="15" t="n"/>
      <c r="AA449" s="15" t="n"/>
      <c r="AB449" s="15" t="n"/>
      <c r="AC449" s="15" t="n"/>
      <c r="AD449" s="15" t="n"/>
      <c r="AE449" s="15" t="n"/>
      <c r="AH449" s="15" t="n"/>
      <c r="AI449" s="15" t="n"/>
      <c r="AJ449" s="15" t="n"/>
      <c r="AK449" s="15" t="n"/>
    </row>
    <row r="450" ht="14.5" customHeight="1">
      <c r="A450" s="17" t="n"/>
      <c r="B450" s="15" t="n"/>
      <c r="C450" s="15" t="n"/>
      <c r="D450" s="15" t="n"/>
      <c r="E450" s="15" t="n"/>
      <c r="F450" s="15" t="n"/>
      <c r="G450" s="18" t="n"/>
      <c r="H450" s="15" t="n"/>
      <c r="I450" s="15" t="n"/>
      <c r="J450" s="18" t="n"/>
      <c r="K450" s="15" t="n"/>
      <c r="L450" s="15" t="n"/>
      <c r="M450" s="15" t="n"/>
      <c r="N450" s="15" t="n"/>
      <c r="O450" s="15" t="n"/>
      <c r="P450" s="15" t="n"/>
      <c r="Q450" s="15" t="n"/>
      <c r="R450" s="15" t="n"/>
      <c r="S450" s="15" t="n"/>
      <c r="T450" s="15" t="n"/>
      <c r="U450" s="15" t="n"/>
      <c r="V450" s="15" t="n"/>
      <c r="W450" s="15" t="n"/>
      <c r="X450" s="15" t="n"/>
      <c r="Y450" s="15" t="n"/>
      <c r="Z450" s="15" t="n"/>
      <c r="AA450" s="15" t="n"/>
      <c r="AB450" s="15" t="n"/>
      <c r="AC450" s="15" t="n"/>
      <c r="AD450" s="15" t="n"/>
      <c r="AE450" s="15" t="n"/>
      <c r="AH450" s="15" t="n"/>
      <c r="AI450" s="15" t="n"/>
      <c r="AJ450" s="15" t="n"/>
      <c r="AK450" s="15" t="n"/>
    </row>
    <row r="451" ht="14.5" customHeight="1">
      <c r="A451" s="17" t="n"/>
      <c r="B451" s="15" t="n"/>
      <c r="C451" s="15" t="n"/>
      <c r="D451" s="15" t="n"/>
      <c r="E451" s="15" t="n"/>
      <c r="F451" s="15" t="n"/>
      <c r="G451" s="18" t="n"/>
      <c r="H451" s="15" t="n"/>
      <c r="I451" s="15" t="n"/>
      <c r="J451" s="18" t="n"/>
      <c r="K451" s="15" t="n"/>
      <c r="L451" s="15" t="n"/>
      <c r="M451" s="15" t="n"/>
      <c r="N451" s="15" t="n"/>
      <c r="O451" s="15" t="n"/>
      <c r="P451" s="15" t="n"/>
      <c r="Q451" s="15" t="n"/>
      <c r="R451" s="15" t="n"/>
      <c r="S451" s="15" t="n"/>
      <c r="T451" s="15" t="n"/>
      <c r="U451" s="15" t="n"/>
      <c r="V451" s="15" t="n"/>
      <c r="W451" s="15" t="n"/>
      <c r="X451" s="15" t="n"/>
      <c r="Y451" s="15" t="n"/>
      <c r="Z451" s="15" t="n"/>
      <c r="AA451" s="15" t="n"/>
      <c r="AB451" s="15" t="n"/>
      <c r="AC451" s="15" t="n"/>
      <c r="AD451" s="15" t="n"/>
      <c r="AE451" s="15" t="n"/>
      <c r="AH451" s="15" t="n"/>
      <c r="AI451" s="15" t="n"/>
      <c r="AJ451" s="15" t="n"/>
      <c r="AK451" s="15" t="n"/>
    </row>
    <row r="452" ht="14.5" customHeight="1">
      <c r="A452" s="17" t="n"/>
      <c r="B452" s="15" t="n"/>
      <c r="C452" s="15" t="n"/>
      <c r="D452" s="15" t="n"/>
      <c r="E452" s="15" t="n"/>
      <c r="F452" s="15" t="n"/>
      <c r="G452" s="18" t="n"/>
      <c r="H452" s="15" t="n"/>
      <c r="I452" s="15" t="n"/>
      <c r="J452" s="18" t="n"/>
      <c r="K452" s="15" t="n"/>
      <c r="L452" s="15" t="n"/>
      <c r="M452" s="15" t="n"/>
      <c r="N452" s="15" t="n"/>
      <c r="O452" s="15" t="n"/>
      <c r="P452" s="15" t="n"/>
      <c r="Q452" s="15" t="n"/>
      <c r="R452" s="15" t="n"/>
      <c r="S452" s="15" t="n"/>
      <c r="T452" s="15" t="n"/>
      <c r="U452" s="15" t="n"/>
      <c r="V452" s="15" t="n"/>
      <c r="W452" s="15" t="n"/>
      <c r="X452" s="15" t="n"/>
      <c r="Y452" s="15" t="n"/>
      <c r="Z452" s="15" t="n"/>
      <c r="AA452" s="15" t="n"/>
      <c r="AB452" s="15" t="n"/>
      <c r="AC452" s="15" t="n"/>
      <c r="AD452" s="15" t="n"/>
      <c r="AE452" s="15" t="n"/>
      <c r="AH452" s="15" t="n"/>
      <c r="AI452" s="15" t="n"/>
      <c r="AJ452" s="15" t="n"/>
      <c r="AK452" s="15" t="n"/>
    </row>
    <row r="453" ht="14.5" customHeight="1">
      <c r="A453" s="17" t="n"/>
      <c r="B453" s="15" t="n"/>
      <c r="C453" s="15" t="n"/>
      <c r="D453" s="15" t="n"/>
      <c r="E453" s="15" t="n"/>
      <c r="F453" s="15" t="n"/>
      <c r="G453" s="18" t="n"/>
      <c r="H453" s="15" t="n"/>
      <c r="I453" s="15" t="n"/>
      <c r="J453" s="18" t="n"/>
      <c r="K453" s="15" t="n"/>
      <c r="L453" s="15" t="n"/>
      <c r="M453" s="15" t="n"/>
      <c r="N453" s="15" t="n"/>
      <c r="O453" s="15" t="n"/>
      <c r="P453" s="15" t="n"/>
      <c r="Q453" s="15" t="n"/>
      <c r="R453" s="15" t="n"/>
      <c r="S453" s="15" t="n"/>
      <c r="T453" s="15" t="n"/>
      <c r="U453" s="15" t="n"/>
      <c r="V453" s="15" t="n"/>
      <c r="W453" s="15" t="n"/>
      <c r="X453" s="15" t="n"/>
      <c r="Y453" s="15" t="n"/>
      <c r="Z453" s="15" t="n"/>
      <c r="AA453" s="15" t="n"/>
      <c r="AB453" s="15" t="n"/>
      <c r="AC453" s="15" t="n"/>
      <c r="AD453" s="15" t="n"/>
      <c r="AE453" s="15" t="n"/>
      <c r="AH453" s="15" t="n"/>
      <c r="AI453" s="15" t="n"/>
      <c r="AJ453" s="15" t="n"/>
      <c r="AK453" s="15" t="n"/>
    </row>
    <row r="454" ht="14.5" customHeight="1">
      <c r="A454" s="17" t="n"/>
      <c r="B454" s="15" t="n"/>
      <c r="C454" s="15" t="n"/>
      <c r="D454" s="15" t="n"/>
      <c r="E454" s="15" t="n"/>
      <c r="F454" s="15" t="n"/>
      <c r="G454" s="18" t="n"/>
      <c r="H454" s="15" t="n"/>
      <c r="I454" s="15" t="n"/>
      <c r="J454" s="18" t="n"/>
      <c r="K454" s="15" t="n"/>
      <c r="L454" s="15" t="n"/>
      <c r="M454" s="15" t="n"/>
      <c r="N454" s="15" t="n"/>
      <c r="O454" s="15" t="n"/>
      <c r="P454" s="15" t="n"/>
      <c r="Q454" s="15" t="n"/>
      <c r="R454" s="15" t="n"/>
      <c r="S454" s="15" t="n"/>
      <c r="T454" s="15" t="n"/>
      <c r="U454" s="15" t="n"/>
      <c r="V454" s="15" t="n"/>
      <c r="W454" s="15" t="n"/>
      <c r="X454" s="15" t="n"/>
      <c r="Y454" s="15" t="n"/>
      <c r="Z454" s="15" t="n"/>
      <c r="AA454" s="15" t="n"/>
      <c r="AB454" s="15" t="n"/>
      <c r="AC454" s="15" t="n"/>
      <c r="AD454" s="15" t="n"/>
      <c r="AE454" s="15" t="n"/>
      <c r="AH454" s="15" t="n"/>
      <c r="AI454" s="15" t="n"/>
      <c r="AJ454" s="15" t="n"/>
      <c r="AK454" s="15" t="n"/>
    </row>
    <row r="455" ht="14.5" customHeight="1">
      <c r="A455" s="17" t="n"/>
      <c r="B455" s="15" t="n"/>
      <c r="C455" s="15" t="n"/>
      <c r="D455" s="15" t="n"/>
      <c r="E455" s="15" t="n"/>
      <c r="F455" s="15" t="n"/>
      <c r="G455" s="18" t="n"/>
      <c r="H455" s="15" t="n"/>
      <c r="I455" s="15" t="n"/>
      <c r="J455" s="18" t="n"/>
      <c r="K455" s="15" t="n"/>
      <c r="L455" s="15" t="n"/>
      <c r="M455" s="15" t="n"/>
      <c r="N455" s="15" t="n"/>
      <c r="O455" s="15" t="n"/>
      <c r="P455" s="15" t="n"/>
      <c r="Q455" s="15" t="n"/>
      <c r="R455" s="15" t="n"/>
      <c r="S455" s="15" t="n"/>
      <c r="T455" s="15" t="n"/>
      <c r="U455" s="15" t="n"/>
      <c r="V455" s="15" t="n"/>
      <c r="W455" s="15" t="n"/>
      <c r="X455" s="15" t="n"/>
      <c r="Y455" s="15" t="n"/>
      <c r="Z455" s="15" t="n"/>
      <c r="AA455" s="15" t="n"/>
      <c r="AB455" s="15" t="n"/>
      <c r="AC455" s="15" t="n"/>
      <c r="AD455" s="15" t="n"/>
      <c r="AE455" s="15" t="n"/>
      <c r="AH455" s="15" t="n"/>
      <c r="AI455" s="15" t="n"/>
      <c r="AJ455" s="15" t="n"/>
      <c r="AK455" s="15" t="n"/>
    </row>
    <row r="456" ht="14.5" customHeight="1">
      <c r="A456" s="17" t="n"/>
      <c r="B456" s="15" t="n"/>
      <c r="C456" s="15" t="n"/>
      <c r="D456" s="15" t="n"/>
      <c r="E456" s="15" t="n"/>
      <c r="F456" s="15" t="n"/>
      <c r="G456" s="18" t="n"/>
      <c r="H456" s="15" t="n"/>
      <c r="I456" s="15" t="n"/>
      <c r="J456" s="18" t="n"/>
      <c r="K456" s="15" t="n"/>
      <c r="L456" s="15" t="n"/>
      <c r="M456" s="15" t="n"/>
      <c r="N456" s="15" t="n"/>
      <c r="O456" s="15" t="n"/>
      <c r="P456" s="15" t="n"/>
      <c r="Q456" s="15" t="n"/>
      <c r="R456" s="15" t="n"/>
      <c r="S456" s="15" t="n"/>
      <c r="T456" s="15" t="n"/>
      <c r="U456" s="15" t="n"/>
      <c r="V456" s="15" t="n"/>
      <c r="W456" s="15" t="n"/>
      <c r="X456" s="15" t="n"/>
      <c r="Y456" s="15" t="n"/>
      <c r="Z456" s="15" t="n"/>
      <c r="AA456" s="15" t="n"/>
      <c r="AB456" s="15" t="n"/>
      <c r="AC456" s="15" t="n"/>
      <c r="AD456" s="15" t="n"/>
      <c r="AE456" s="15" t="n"/>
      <c r="AH456" s="15" t="n"/>
      <c r="AI456" s="15" t="n"/>
      <c r="AJ456" s="15" t="n"/>
      <c r="AK456" s="15" t="n"/>
    </row>
    <row r="457" ht="14.5" customHeight="1">
      <c r="A457" s="17" t="n"/>
      <c r="B457" s="15" t="n"/>
      <c r="C457" s="15" t="n"/>
      <c r="D457" s="15" t="n"/>
      <c r="E457" s="15" t="n"/>
      <c r="F457" s="15" t="n"/>
      <c r="G457" s="18" t="n"/>
      <c r="H457" s="15" t="n"/>
      <c r="I457" s="15" t="n"/>
      <c r="J457" s="18" t="n"/>
      <c r="K457" s="15" t="n"/>
      <c r="L457" s="15" t="n"/>
      <c r="M457" s="15" t="n"/>
      <c r="N457" s="15" t="n"/>
      <c r="O457" s="15" t="n"/>
      <c r="P457" s="15" t="n"/>
      <c r="Q457" s="15" t="n"/>
      <c r="R457" s="15" t="n"/>
      <c r="S457" s="15" t="n"/>
      <c r="T457" s="15" t="n"/>
      <c r="U457" s="15" t="n"/>
      <c r="V457" s="15" t="n"/>
      <c r="W457" s="15" t="n"/>
      <c r="X457" s="15" t="n"/>
      <c r="Y457" s="15" t="n"/>
      <c r="Z457" s="15" t="n"/>
      <c r="AA457" s="15" t="n"/>
      <c r="AB457" s="15" t="n"/>
      <c r="AC457" s="15" t="n"/>
      <c r="AD457" s="15" t="n"/>
      <c r="AE457" s="15" t="n"/>
      <c r="AH457" s="15" t="n"/>
      <c r="AI457" s="15" t="n"/>
      <c r="AJ457" s="15" t="n"/>
      <c r="AK457" s="15" t="n"/>
    </row>
    <row r="458" ht="14.5" customHeight="1">
      <c r="A458" s="17" t="n"/>
      <c r="B458" s="15" t="n"/>
      <c r="C458" s="15" t="n"/>
      <c r="D458" s="15" t="n"/>
      <c r="E458" s="15" t="n"/>
      <c r="F458" s="15" t="n"/>
      <c r="G458" s="18" t="n"/>
      <c r="H458" s="15" t="n"/>
      <c r="I458" s="15" t="n"/>
      <c r="J458" s="18" t="n"/>
      <c r="K458" s="15" t="n"/>
      <c r="L458" s="15" t="n"/>
      <c r="M458" s="15" t="n"/>
      <c r="N458" s="15" t="n"/>
      <c r="O458" s="15" t="n"/>
      <c r="P458" s="15" t="n"/>
      <c r="Q458" s="15" t="n"/>
      <c r="R458" s="15" t="n"/>
      <c r="S458" s="15" t="n"/>
      <c r="T458" s="15" t="n"/>
      <c r="U458" s="15" t="n"/>
      <c r="V458" s="15" t="n"/>
      <c r="W458" s="15" t="n"/>
      <c r="X458" s="15" t="n"/>
      <c r="Y458" s="15" t="n"/>
      <c r="Z458" s="15" t="n"/>
      <c r="AA458" s="15" t="n"/>
      <c r="AB458" s="15" t="n"/>
      <c r="AC458" s="15" t="n"/>
      <c r="AD458" s="15" t="n"/>
      <c r="AE458" s="15" t="n"/>
      <c r="AH458" s="15" t="n"/>
      <c r="AI458" s="15" t="n"/>
      <c r="AJ458" s="15" t="n"/>
      <c r="AK458" s="15" t="n"/>
    </row>
    <row r="459" ht="14.5" customHeight="1">
      <c r="A459" s="17" t="n"/>
      <c r="B459" s="15" t="n"/>
      <c r="C459" s="15" t="n"/>
      <c r="D459" s="15" t="n"/>
      <c r="E459" s="15" t="n"/>
      <c r="F459" s="15" t="n"/>
      <c r="G459" s="18" t="n"/>
      <c r="H459" s="15" t="n"/>
      <c r="I459" s="15" t="n"/>
      <c r="J459" s="18" t="n"/>
      <c r="K459" s="15" t="n"/>
      <c r="L459" s="15" t="n"/>
      <c r="M459" s="15" t="n"/>
      <c r="N459" s="15" t="n"/>
      <c r="O459" s="15" t="n"/>
      <c r="P459" s="15" t="n"/>
      <c r="Q459" s="15" t="n"/>
      <c r="R459" s="15" t="n"/>
      <c r="S459" s="15" t="n"/>
      <c r="T459" s="15" t="n"/>
      <c r="U459" s="15" t="n"/>
      <c r="V459" s="15" t="n"/>
      <c r="W459" s="15" t="n"/>
      <c r="X459" s="15" t="n"/>
      <c r="Y459" s="15" t="n"/>
      <c r="Z459" s="15" t="n"/>
      <c r="AA459" s="15" t="n"/>
      <c r="AB459" s="15" t="n"/>
      <c r="AC459" s="15" t="n"/>
      <c r="AD459" s="15" t="n"/>
      <c r="AE459" s="15" t="n"/>
      <c r="AH459" s="15" t="n"/>
      <c r="AI459" s="15" t="n"/>
      <c r="AJ459" s="15" t="n"/>
      <c r="AK459" s="15" t="n"/>
    </row>
    <row r="460" ht="14.5" customHeight="1">
      <c r="A460" s="17" t="n"/>
      <c r="B460" s="15" t="n"/>
      <c r="C460" s="15" t="n"/>
      <c r="D460" s="15" t="n"/>
      <c r="E460" s="15" t="n"/>
      <c r="F460" s="15" t="n"/>
      <c r="G460" s="18" t="n"/>
      <c r="H460" s="15" t="n"/>
      <c r="I460" s="15" t="n"/>
      <c r="J460" s="18" t="n"/>
      <c r="K460" s="15" t="n"/>
      <c r="L460" s="15" t="n"/>
      <c r="M460" s="15" t="n"/>
      <c r="N460" s="15" t="n"/>
      <c r="O460" s="15" t="n"/>
      <c r="P460" s="15" t="n"/>
      <c r="Q460" s="15" t="n"/>
      <c r="R460" s="15" t="n"/>
      <c r="S460" s="15" t="n"/>
      <c r="T460" s="15" t="n"/>
      <c r="U460" s="15" t="n"/>
      <c r="V460" s="15" t="n"/>
      <c r="W460" s="15" t="n"/>
      <c r="X460" s="15" t="n"/>
      <c r="Y460" s="15" t="n"/>
      <c r="Z460" s="15" t="n"/>
      <c r="AA460" s="15" t="n"/>
      <c r="AB460" s="15" t="n"/>
      <c r="AC460" s="15" t="n"/>
      <c r="AD460" s="15" t="n"/>
      <c r="AE460" s="15" t="n"/>
      <c r="AH460" s="15" t="n"/>
      <c r="AI460" s="15" t="n"/>
      <c r="AJ460" s="15" t="n"/>
      <c r="AK460" s="15" t="n"/>
    </row>
    <row r="461" ht="14.5" customHeight="1">
      <c r="A461" s="17" t="n"/>
      <c r="B461" s="15" t="n"/>
      <c r="C461" s="15" t="n"/>
      <c r="D461" s="15" t="n"/>
      <c r="E461" s="15" t="n"/>
      <c r="F461" s="15" t="n"/>
      <c r="G461" s="18" t="n"/>
      <c r="H461" s="15" t="n"/>
      <c r="I461" s="15" t="n"/>
      <c r="J461" s="18" t="n"/>
      <c r="K461" s="15" t="n"/>
      <c r="L461" s="15" t="n"/>
      <c r="M461" s="15" t="n"/>
      <c r="N461" s="15" t="n"/>
      <c r="O461" s="15" t="n"/>
      <c r="P461" s="15" t="n"/>
      <c r="Q461" s="15" t="n"/>
      <c r="R461" s="15" t="n"/>
      <c r="S461" s="15" t="n"/>
      <c r="T461" s="15" t="n"/>
      <c r="U461" s="15" t="n"/>
      <c r="V461" s="15" t="n"/>
      <c r="W461" s="15" t="n"/>
      <c r="X461" s="15" t="n"/>
      <c r="Y461" s="15" t="n"/>
      <c r="Z461" s="15" t="n"/>
      <c r="AA461" s="15" t="n"/>
      <c r="AB461" s="15" t="n"/>
      <c r="AC461" s="15" t="n"/>
      <c r="AD461" s="15" t="n"/>
      <c r="AE461" s="15" t="n"/>
      <c r="AH461" s="15" t="n"/>
      <c r="AI461" s="15" t="n"/>
      <c r="AJ461" s="15" t="n"/>
      <c r="AK461" s="15" t="n"/>
    </row>
    <row r="462" ht="14.5" customHeight="1">
      <c r="A462" s="17" t="n"/>
      <c r="B462" s="15" t="n"/>
      <c r="C462" s="15" t="n"/>
      <c r="D462" s="15" t="n"/>
      <c r="E462" s="15" t="n"/>
      <c r="F462" s="15" t="n"/>
      <c r="G462" s="18" t="n"/>
      <c r="H462" s="15" t="n"/>
      <c r="I462" s="15" t="n"/>
      <c r="J462" s="18" t="n"/>
      <c r="K462" s="15" t="n"/>
      <c r="L462" s="15" t="n"/>
      <c r="M462" s="15" t="n"/>
      <c r="N462" s="15" t="n"/>
      <c r="O462" s="15" t="n"/>
      <c r="P462" s="15" t="n"/>
      <c r="Q462" s="15" t="n"/>
      <c r="R462" s="15" t="n"/>
      <c r="S462" s="15" t="n"/>
      <c r="T462" s="15" t="n"/>
      <c r="U462" s="15" t="n"/>
      <c r="V462" s="15" t="n"/>
      <c r="W462" s="15" t="n"/>
      <c r="X462" s="15" t="n"/>
      <c r="Y462" s="15" t="n"/>
      <c r="Z462" s="15" t="n"/>
      <c r="AA462" s="15" t="n"/>
      <c r="AB462" s="15" t="n"/>
      <c r="AC462" s="15" t="n"/>
      <c r="AD462" s="15" t="n"/>
      <c r="AE462" s="15" t="n"/>
      <c r="AH462" s="15" t="n"/>
      <c r="AI462" s="15" t="n"/>
      <c r="AJ462" s="15" t="n"/>
      <c r="AK462" s="15" t="n"/>
    </row>
    <row r="463" ht="14.5" customHeight="1">
      <c r="A463" s="17" t="n"/>
      <c r="B463" s="15" t="n"/>
      <c r="C463" s="15" t="n"/>
      <c r="D463" s="15" t="n"/>
      <c r="E463" s="15" t="n"/>
      <c r="F463" s="15" t="n"/>
      <c r="G463" s="18" t="n"/>
      <c r="H463" s="15" t="n"/>
      <c r="I463" s="15" t="n"/>
      <c r="J463" s="18" t="n"/>
      <c r="K463" s="15" t="n"/>
      <c r="L463" s="15" t="n"/>
      <c r="M463" s="15" t="n"/>
      <c r="N463" s="15" t="n"/>
      <c r="O463" s="15" t="n"/>
      <c r="P463" s="15" t="n"/>
      <c r="Q463" s="15" t="n"/>
      <c r="R463" s="15" t="n"/>
      <c r="S463" s="15" t="n"/>
      <c r="T463" s="15" t="n"/>
      <c r="U463" s="15" t="n"/>
      <c r="V463" s="15" t="n"/>
      <c r="W463" s="15" t="n"/>
      <c r="X463" s="15" t="n"/>
      <c r="Y463" s="15" t="n"/>
      <c r="Z463" s="15" t="n"/>
      <c r="AA463" s="15" t="n"/>
      <c r="AB463" s="15" t="n"/>
      <c r="AC463" s="15" t="n"/>
      <c r="AD463" s="15" t="n"/>
      <c r="AE463" s="15" t="n"/>
      <c r="AH463" s="15" t="n"/>
      <c r="AI463" s="15" t="n"/>
      <c r="AJ463" s="15" t="n"/>
      <c r="AK463" s="15" t="n"/>
    </row>
    <row r="464" ht="14.5" customHeight="1">
      <c r="A464" s="17" t="n"/>
      <c r="B464" s="15" t="n"/>
      <c r="C464" s="15" t="n"/>
      <c r="D464" s="15" t="n"/>
      <c r="E464" s="15" t="n"/>
      <c r="F464" s="15" t="n"/>
      <c r="G464" s="18" t="n"/>
      <c r="H464" s="15" t="n"/>
      <c r="I464" s="15" t="n"/>
      <c r="J464" s="18" t="n"/>
      <c r="K464" s="15" t="n"/>
      <c r="L464" s="15" t="n"/>
      <c r="M464" s="15" t="n"/>
      <c r="N464" s="15" t="n"/>
      <c r="O464" s="15" t="n"/>
      <c r="P464" s="15" t="n"/>
      <c r="Q464" s="15" t="n"/>
      <c r="R464" s="15" t="n"/>
      <c r="S464" s="15" t="n"/>
      <c r="T464" s="15" t="n"/>
      <c r="U464" s="15" t="n"/>
      <c r="V464" s="15" t="n"/>
      <c r="W464" s="15" t="n"/>
      <c r="X464" s="15" t="n"/>
      <c r="Y464" s="15" t="n"/>
      <c r="Z464" s="15" t="n"/>
      <c r="AA464" s="15" t="n"/>
      <c r="AB464" s="15" t="n"/>
      <c r="AC464" s="15" t="n"/>
      <c r="AD464" s="15" t="n"/>
      <c r="AE464" s="15" t="n"/>
      <c r="AH464" s="15" t="n"/>
      <c r="AI464" s="15" t="n"/>
      <c r="AJ464" s="15" t="n"/>
      <c r="AK464" s="15" t="n"/>
    </row>
    <row r="465" ht="14.5" customHeight="1">
      <c r="A465" s="17" t="n"/>
      <c r="B465" s="15" t="n"/>
      <c r="C465" s="15" t="n"/>
      <c r="D465" s="15" t="n"/>
      <c r="E465" s="15" t="n"/>
      <c r="F465" s="15" t="n"/>
      <c r="G465" s="18" t="n"/>
      <c r="H465" s="15" t="n"/>
      <c r="I465" s="15" t="n"/>
      <c r="J465" s="18" t="n"/>
      <c r="K465" s="15" t="n"/>
      <c r="L465" s="15" t="n"/>
      <c r="M465" s="15" t="n"/>
      <c r="N465" s="15" t="n"/>
      <c r="O465" s="15" t="n"/>
      <c r="P465" s="15" t="n"/>
      <c r="Q465" s="15" t="n"/>
      <c r="R465" s="15" t="n"/>
      <c r="S465" s="15" t="n"/>
      <c r="T465" s="15" t="n"/>
      <c r="U465" s="15" t="n"/>
      <c r="V465" s="15" t="n"/>
      <c r="W465" s="15" t="n"/>
      <c r="X465" s="15" t="n"/>
      <c r="Y465" s="15" t="n"/>
      <c r="Z465" s="15" t="n"/>
      <c r="AA465" s="15" t="n"/>
      <c r="AB465" s="15" t="n"/>
      <c r="AC465" s="15" t="n"/>
      <c r="AD465" s="15" t="n"/>
      <c r="AE465" s="15" t="n"/>
      <c r="AH465" s="15" t="n"/>
      <c r="AI465" s="15" t="n"/>
      <c r="AJ465" s="15" t="n"/>
      <c r="AK465" s="15" t="n"/>
    </row>
    <row r="466" ht="14.5" customHeight="1">
      <c r="A466" s="17" t="n"/>
      <c r="B466" s="15" t="n"/>
      <c r="C466" s="15" t="n"/>
      <c r="D466" s="15" t="n"/>
      <c r="E466" s="15" t="n"/>
      <c r="F466" s="15" t="n"/>
      <c r="G466" s="18" t="n"/>
      <c r="H466" s="15" t="n"/>
      <c r="I466" s="15" t="n"/>
      <c r="J466" s="18" t="n"/>
      <c r="K466" s="15" t="n"/>
      <c r="L466" s="15" t="n"/>
      <c r="M466" s="15" t="n"/>
      <c r="N466" s="15" t="n"/>
      <c r="O466" s="15" t="n"/>
      <c r="P466" s="15" t="n"/>
      <c r="Q466" s="15" t="n"/>
      <c r="R466" s="15" t="n"/>
      <c r="S466" s="15" t="n"/>
      <c r="T466" s="15" t="n"/>
      <c r="U466" s="15" t="n"/>
      <c r="V466" s="15" t="n"/>
      <c r="W466" s="15" t="n"/>
      <c r="X466" s="15" t="n"/>
      <c r="Y466" s="15" t="n"/>
      <c r="Z466" s="15" t="n"/>
      <c r="AA466" s="15" t="n"/>
      <c r="AB466" s="15" t="n"/>
      <c r="AC466" s="15" t="n"/>
      <c r="AD466" s="15" t="n"/>
      <c r="AE466" s="15" t="n"/>
      <c r="AH466" s="15" t="n"/>
      <c r="AI466" s="15" t="n"/>
      <c r="AJ466" s="15" t="n"/>
      <c r="AK466" s="15" t="n"/>
    </row>
    <row r="467" ht="14.5" customHeight="1">
      <c r="A467" s="17" t="n"/>
      <c r="B467" s="15" t="n"/>
      <c r="C467" s="15" t="n"/>
      <c r="D467" s="15" t="n"/>
      <c r="E467" s="15" t="n"/>
      <c r="F467" s="15" t="n"/>
      <c r="G467" s="18" t="n"/>
      <c r="H467" s="15" t="n"/>
      <c r="I467" s="15" t="n"/>
      <c r="J467" s="18" t="n"/>
      <c r="K467" s="15" t="n"/>
      <c r="L467" s="15" t="n"/>
      <c r="M467" s="15" t="n"/>
      <c r="N467" s="15" t="n"/>
      <c r="O467" s="15" t="n"/>
      <c r="P467" s="15" t="n"/>
      <c r="Q467" s="15" t="n"/>
      <c r="R467" s="15" t="n"/>
      <c r="S467" s="15" t="n"/>
      <c r="T467" s="15" t="n"/>
      <c r="U467" s="15" t="n"/>
      <c r="V467" s="15" t="n"/>
      <c r="W467" s="15" t="n"/>
      <c r="X467" s="15" t="n"/>
      <c r="Y467" s="15" t="n"/>
      <c r="Z467" s="15" t="n"/>
      <c r="AA467" s="15" t="n"/>
      <c r="AB467" s="15" t="n"/>
      <c r="AC467" s="15" t="n"/>
      <c r="AD467" s="15" t="n"/>
      <c r="AE467" s="15" t="n"/>
      <c r="AH467" s="15" t="n"/>
      <c r="AI467" s="15" t="n"/>
      <c r="AJ467" s="15" t="n"/>
      <c r="AK467" s="15" t="n"/>
    </row>
    <row r="468" ht="14.5" customHeight="1">
      <c r="A468" s="17" t="n"/>
      <c r="B468" s="15" t="n"/>
      <c r="C468" s="15" t="n"/>
      <c r="D468" s="15" t="n"/>
      <c r="E468" s="15" t="n"/>
      <c r="F468" s="15" t="n"/>
      <c r="G468" s="18" t="n"/>
      <c r="H468" s="15" t="n"/>
      <c r="I468" s="15" t="n"/>
      <c r="J468" s="18" t="n"/>
      <c r="K468" s="15" t="n"/>
      <c r="L468" s="15" t="n"/>
      <c r="M468" s="15" t="n"/>
      <c r="N468" s="15" t="n"/>
      <c r="O468" s="15" t="n"/>
      <c r="P468" s="15" t="n"/>
      <c r="Q468" s="15" t="n"/>
      <c r="R468" s="15" t="n"/>
      <c r="S468" s="15" t="n"/>
      <c r="T468" s="15" t="n"/>
      <c r="U468" s="15" t="n"/>
      <c r="V468" s="15" t="n"/>
      <c r="W468" s="15" t="n"/>
      <c r="X468" s="15" t="n"/>
      <c r="Y468" s="15" t="n"/>
      <c r="Z468" s="15" t="n"/>
      <c r="AA468" s="15" t="n"/>
      <c r="AB468" s="15" t="n"/>
      <c r="AC468" s="15" t="n"/>
      <c r="AD468" s="15" t="n"/>
      <c r="AE468" s="15" t="n"/>
      <c r="AH468" s="15" t="n"/>
      <c r="AI468" s="15" t="n"/>
      <c r="AJ468" s="15" t="n"/>
      <c r="AK468" s="15" t="n"/>
    </row>
    <row r="469" ht="14.5" customHeight="1">
      <c r="A469" s="17" t="n"/>
      <c r="B469" s="15" t="n"/>
      <c r="C469" s="15" t="n"/>
      <c r="D469" s="15" t="n"/>
      <c r="E469" s="15" t="n"/>
      <c r="F469" s="15" t="n"/>
      <c r="G469" s="18" t="n"/>
      <c r="H469" s="15" t="n"/>
      <c r="I469" s="15" t="n"/>
      <c r="J469" s="18" t="n"/>
      <c r="K469" s="15" t="n"/>
      <c r="L469" s="15" t="n"/>
      <c r="M469" s="15" t="n"/>
      <c r="N469" s="15" t="n"/>
      <c r="O469" s="15" t="n"/>
      <c r="P469" s="15" t="n"/>
      <c r="Q469" s="15" t="n"/>
      <c r="R469" s="15" t="n"/>
      <c r="S469" s="15" t="n"/>
      <c r="T469" s="15" t="n"/>
      <c r="U469" s="15" t="n"/>
      <c r="V469" s="15" t="n"/>
      <c r="W469" s="15" t="n"/>
      <c r="X469" s="15" t="n"/>
      <c r="Y469" s="15" t="n"/>
      <c r="Z469" s="15" t="n"/>
      <c r="AA469" s="15" t="n"/>
      <c r="AB469" s="15" t="n"/>
      <c r="AC469" s="15" t="n"/>
      <c r="AD469" s="15" t="n"/>
      <c r="AE469" s="15" t="n"/>
      <c r="AH469" s="15" t="n"/>
      <c r="AI469" s="15" t="n"/>
      <c r="AJ469" s="15" t="n"/>
      <c r="AK469" s="15" t="n"/>
    </row>
    <row r="470" ht="14.5" customHeight="1">
      <c r="A470" s="17" t="n"/>
      <c r="B470" s="15" t="n"/>
      <c r="C470" s="15" t="n"/>
      <c r="D470" s="15" t="n"/>
      <c r="E470" s="15" t="n"/>
      <c r="F470" s="15" t="n"/>
      <c r="G470" s="18" t="n"/>
      <c r="H470" s="15" t="n"/>
      <c r="I470" s="15" t="n"/>
      <c r="J470" s="18" t="n"/>
      <c r="K470" s="15" t="n"/>
      <c r="L470" s="15" t="n"/>
      <c r="M470" s="15" t="n"/>
      <c r="N470" s="15" t="n"/>
      <c r="O470" s="15" t="n"/>
      <c r="P470" s="15" t="n"/>
      <c r="Q470" s="15" t="n"/>
      <c r="R470" s="15" t="n"/>
      <c r="S470" s="15" t="n"/>
      <c r="T470" s="15" t="n"/>
      <c r="U470" s="15" t="n"/>
      <c r="V470" s="15" t="n"/>
      <c r="W470" s="15" t="n"/>
      <c r="X470" s="15" t="n"/>
      <c r="Y470" s="15" t="n"/>
      <c r="Z470" s="15" t="n"/>
      <c r="AA470" s="15" t="n"/>
      <c r="AB470" s="15" t="n"/>
      <c r="AC470" s="15" t="n"/>
      <c r="AD470" s="15" t="n"/>
      <c r="AE470" s="15" t="n"/>
      <c r="AH470" s="15" t="n"/>
      <c r="AI470" s="15" t="n"/>
      <c r="AJ470" s="15" t="n"/>
      <c r="AK470" s="15" t="n"/>
    </row>
    <row r="471" ht="14.5" customHeight="1">
      <c r="A471" s="17" t="n"/>
      <c r="B471" s="15" t="n"/>
      <c r="C471" s="15" t="n"/>
      <c r="D471" s="15" t="n"/>
      <c r="E471" s="15" t="n"/>
      <c r="F471" s="15" t="n"/>
      <c r="G471" s="18" t="n"/>
      <c r="H471" s="15" t="n"/>
      <c r="I471" s="15" t="n"/>
      <c r="J471" s="18" t="n"/>
      <c r="K471" s="15" t="n"/>
      <c r="L471" s="15" t="n"/>
      <c r="M471" s="15" t="n"/>
      <c r="N471" s="15" t="n"/>
      <c r="O471" s="15" t="n"/>
      <c r="P471" s="15" t="n"/>
      <c r="Q471" s="15" t="n"/>
      <c r="R471" s="15" t="n"/>
      <c r="S471" s="15" t="n"/>
      <c r="T471" s="15" t="n"/>
      <c r="U471" s="15" t="n"/>
      <c r="V471" s="15" t="n"/>
      <c r="W471" s="15" t="n"/>
      <c r="X471" s="15" t="n"/>
      <c r="Y471" s="15" t="n"/>
      <c r="Z471" s="15" t="n"/>
      <c r="AA471" s="15" t="n"/>
      <c r="AB471" s="15" t="n"/>
      <c r="AC471" s="15" t="n"/>
      <c r="AD471" s="15" t="n"/>
      <c r="AE471" s="15" t="n"/>
      <c r="AH471" s="15" t="n"/>
      <c r="AI471" s="15" t="n"/>
      <c r="AJ471" s="15" t="n"/>
      <c r="AK471" s="15" t="n"/>
    </row>
    <row r="472" ht="14.5" customHeight="1">
      <c r="A472" s="17" t="n"/>
      <c r="B472" s="15" t="n"/>
      <c r="C472" s="15" t="n"/>
      <c r="D472" s="15" t="n"/>
      <c r="E472" s="15" t="n"/>
      <c r="F472" s="15" t="n"/>
      <c r="G472" s="18" t="n"/>
      <c r="H472" s="15" t="n"/>
      <c r="I472" s="15" t="n"/>
      <c r="J472" s="18" t="n"/>
      <c r="K472" s="15" t="n"/>
      <c r="L472" s="15" t="n"/>
      <c r="M472" s="15" t="n"/>
      <c r="N472" s="15" t="n"/>
      <c r="O472" s="15" t="n"/>
      <c r="P472" s="15" t="n"/>
      <c r="Q472" s="15" t="n"/>
      <c r="R472" s="15" t="n"/>
      <c r="S472" s="15" t="n"/>
      <c r="T472" s="15" t="n"/>
      <c r="U472" s="15" t="n"/>
      <c r="V472" s="15" t="n"/>
      <c r="W472" s="15" t="n"/>
      <c r="X472" s="15" t="n"/>
      <c r="Y472" s="15" t="n"/>
      <c r="Z472" s="15" t="n"/>
      <c r="AA472" s="15" t="n"/>
      <c r="AB472" s="15" t="n"/>
      <c r="AC472" s="15" t="n"/>
      <c r="AD472" s="15" t="n"/>
      <c r="AE472" s="15" t="n"/>
      <c r="AH472" s="15" t="n"/>
      <c r="AI472" s="15" t="n"/>
      <c r="AJ472" s="15" t="n"/>
      <c r="AK472" s="15" t="n"/>
    </row>
    <row r="473" ht="14.5" customHeight="1">
      <c r="A473" s="17" t="n"/>
      <c r="B473" s="15" t="n"/>
      <c r="C473" s="15" t="n"/>
      <c r="D473" s="15" t="n"/>
      <c r="E473" s="15" t="n"/>
      <c r="F473" s="15" t="n"/>
      <c r="G473" s="18" t="n"/>
      <c r="H473" s="15" t="n"/>
      <c r="I473" s="15" t="n"/>
      <c r="J473" s="18" t="n"/>
      <c r="K473" s="15" t="n"/>
      <c r="L473" s="15" t="n"/>
      <c r="M473" s="15" t="n"/>
      <c r="N473" s="15" t="n"/>
      <c r="O473" s="15" t="n"/>
      <c r="P473" s="15" t="n"/>
      <c r="Q473" s="15" t="n"/>
      <c r="R473" s="15" t="n"/>
      <c r="S473" s="15" t="n"/>
      <c r="T473" s="15" t="n"/>
      <c r="U473" s="15" t="n"/>
      <c r="V473" s="15" t="n"/>
      <c r="W473" s="15" t="n"/>
      <c r="X473" s="15" t="n"/>
      <c r="Y473" s="15" t="n"/>
      <c r="Z473" s="15" t="n"/>
      <c r="AA473" s="15" t="n"/>
      <c r="AB473" s="15" t="n"/>
      <c r="AC473" s="15" t="n"/>
      <c r="AD473" s="15" t="n"/>
      <c r="AE473" s="15" t="n"/>
      <c r="AH473" s="15" t="n"/>
      <c r="AI473" s="15" t="n"/>
      <c r="AJ473" s="15" t="n"/>
      <c r="AK473" s="15" t="n"/>
    </row>
    <row r="474" ht="14.5" customHeight="1">
      <c r="A474" s="17" t="n"/>
      <c r="B474" s="15" t="n"/>
      <c r="C474" s="15" t="n"/>
      <c r="D474" s="15" t="n"/>
      <c r="E474" s="15" t="n"/>
      <c r="F474" s="15" t="n"/>
      <c r="G474" s="18" t="n"/>
      <c r="H474" s="15" t="n"/>
      <c r="I474" s="15" t="n"/>
      <c r="J474" s="18" t="n"/>
      <c r="K474" s="15" t="n"/>
      <c r="L474" s="15" t="n"/>
      <c r="M474" s="15" t="n"/>
      <c r="N474" s="15" t="n"/>
      <c r="O474" s="15" t="n"/>
      <c r="P474" s="15" t="n"/>
      <c r="Q474" s="15" t="n"/>
      <c r="R474" s="15" t="n"/>
      <c r="S474" s="15" t="n"/>
      <c r="T474" s="15" t="n"/>
      <c r="U474" s="15" t="n"/>
      <c r="V474" s="15" t="n"/>
      <c r="W474" s="15" t="n"/>
      <c r="X474" s="15" t="n"/>
      <c r="Y474" s="15" t="n"/>
      <c r="Z474" s="15" t="n"/>
      <c r="AA474" s="15" t="n"/>
      <c r="AB474" s="15" t="n"/>
      <c r="AC474" s="15" t="n"/>
      <c r="AD474" s="15" t="n"/>
      <c r="AE474" s="15" t="n"/>
      <c r="AH474" s="15" t="n"/>
      <c r="AI474" s="15" t="n"/>
      <c r="AJ474" s="15" t="n"/>
      <c r="AK474" s="15" t="n"/>
    </row>
    <row r="475" ht="14.5" customHeight="1">
      <c r="A475" s="17" t="n"/>
      <c r="B475" s="15" t="n"/>
      <c r="C475" s="15" t="n"/>
      <c r="D475" s="15" t="n"/>
      <c r="E475" s="15" t="n"/>
      <c r="F475" s="15" t="n"/>
      <c r="G475" s="18" t="n"/>
      <c r="H475" s="15" t="n"/>
      <c r="I475" s="15" t="n"/>
      <c r="J475" s="18" t="n"/>
      <c r="K475" s="15" t="n"/>
      <c r="L475" s="15" t="n"/>
      <c r="M475" s="15" t="n"/>
      <c r="N475" s="15" t="n"/>
      <c r="O475" s="15" t="n"/>
      <c r="P475" s="15" t="n"/>
      <c r="Q475" s="15" t="n"/>
      <c r="R475" s="15" t="n"/>
      <c r="S475" s="15" t="n"/>
      <c r="T475" s="15" t="n"/>
      <c r="U475" s="15" t="n"/>
      <c r="V475" s="15" t="n"/>
      <c r="W475" s="15" t="n"/>
      <c r="X475" s="15" t="n"/>
      <c r="Y475" s="15" t="n"/>
      <c r="Z475" s="15" t="n"/>
      <c r="AA475" s="15" t="n"/>
      <c r="AB475" s="15" t="n"/>
      <c r="AC475" s="15" t="n"/>
      <c r="AD475" s="15" t="n"/>
      <c r="AE475" s="15" t="n"/>
      <c r="AH475" s="15" t="n"/>
      <c r="AI475" s="15" t="n"/>
      <c r="AJ475" s="15" t="n"/>
      <c r="AK475" s="15" t="n"/>
    </row>
    <row r="476" ht="14.5" customHeight="1">
      <c r="A476" s="17" t="n"/>
      <c r="B476" s="15" t="n"/>
      <c r="C476" s="15" t="n"/>
      <c r="D476" s="15" t="n"/>
      <c r="E476" s="15" t="n"/>
      <c r="F476" s="15" t="n"/>
      <c r="G476" s="18" t="n"/>
      <c r="H476" s="15" t="n"/>
      <c r="I476" s="15" t="n"/>
      <c r="J476" s="18" t="n"/>
      <c r="K476" s="15" t="n"/>
      <c r="L476" s="15" t="n"/>
      <c r="M476" s="15" t="n"/>
      <c r="N476" s="15" t="n"/>
      <c r="O476" s="15" t="n"/>
      <c r="P476" s="15" t="n"/>
      <c r="Q476" s="15" t="n"/>
      <c r="R476" s="15" t="n"/>
      <c r="S476" s="15" t="n"/>
      <c r="T476" s="15" t="n"/>
      <c r="U476" s="15" t="n"/>
      <c r="V476" s="15" t="n"/>
      <c r="W476" s="15" t="n"/>
      <c r="X476" s="15" t="n"/>
      <c r="Y476" s="15" t="n"/>
      <c r="Z476" s="15" t="n"/>
      <c r="AA476" s="15" t="n"/>
      <c r="AB476" s="15" t="n"/>
      <c r="AC476" s="15" t="n"/>
      <c r="AD476" s="15" t="n"/>
      <c r="AE476" s="15" t="n"/>
      <c r="AH476" s="15" t="n"/>
      <c r="AI476" s="15" t="n"/>
      <c r="AJ476" s="15" t="n"/>
      <c r="AK476" s="15" t="n"/>
    </row>
    <row r="477" ht="14.5" customHeight="1">
      <c r="A477" s="17" t="n"/>
      <c r="B477" s="15" t="n"/>
      <c r="C477" s="15" t="n"/>
      <c r="D477" s="15" t="n"/>
      <c r="E477" s="15" t="n"/>
      <c r="F477" s="15" t="n"/>
      <c r="G477" s="18" t="n"/>
      <c r="H477" s="15" t="n"/>
      <c r="I477" s="15" t="n"/>
      <c r="J477" s="18" t="n"/>
      <c r="K477" s="15" t="n"/>
      <c r="L477" s="15" t="n"/>
      <c r="M477" s="15" t="n"/>
      <c r="N477" s="15" t="n"/>
      <c r="O477" s="15" t="n"/>
      <c r="P477" s="15" t="n"/>
      <c r="Q477" s="15" t="n"/>
      <c r="R477" s="15" t="n"/>
      <c r="S477" s="15" t="n"/>
      <c r="T477" s="15" t="n"/>
      <c r="U477" s="15" t="n"/>
      <c r="V477" s="15" t="n"/>
      <c r="W477" s="15" t="n"/>
      <c r="X477" s="15" t="n"/>
      <c r="Y477" s="15" t="n"/>
      <c r="Z477" s="15" t="n"/>
      <c r="AA477" s="15" t="n"/>
      <c r="AB477" s="15" t="n"/>
      <c r="AC477" s="15" t="n"/>
      <c r="AD477" s="15" t="n"/>
      <c r="AE477" s="15" t="n"/>
      <c r="AH477" s="15" t="n"/>
      <c r="AI477" s="15" t="n"/>
      <c r="AJ477" s="15" t="n"/>
      <c r="AK477" s="15" t="n"/>
    </row>
    <row r="478" ht="14.5" customHeight="1">
      <c r="A478" s="17" t="n"/>
      <c r="B478" s="15" t="n"/>
      <c r="C478" s="15" t="n"/>
      <c r="D478" s="15" t="n"/>
      <c r="E478" s="15" t="n"/>
      <c r="F478" s="15" t="n"/>
      <c r="G478" s="18" t="n"/>
      <c r="H478" s="15" t="n"/>
      <c r="I478" s="15" t="n"/>
      <c r="J478" s="18" t="n"/>
      <c r="K478" s="15" t="n"/>
      <c r="L478" s="15" t="n"/>
      <c r="M478" s="15" t="n"/>
      <c r="N478" s="15" t="n"/>
      <c r="O478" s="15" t="n"/>
      <c r="P478" s="15" t="n"/>
      <c r="Q478" s="15" t="n"/>
      <c r="R478" s="15" t="n"/>
      <c r="S478" s="15" t="n"/>
      <c r="T478" s="15" t="n"/>
      <c r="U478" s="15" t="n"/>
      <c r="V478" s="15" t="n"/>
      <c r="W478" s="15" t="n"/>
      <c r="X478" s="15" t="n"/>
      <c r="Y478" s="15" t="n"/>
      <c r="Z478" s="15" t="n"/>
      <c r="AA478" s="15" t="n"/>
      <c r="AB478" s="15" t="n"/>
      <c r="AC478" s="15" t="n"/>
      <c r="AD478" s="15" t="n"/>
      <c r="AE478" s="15" t="n"/>
      <c r="AH478" s="15" t="n"/>
      <c r="AI478" s="15" t="n"/>
      <c r="AJ478" s="15" t="n"/>
      <c r="AK478" s="15" t="n"/>
    </row>
    <row r="479" ht="14.5" customHeight="1">
      <c r="A479" s="17" t="n"/>
      <c r="B479" s="15" t="n"/>
      <c r="C479" s="15" t="n"/>
      <c r="D479" s="15" t="n"/>
      <c r="E479" s="15" t="n"/>
      <c r="F479" s="15" t="n"/>
      <c r="G479" s="18" t="n"/>
      <c r="H479" s="15" t="n"/>
      <c r="I479" s="15" t="n"/>
      <c r="J479" s="18" t="n"/>
      <c r="K479" s="15" t="n"/>
      <c r="L479" s="15" t="n"/>
      <c r="M479" s="15" t="n"/>
      <c r="N479" s="15" t="n"/>
      <c r="O479" s="15" t="n"/>
      <c r="P479" s="15" t="n"/>
      <c r="Q479" s="15" t="n"/>
      <c r="R479" s="15" t="n"/>
      <c r="S479" s="15" t="n"/>
      <c r="T479" s="15" t="n"/>
      <c r="U479" s="15" t="n"/>
      <c r="V479" s="15" t="n"/>
      <c r="W479" s="15" t="n"/>
      <c r="X479" s="15" t="n"/>
      <c r="Y479" s="15" t="n"/>
      <c r="Z479" s="15" t="n"/>
      <c r="AA479" s="15" t="n"/>
      <c r="AB479" s="15" t="n"/>
      <c r="AC479" s="15" t="n"/>
      <c r="AD479" s="15" t="n"/>
      <c r="AE479" s="15" t="n"/>
      <c r="AH479" s="15" t="n"/>
      <c r="AI479" s="15" t="n"/>
      <c r="AJ479" s="15" t="n"/>
      <c r="AK479" s="15" t="n"/>
    </row>
    <row r="480" ht="14.5" customHeight="1">
      <c r="A480" s="17" t="n"/>
      <c r="B480" s="15" t="n"/>
      <c r="C480" s="15" t="n"/>
      <c r="D480" s="15" t="n"/>
      <c r="E480" s="15" t="n"/>
      <c r="F480" s="15" t="n"/>
      <c r="G480" s="18" t="n"/>
      <c r="H480" s="15" t="n"/>
      <c r="I480" s="15" t="n"/>
      <c r="J480" s="18" t="n"/>
      <c r="K480" s="15" t="n"/>
      <c r="L480" s="15" t="n"/>
      <c r="M480" s="15" t="n"/>
      <c r="N480" s="15" t="n"/>
      <c r="O480" s="15" t="n"/>
      <c r="P480" s="15" t="n"/>
      <c r="Q480" s="15" t="n"/>
      <c r="R480" s="15" t="n"/>
      <c r="S480" s="15" t="n"/>
      <c r="T480" s="15" t="n"/>
      <c r="U480" s="15" t="n"/>
      <c r="V480" s="15" t="n"/>
      <c r="W480" s="15" t="n"/>
      <c r="X480" s="15" t="n"/>
      <c r="Y480" s="15" t="n"/>
      <c r="Z480" s="15" t="n"/>
      <c r="AA480" s="15" t="n"/>
      <c r="AB480" s="15" t="n"/>
      <c r="AC480" s="15" t="n"/>
      <c r="AD480" s="15" t="n"/>
      <c r="AE480" s="15" t="n"/>
      <c r="AH480" s="15" t="n"/>
      <c r="AI480" s="15" t="n"/>
      <c r="AJ480" s="15" t="n"/>
      <c r="AK480" s="15" t="n"/>
    </row>
    <row r="481" ht="14.5" customHeight="1">
      <c r="A481" s="17" t="n"/>
      <c r="B481" s="15" t="n"/>
      <c r="C481" s="15" t="n"/>
      <c r="D481" s="15" t="n"/>
      <c r="E481" s="15" t="n"/>
      <c r="F481" s="15" t="n"/>
      <c r="G481" s="18" t="n"/>
      <c r="H481" s="15" t="n"/>
      <c r="I481" s="15" t="n"/>
      <c r="J481" s="18" t="n"/>
      <c r="K481" s="15" t="n"/>
      <c r="L481" s="15" t="n"/>
      <c r="M481" s="15" t="n"/>
      <c r="N481" s="15" t="n"/>
      <c r="O481" s="15" t="n"/>
      <c r="P481" s="15" t="n"/>
      <c r="Q481" s="15" t="n"/>
      <c r="R481" s="15" t="n"/>
      <c r="S481" s="15" t="n"/>
      <c r="T481" s="15" t="n"/>
      <c r="U481" s="15" t="n"/>
      <c r="V481" s="15" t="n"/>
      <c r="W481" s="15" t="n"/>
      <c r="X481" s="15" t="n"/>
      <c r="Y481" s="15" t="n"/>
      <c r="Z481" s="15" t="n"/>
      <c r="AA481" s="15" t="n"/>
      <c r="AB481" s="15" t="n"/>
      <c r="AC481" s="15" t="n"/>
      <c r="AD481" s="15" t="n"/>
      <c r="AE481" s="15" t="n"/>
      <c r="AH481" s="15" t="n"/>
      <c r="AI481" s="15" t="n"/>
      <c r="AJ481" s="15" t="n"/>
      <c r="AK481" s="15" t="n"/>
    </row>
    <row r="482" ht="14.5" customHeight="1">
      <c r="A482" s="17" t="n"/>
      <c r="B482" s="15" t="n"/>
      <c r="C482" s="15" t="n"/>
      <c r="D482" s="15" t="n"/>
      <c r="E482" s="15" t="n"/>
      <c r="F482" s="15" t="n"/>
      <c r="G482" s="18" t="n"/>
      <c r="H482" s="15" t="n"/>
      <c r="I482" s="15" t="n"/>
      <c r="J482" s="18" t="n"/>
      <c r="K482" s="15" t="n"/>
      <c r="L482" s="15" t="n"/>
      <c r="M482" s="15" t="n"/>
      <c r="N482" s="15" t="n"/>
      <c r="O482" s="15" t="n"/>
      <c r="P482" s="15" t="n"/>
      <c r="Q482" s="15" t="n"/>
      <c r="R482" s="15" t="n"/>
      <c r="S482" s="15" t="n"/>
      <c r="T482" s="15" t="n"/>
      <c r="U482" s="15" t="n"/>
      <c r="V482" s="15" t="n"/>
      <c r="W482" s="15" t="n"/>
      <c r="X482" s="15" t="n"/>
      <c r="Y482" s="15" t="n"/>
      <c r="Z482" s="15" t="n"/>
      <c r="AA482" s="15" t="n"/>
      <c r="AB482" s="15" t="n"/>
      <c r="AC482" s="15" t="n"/>
      <c r="AD482" s="15" t="n"/>
      <c r="AE482" s="15" t="n"/>
      <c r="AH482" s="15" t="n"/>
      <c r="AI482" s="15" t="n"/>
      <c r="AJ482" s="15" t="n"/>
      <c r="AK482" s="15" t="n"/>
    </row>
    <row r="483" ht="14.5" customHeight="1">
      <c r="A483" s="17" t="n"/>
      <c r="B483" s="15" t="n"/>
      <c r="C483" s="15" t="n"/>
      <c r="D483" s="15" t="n"/>
      <c r="E483" s="15" t="n"/>
      <c r="F483" s="15" t="n"/>
      <c r="G483" s="18" t="n"/>
      <c r="H483" s="15" t="n"/>
      <c r="I483" s="15" t="n"/>
      <c r="J483" s="18" t="n"/>
      <c r="K483" s="15" t="n"/>
      <c r="L483" s="15" t="n"/>
      <c r="M483" s="15" t="n"/>
      <c r="N483" s="15" t="n"/>
      <c r="O483" s="15" t="n"/>
      <c r="P483" s="15" t="n"/>
      <c r="Q483" s="15" t="n"/>
      <c r="R483" s="15" t="n"/>
      <c r="S483" s="15" t="n"/>
      <c r="T483" s="15" t="n"/>
      <c r="U483" s="15" t="n"/>
      <c r="V483" s="15" t="n"/>
      <c r="W483" s="15" t="n"/>
      <c r="X483" s="15" t="n"/>
      <c r="Y483" s="15" t="n"/>
      <c r="Z483" s="15" t="n"/>
      <c r="AA483" s="15" t="n"/>
      <c r="AB483" s="15" t="n"/>
      <c r="AC483" s="15" t="n"/>
      <c r="AD483" s="15" t="n"/>
      <c r="AE483" s="15" t="n"/>
      <c r="AH483" s="15" t="n"/>
      <c r="AI483" s="15" t="n"/>
      <c r="AJ483" s="15" t="n"/>
      <c r="AK483" s="15" t="n"/>
    </row>
    <row r="484" ht="14.5" customHeight="1">
      <c r="A484" s="17" t="n"/>
      <c r="B484" s="15" t="n"/>
      <c r="C484" s="15" t="n"/>
      <c r="D484" s="15" t="n"/>
      <c r="E484" s="15" t="n"/>
      <c r="F484" s="15" t="n"/>
      <c r="G484" s="18" t="n"/>
      <c r="H484" s="15" t="n"/>
      <c r="I484" s="15" t="n"/>
      <c r="J484" s="18" t="n"/>
      <c r="K484" s="15" t="n"/>
      <c r="L484" s="15" t="n"/>
      <c r="M484" s="15" t="n"/>
      <c r="N484" s="15" t="n"/>
      <c r="O484" s="15" t="n"/>
      <c r="P484" s="15" t="n"/>
      <c r="Q484" s="15" t="n"/>
      <c r="R484" s="15" t="n"/>
      <c r="S484" s="15" t="n"/>
      <c r="T484" s="15" t="n"/>
      <c r="U484" s="15" t="n"/>
      <c r="V484" s="15" t="n"/>
      <c r="W484" s="15" t="n"/>
      <c r="X484" s="15" t="n"/>
      <c r="Y484" s="15" t="n"/>
      <c r="Z484" s="15" t="n"/>
      <c r="AA484" s="15" t="n"/>
      <c r="AB484" s="15" t="n"/>
      <c r="AC484" s="15" t="n"/>
      <c r="AD484" s="15" t="n"/>
      <c r="AE484" s="15" t="n"/>
      <c r="AH484" s="15" t="n"/>
      <c r="AI484" s="15" t="n"/>
      <c r="AJ484" s="15" t="n"/>
      <c r="AK484" s="15" t="n"/>
    </row>
    <row r="485" ht="14.5" customHeight="1">
      <c r="A485" s="17" t="n"/>
      <c r="B485" s="15" t="n"/>
      <c r="C485" s="15" t="n"/>
      <c r="D485" s="15" t="n"/>
      <c r="E485" s="15" t="n"/>
      <c r="F485" s="15" t="n"/>
      <c r="G485" s="18" t="n"/>
      <c r="H485" s="15" t="n"/>
      <c r="I485" s="15" t="n"/>
      <c r="J485" s="18" t="n"/>
      <c r="K485" s="15" t="n"/>
      <c r="L485" s="15" t="n"/>
      <c r="M485" s="15" t="n"/>
      <c r="N485" s="15" t="n"/>
      <c r="O485" s="15" t="n"/>
      <c r="P485" s="15" t="n"/>
      <c r="Q485" s="15" t="n"/>
      <c r="R485" s="15" t="n"/>
      <c r="S485" s="15" t="n"/>
      <c r="T485" s="15" t="n"/>
      <c r="U485" s="15" t="n"/>
      <c r="V485" s="15" t="n"/>
      <c r="W485" s="15" t="n"/>
      <c r="X485" s="15" t="n"/>
      <c r="Y485" s="15" t="n"/>
      <c r="Z485" s="15" t="n"/>
      <c r="AA485" s="15" t="n"/>
      <c r="AB485" s="15" t="n"/>
      <c r="AC485" s="15" t="n"/>
      <c r="AD485" s="15" t="n"/>
      <c r="AE485" s="15" t="n"/>
      <c r="AH485" s="15" t="n"/>
      <c r="AI485" s="15" t="n"/>
      <c r="AJ485" s="15" t="n"/>
      <c r="AK485" s="15" t="n"/>
    </row>
    <row r="486" ht="14.5" customHeight="1">
      <c r="A486" s="17" t="n"/>
      <c r="B486" s="15" t="n"/>
      <c r="C486" s="15" t="n"/>
      <c r="D486" s="15" t="n"/>
      <c r="E486" s="15" t="n"/>
      <c r="F486" s="15" t="n"/>
      <c r="G486" s="18" t="n"/>
      <c r="H486" s="15" t="n"/>
      <c r="I486" s="15" t="n"/>
      <c r="J486" s="18" t="n"/>
      <c r="K486" s="15" t="n"/>
      <c r="L486" s="15" t="n"/>
      <c r="M486" s="15" t="n"/>
      <c r="N486" s="15" t="n"/>
      <c r="O486" s="15" t="n"/>
      <c r="P486" s="15" t="n"/>
      <c r="Q486" s="15" t="n"/>
      <c r="R486" s="15" t="n"/>
      <c r="S486" s="15" t="n"/>
      <c r="T486" s="15" t="n"/>
      <c r="U486" s="15" t="n"/>
      <c r="V486" s="15" t="n"/>
      <c r="W486" s="15" t="n"/>
      <c r="X486" s="15" t="n"/>
      <c r="Y486" s="15" t="n"/>
      <c r="Z486" s="15" t="n"/>
      <c r="AA486" s="15" t="n"/>
      <c r="AB486" s="15" t="n"/>
      <c r="AC486" s="15" t="n"/>
      <c r="AD486" s="15" t="n"/>
      <c r="AE486" s="15" t="n"/>
      <c r="AH486" s="15" t="n"/>
      <c r="AI486" s="15" t="n"/>
      <c r="AJ486" s="15" t="n"/>
      <c r="AK486" s="15" t="n"/>
    </row>
    <row r="487" ht="14.5" customHeight="1">
      <c r="A487" s="17" t="n"/>
      <c r="B487" s="15" t="n"/>
      <c r="C487" s="15" t="n"/>
      <c r="D487" s="15" t="n"/>
      <c r="E487" s="15" t="n"/>
      <c r="F487" s="15" t="n"/>
      <c r="G487" s="18" t="n"/>
      <c r="H487" s="15" t="n"/>
      <c r="I487" s="15" t="n"/>
      <c r="J487" s="18" t="n"/>
      <c r="K487" s="15" t="n"/>
      <c r="L487" s="15" t="n"/>
      <c r="M487" s="15" t="n"/>
      <c r="N487" s="15" t="n"/>
      <c r="O487" s="15" t="n"/>
      <c r="P487" s="15" t="n"/>
      <c r="Q487" s="15" t="n"/>
      <c r="R487" s="15" t="n"/>
      <c r="S487" s="15" t="n"/>
      <c r="T487" s="15" t="n"/>
      <c r="U487" s="15" t="n"/>
      <c r="V487" s="15" t="n"/>
      <c r="W487" s="15" t="n"/>
      <c r="X487" s="15" t="n"/>
      <c r="Y487" s="15" t="n"/>
      <c r="Z487" s="15" t="n"/>
      <c r="AA487" s="15" t="n"/>
      <c r="AB487" s="15" t="n"/>
      <c r="AC487" s="15" t="n"/>
      <c r="AD487" s="15" t="n"/>
      <c r="AE487" s="15" t="n"/>
      <c r="AH487" s="15" t="n"/>
      <c r="AI487" s="15" t="n"/>
      <c r="AJ487" s="15" t="n"/>
      <c r="AK487" s="15" t="n"/>
    </row>
    <row r="488" ht="14.5" customHeight="1">
      <c r="A488" s="17" t="n"/>
      <c r="B488" s="15" t="n"/>
      <c r="C488" s="15" t="n"/>
      <c r="D488" s="15" t="n"/>
      <c r="E488" s="15" t="n"/>
      <c r="F488" s="15" t="n"/>
      <c r="G488" s="18" t="n"/>
      <c r="H488" s="15" t="n"/>
      <c r="I488" s="15" t="n"/>
      <c r="J488" s="18" t="n"/>
      <c r="K488" s="15" t="n"/>
      <c r="L488" s="15" t="n"/>
      <c r="M488" s="15" t="n"/>
      <c r="N488" s="15" t="n"/>
      <c r="O488" s="15" t="n"/>
      <c r="P488" s="15" t="n"/>
      <c r="Q488" s="15" t="n"/>
      <c r="R488" s="15" t="n"/>
      <c r="S488" s="15" t="n"/>
      <c r="T488" s="15" t="n"/>
      <c r="U488" s="15" t="n"/>
      <c r="V488" s="15" t="n"/>
      <c r="W488" s="15" t="n"/>
      <c r="X488" s="15" t="n"/>
      <c r="Y488" s="15" t="n"/>
      <c r="Z488" s="15" t="n"/>
      <c r="AA488" s="15" t="n"/>
      <c r="AB488" s="15" t="n"/>
      <c r="AC488" s="15" t="n"/>
      <c r="AD488" s="15" t="n"/>
      <c r="AE488" s="15" t="n"/>
      <c r="AH488" s="15" t="n"/>
      <c r="AI488" s="15" t="n"/>
      <c r="AJ488" s="15" t="n"/>
      <c r="AK488" s="15" t="n"/>
    </row>
    <row r="489" ht="14.5" customHeight="1">
      <c r="A489" s="17" t="n"/>
      <c r="B489" s="15" t="n"/>
      <c r="C489" s="15" t="n"/>
      <c r="D489" s="15" t="n"/>
      <c r="E489" s="15" t="n"/>
      <c r="F489" s="15" t="n"/>
      <c r="G489" s="18" t="n"/>
      <c r="H489" s="15" t="n"/>
      <c r="I489" s="15" t="n"/>
      <c r="J489" s="18" t="n"/>
      <c r="K489" s="15" t="n"/>
      <c r="L489" s="15" t="n"/>
      <c r="M489" s="15" t="n"/>
      <c r="N489" s="15" t="n"/>
      <c r="O489" s="15" t="n"/>
      <c r="P489" s="15" t="n"/>
      <c r="Q489" s="15" t="n"/>
      <c r="R489" s="15" t="n"/>
      <c r="S489" s="15" t="n"/>
      <c r="T489" s="15" t="n"/>
      <c r="U489" s="15" t="n"/>
      <c r="V489" s="15" t="n"/>
      <c r="W489" s="15" t="n"/>
      <c r="X489" s="15" t="n"/>
      <c r="Y489" s="15" t="n"/>
      <c r="Z489" s="15" t="n"/>
      <c r="AA489" s="15" t="n"/>
      <c r="AB489" s="15" t="n"/>
      <c r="AC489" s="15" t="n"/>
      <c r="AD489" s="15" t="n"/>
      <c r="AE489" s="15" t="n"/>
      <c r="AH489" s="15" t="n"/>
      <c r="AI489" s="15" t="n"/>
      <c r="AJ489" s="15" t="n"/>
      <c r="AK489" s="15" t="n"/>
    </row>
    <row r="490" ht="14.5" customHeight="1">
      <c r="A490" s="17" t="n"/>
      <c r="B490" s="15" t="n"/>
      <c r="C490" s="15" t="n"/>
      <c r="D490" s="15" t="n"/>
      <c r="E490" s="15" t="n"/>
      <c r="F490" s="15" t="n"/>
      <c r="G490" s="18" t="n"/>
      <c r="H490" s="15" t="n"/>
      <c r="I490" s="15" t="n"/>
      <c r="J490" s="18" t="n"/>
      <c r="K490" s="15" t="n"/>
      <c r="L490" s="15" t="n"/>
      <c r="M490" s="15" t="n"/>
      <c r="N490" s="15" t="n"/>
      <c r="O490" s="15" t="n"/>
      <c r="P490" s="15" t="n"/>
      <c r="Q490" s="15" t="n"/>
      <c r="R490" s="15" t="n"/>
      <c r="S490" s="15" t="n"/>
      <c r="T490" s="15" t="n"/>
      <c r="U490" s="15" t="n"/>
      <c r="V490" s="15" t="n"/>
      <c r="W490" s="15" t="n"/>
      <c r="X490" s="15" t="n"/>
      <c r="Y490" s="15" t="n"/>
      <c r="Z490" s="15" t="n"/>
      <c r="AA490" s="15" t="n"/>
      <c r="AB490" s="15" t="n"/>
      <c r="AC490" s="15" t="n"/>
      <c r="AD490" s="15" t="n"/>
      <c r="AE490" s="15" t="n"/>
      <c r="AH490" s="15" t="n"/>
      <c r="AI490" s="15" t="n"/>
      <c r="AJ490" s="15" t="n"/>
      <c r="AK490" s="15" t="n"/>
    </row>
    <row r="491" ht="14.5" customHeight="1">
      <c r="A491" s="17" t="n"/>
      <c r="B491" s="15" t="n"/>
      <c r="C491" s="15" t="n"/>
      <c r="D491" s="15" t="n"/>
      <c r="E491" s="15" t="n"/>
      <c r="F491" s="15" t="n"/>
      <c r="G491" s="18" t="n"/>
      <c r="H491" s="15" t="n"/>
      <c r="I491" s="15" t="n"/>
      <c r="J491" s="18" t="n"/>
      <c r="K491" s="15" t="n"/>
      <c r="L491" s="15" t="n"/>
      <c r="M491" s="15" t="n"/>
      <c r="N491" s="15" t="n"/>
      <c r="O491" s="15" t="n"/>
      <c r="P491" s="15" t="n"/>
      <c r="Q491" s="15" t="n"/>
      <c r="R491" s="15" t="n"/>
      <c r="S491" s="15" t="n"/>
      <c r="T491" s="15" t="n"/>
      <c r="U491" s="15" t="n"/>
      <c r="V491" s="15" t="n"/>
      <c r="W491" s="15" t="n"/>
      <c r="X491" s="15" t="n"/>
      <c r="Y491" s="15" t="n"/>
      <c r="Z491" s="15" t="n"/>
      <c r="AA491" s="15" t="n"/>
      <c r="AB491" s="15" t="n"/>
      <c r="AC491" s="15" t="n"/>
      <c r="AD491" s="15" t="n"/>
      <c r="AE491" s="15" t="n"/>
      <c r="AH491" s="15" t="n"/>
      <c r="AI491" s="15" t="n"/>
      <c r="AJ491" s="15" t="n"/>
      <c r="AK491" s="15" t="n"/>
    </row>
    <row r="492" ht="14.5" customHeight="1">
      <c r="A492" s="17" t="n"/>
      <c r="B492" s="15" t="n"/>
      <c r="C492" s="15" t="n"/>
      <c r="D492" s="15" t="n"/>
      <c r="E492" s="15" t="n"/>
      <c r="F492" s="15" t="n"/>
      <c r="G492" s="18" t="n"/>
      <c r="H492" s="15" t="n"/>
      <c r="I492" s="15" t="n"/>
      <c r="J492" s="18" t="n"/>
      <c r="K492" s="15" t="n"/>
      <c r="L492" s="15" t="n"/>
      <c r="M492" s="15" t="n"/>
      <c r="N492" s="15" t="n"/>
      <c r="O492" s="15" t="n"/>
      <c r="P492" s="15" t="n"/>
      <c r="Q492" s="15" t="n"/>
      <c r="R492" s="15" t="n"/>
      <c r="S492" s="15" t="n"/>
      <c r="T492" s="15" t="n"/>
      <c r="U492" s="15" t="n"/>
      <c r="V492" s="15" t="n"/>
      <c r="W492" s="15" t="n"/>
      <c r="X492" s="15" t="n"/>
      <c r="Y492" s="15" t="n"/>
      <c r="Z492" s="15" t="n"/>
      <c r="AA492" s="15" t="n"/>
      <c r="AB492" s="15" t="n"/>
      <c r="AC492" s="15" t="n"/>
      <c r="AD492" s="15" t="n"/>
      <c r="AE492" s="15" t="n"/>
      <c r="AH492" s="15" t="n"/>
      <c r="AI492" s="15" t="n"/>
      <c r="AJ492" s="15" t="n"/>
      <c r="AK492" s="15" t="n"/>
    </row>
    <row r="493" ht="14.5" customHeight="1">
      <c r="A493" s="17" t="n"/>
      <c r="B493" s="15" t="n"/>
      <c r="C493" s="15" t="n"/>
      <c r="D493" s="15" t="n"/>
      <c r="E493" s="15" t="n"/>
      <c r="F493" s="15" t="n"/>
      <c r="G493" s="18" t="n"/>
      <c r="H493" s="15" t="n"/>
      <c r="I493" s="15" t="n"/>
      <c r="J493" s="18" t="n"/>
      <c r="K493" s="15" t="n"/>
      <c r="L493" s="15" t="n"/>
      <c r="M493" s="15" t="n"/>
      <c r="N493" s="15" t="n"/>
      <c r="O493" s="15" t="n"/>
      <c r="P493" s="15" t="n"/>
      <c r="Q493" s="15" t="n"/>
      <c r="R493" s="15" t="n"/>
      <c r="S493" s="15" t="n"/>
      <c r="T493" s="15" t="n"/>
      <c r="U493" s="15" t="n"/>
      <c r="V493" s="15" t="n"/>
      <c r="W493" s="15" t="n"/>
      <c r="X493" s="15" t="n"/>
      <c r="Y493" s="15" t="n"/>
      <c r="Z493" s="15" t="n"/>
      <c r="AA493" s="15" t="n"/>
      <c r="AB493" s="15" t="n"/>
      <c r="AC493" s="15" t="n"/>
      <c r="AD493" s="15" t="n"/>
      <c r="AE493" s="15" t="n"/>
      <c r="AH493" s="15" t="n"/>
      <c r="AI493" s="15" t="n"/>
      <c r="AJ493" s="15" t="n"/>
      <c r="AK493" s="15" t="n"/>
    </row>
    <row r="494" ht="14.5" customHeight="1">
      <c r="A494" s="17" t="n"/>
      <c r="B494" s="15" t="n"/>
      <c r="C494" s="15" t="n"/>
      <c r="D494" s="15" t="n"/>
      <c r="E494" s="15" t="n"/>
      <c r="F494" s="15" t="n"/>
      <c r="G494" s="18" t="n"/>
      <c r="H494" s="15" t="n"/>
      <c r="I494" s="15" t="n"/>
      <c r="J494" s="18" t="n"/>
      <c r="K494" s="15" t="n"/>
      <c r="L494" s="15" t="n"/>
      <c r="M494" s="15" t="n"/>
      <c r="N494" s="15" t="n"/>
      <c r="O494" s="15" t="n"/>
      <c r="P494" s="15" t="n"/>
      <c r="Q494" s="15" t="n"/>
      <c r="R494" s="15" t="n"/>
      <c r="S494" s="15" t="n"/>
      <c r="T494" s="15" t="n"/>
      <c r="U494" s="15" t="n"/>
      <c r="V494" s="15" t="n"/>
      <c r="W494" s="15" t="n"/>
      <c r="X494" s="15" t="n"/>
      <c r="Y494" s="15" t="n"/>
      <c r="Z494" s="15" t="n"/>
      <c r="AA494" s="15" t="n"/>
      <c r="AB494" s="15" t="n"/>
      <c r="AC494" s="15" t="n"/>
      <c r="AD494" s="15" t="n"/>
      <c r="AE494" s="15" t="n"/>
      <c r="AH494" s="15" t="n"/>
      <c r="AI494" s="15" t="n"/>
      <c r="AJ494" s="15" t="n"/>
      <c r="AK494" s="15" t="n"/>
    </row>
    <row r="495" ht="14.5" customHeight="1">
      <c r="A495" s="17" t="n"/>
      <c r="B495" s="15" t="n"/>
      <c r="C495" s="15" t="n"/>
      <c r="D495" s="15" t="n"/>
      <c r="E495" s="15" t="n"/>
      <c r="F495" s="15" t="n"/>
      <c r="G495" s="18" t="n"/>
      <c r="H495" s="15" t="n"/>
      <c r="I495" s="15" t="n"/>
      <c r="J495" s="18" t="n"/>
      <c r="K495" s="15" t="n"/>
      <c r="L495" s="15" t="n"/>
      <c r="M495" s="15" t="n"/>
      <c r="N495" s="15" t="n"/>
      <c r="O495" s="15" t="n"/>
      <c r="P495" s="15" t="n"/>
      <c r="Q495" s="15" t="n"/>
      <c r="R495" s="15" t="n"/>
      <c r="S495" s="15" t="n"/>
      <c r="T495" s="15" t="n"/>
      <c r="U495" s="15" t="n"/>
      <c r="V495" s="15" t="n"/>
      <c r="W495" s="15" t="n"/>
      <c r="X495" s="15" t="n"/>
      <c r="Y495" s="15" t="n"/>
      <c r="Z495" s="15" t="n"/>
      <c r="AA495" s="15" t="n"/>
      <c r="AB495" s="15" t="n"/>
      <c r="AC495" s="15" t="n"/>
      <c r="AD495" s="15" t="n"/>
      <c r="AE495" s="15" t="n"/>
      <c r="AH495" s="15" t="n"/>
      <c r="AI495" s="15" t="n"/>
      <c r="AJ495" s="15" t="n"/>
      <c r="AK495" s="15" t="n"/>
    </row>
    <row r="496" ht="14.5" customHeight="1">
      <c r="A496" s="17" t="n"/>
      <c r="B496" s="15" t="n"/>
      <c r="C496" s="15" t="n"/>
      <c r="D496" s="15" t="n"/>
      <c r="E496" s="15" t="n"/>
      <c r="F496" s="15" t="n"/>
      <c r="G496" s="18" t="n"/>
      <c r="H496" s="15" t="n"/>
      <c r="I496" s="15" t="n"/>
      <c r="J496" s="18" t="n"/>
      <c r="K496" s="15" t="n"/>
      <c r="L496" s="15" t="n"/>
      <c r="M496" s="15" t="n"/>
      <c r="N496" s="15" t="n"/>
      <c r="O496" s="15" t="n"/>
      <c r="P496" s="15" t="n"/>
      <c r="Q496" s="15" t="n"/>
      <c r="R496" s="15" t="n"/>
      <c r="S496" s="15" t="n"/>
      <c r="T496" s="15" t="n"/>
      <c r="U496" s="15" t="n"/>
      <c r="V496" s="15" t="n"/>
      <c r="W496" s="15" t="n"/>
      <c r="X496" s="15" t="n"/>
      <c r="Y496" s="15" t="n"/>
      <c r="Z496" s="15" t="n"/>
      <c r="AA496" s="15" t="n"/>
      <c r="AB496" s="15" t="n"/>
      <c r="AC496" s="15" t="n"/>
      <c r="AD496" s="15" t="n"/>
      <c r="AE496" s="15" t="n"/>
      <c r="AH496" s="15" t="n"/>
      <c r="AI496" s="15" t="n"/>
      <c r="AJ496" s="15" t="n"/>
      <c r="AK496" s="15" t="n"/>
    </row>
    <row r="497" ht="14.5" customHeight="1">
      <c r="A497" s="17" t="n"/>
      <c r="B497" s="15" t="n"/>
      <c r="C497" s="15" t="n"/>
      <c r="D497" s="15" t="n"/>
      <c r="E497" s="15" t="n"/>
      <c r="F497" s="15" t="n"/>
      <c r="G497" s="18" t="n"/>
      <c r="H497" s="15" t="n"/>
      <c r="I497" s="15" t="n"/>
      <c r="J497" s="18" t="n"/>
      <c r="K497" s="15" t="n"/>
      <c r="L497" s="15" t="n"/>
      <c r="M497" s="15" t="n"/>
      <c r="N497" s="15" t="n"/>
      <c r="O497" s="15" t="n"/>
      <c r="P497" s="15" t="n"/>
      <c r="Q497" s="15" t="n"/>
      <c r="R497" s="15" t="n"/>
      <c r="S497" s="15" t="n"/>
      <c r="T497" s="15" t="n"/>
      <c r="U497" s="15" t="n"/>
      <c r="V497" s="15" t="n"/>
      <c r="W497" s="15" t="n"/>
      <c r="X497" s="15" t="n"/>
      <c r="Y497" s="15" t="n"/>
      <c r="Z497" s="15" t="n"/>
      <c r="AA497" s="15" t="n"/>
      <c r="AB497" s="15" t="n"/>
      <c r="AC497" s="15" t="n"/>
      <c r="AD497" s="15" t="n"/>
      <c r="AE497" s="15" t="n"/>
      <c r="AH497" s="15" t="n"/>
      <c r="AI497" s="15" t="n"/>
      <c r="AJ497" s="15" t="n"/>
      <c r="AK497" s="15" t="n"/>
    </row>
    <row r="498" ht="14.5" customHeight="1">
      <c r="A498" s="17" t="n"/>
      <c r="B498" s="15" t="n"/>
      <c r="C498" s="15" t="n"/>
      <c r="D498" s="15" t="n"/>
      <c r="E498" s="15" t="n"/>
      <c r="F498" s="15" t="n"/>
      <c r="G498" s="18" t="n"/>
      <c r="H498" s="15" t="n"/>
      <c r="I498" s="15" t="n"/>
      <c r="J498" s="18" t="n"/>
      <c r="K498" s="15" t="n"/>
      <c r="L498" s="15" t="n"/>
      <c r="M498" s="15" t="n"/>
      <c r="N498" s="15" t="n"/>
      <c r="O498" s="15" t="n"/>
      <c r="P498" s="15" t="n"/>
      <c r="Q498" s="15" t="n"/>
      <c r="R498" s="15" t="n"/>
      <c r="S498" s="15" t="n"/>
      <c r="T498" s="15" t="n"/>
      <c r="U498" s="15" t="n"/>
      <c r="V498" s="15" t="n"/>
      <c r="W498" s="15" t="n"/>
      <c r="X498" s="15" t="n"/>
      <c r="Y498" s="15" t="n"/>
      <c r="Z498" s="15" t="n"/>
      <c r="AA498" s="15" t="n"/>
      <c r="AB498" s="15" t="n"/>
      <c r="AC498" s="15" t="n"/>
      <c r="AD498" s="15" t="n"/>
      <c r="AE498" s="15" t="n"/>
      <c r="AH498" s="15" t="n"/>
      <c r="AI498" s="15" t="n"/>
      <c r="AJ498" s="15" t="n"/>
      <c r="AK498" s="15" t="n"/>
    </row>
    <row r="499" ht="14.5" customHeight="1">
      <c r="A499" s="17" t="n"/>
      <c r="B499" s="15" t="n"/>
      <c r="C499" s="15" t="n"/>
      <c r="D499" s="15" t="n"/>
      <c r="E499" s="15" t="n"/>
      <c r="F499" s="15" t="n"/>
      <c r="G499" s="18" t="n"/>
      <c r="H499" s="15" t="n"/>
      <c r="I499" s="15" t="n"/>
      <c r="J499" s="18" t="n"/>
      <c r="K499" s="15" t="n"/>
      <c r="L499" s="15" t="n"/>
      <c r="M499" s="15" t="n"/>
      <c r="N499" s="15" t="n"/>
      <c r="O499" s="15" t="n"/>
      <c r="P499" s="15" t="n"/>
      <c r="Q499" s="15" t="n"/>
      <c r="R499" s="15" t="n"/>
      <c r="S499" s="15" t="n"/>
      <c r="T499" s="15" t="n"/>
      <c r="U499" s="15" t="n"/>
      <c r="V499" s="15" t="n"/>
      <c r="W499" s="15" t="n"/>
      <c r="X499" s="15" t="n"/>
      <c r="Y499" s="15" t="n"/>
      <c r="Z499" s="15" t="n"/>
      <c r="AA499" s="15" t="n"/>
      <c r="AB499" s="15" t="n"/>
      <c r="AC499" s="15" t="n"/>
      <c r="AD499" s="15" t="n"/>
      <c r="AE499" s="15" t="n"/>
      <c r="AH499" s="15" t="n"/>
      <c r="AI499" s="15" t="n"/>
      <c r="AJ499" s="15" t="n"/>
      <c r="AK499" s="15" t="n"/>
    </row>
  </sheetData>
  <autoFilter ref="A1:BB499"/>
  <conditionalFormatting sqref="G1:G499 J1:J999">
    <cfRule type="cellIs" priority="1" operator="lessThan" dxfId="5">
      <formula>0</formula>
    </cfRule>
    <cfRule type="cellIs" priority="2" operator="greaterThan" dxfId="4">
      <formula>0</formula>
    </cfRule>
  </conditionalFormatting>
  <conditionalFormatting sqref="N1:Q345">
    <cfRule type="containsText" priority="5" operator="containsText" dxfId="3" text="buy">
      <formula>NOT(ISERROR(SEARCH(("buy"),(N1))))</formula>
    </cfRule>
    <cfRule type="containsText" priority="6" operator="containsText" dxfId="2" text="Sell">
      <formula>NOT(ISERROR(SEARCH(("Sell"),(N1))))</formula>
    </cfRule>
  </conditionalFormatting>
  <conditionalFormatting sqref="S1:S999">
    <cfRule type="cellIs" priority="4" operator="equal" dxfId="1">
      <formula>"Anco"</formula>
    </cfRule>
  </conditionalFormatting>
  <conditionalFormatting sqref="AC1:AC499">
    <cfRule type="cellIs" priority="3" operator="equal" dxfId="0">
      <formula>"Anco"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39"/>
  <sheetViews>
    <sheetView workbookViewId="0">
      <selection activeCell="A1" sqref="A1"/>
    </sheetView>
  </sheetViews>
  <sheetFormatPr baseColWidth="8" defaultRowHeight="12.5"/>
  <sheetData>
    <row r="1" ht="13" customHeight="1">
      <c r="A1" s="19" t="inlineStr">
        <is>
          <t>name</t>
        </is>
      </c>
      <c r="B1" s="19" t="inlineStr">
        <is>
          <t>volume_change</t>
        </is>
      </c>
      <c r="C1" s="19" t="inlineStr">
        <is>
          <t>price_change</t>
        </is>
      </c>
      <c r="D1" s="19" t="inlineStr">
        <is>
          <t>date</t>
        </is>
      </c>
      <c r="E1" s="19" t="inlineStr">
        <is>
          <t>open</t>
        </is>
      </c>
      <c r="F1" s="19" t="inlineStr">
        <is>
          <t>high</t>
        </is>
      </c>
      <c r="G1" s="19" t="inlineStr">
        <is>
          <t>low</t>
        </is>
      </c>
      <c r="H1" s="19" t="inlineStr">
        <is>
          <t>close</t>
        </is>
      </c>
      <c r="I1" s="19" t="inlineStr">
        <is>
          <t>volume</t>
        </is>
      </c>
      <c r="J1" s="19" t="inlineStr">
        <is>
          <t>volume_20_ma</t>
        </is>
      </c>
      <c r="K1" s="19" t="inlineStr">
        <is>
          <t>rsi</t>
        </is>
      </c>
      <c r="L1" s="19" t="inlineStr">
        <is>
          <t>mor</t>
        </is>
      </c>
      <c r="M1" s="19" t="inlineStr">
        <is>
          <t>mor_age</t>
        </is>
      </c>
      <c r="N1" s="19" t="inlineStr">
        <is>
          <t>mor_date</t>
        </is>
      </c>
      <c r="O1" s="19" t="inlineStr">
        <is>
          <t>price_above_200_sma</t>
        </is>
      </c>
    </row>
    <row r="2">
      <c r="A2" t="inlineStr">
        <is>
          <t>AARTIPHARM</t>
        </is>
      </c>
      <c r="B2" t="n">
        <v>12.21641667792742</v>
      </c>
      <c r="C2" t="n">
        <v>1.194426011944263</v>
      </c>
      <c r="D2" s="20" t="n">
        <v>45657</v>
      </c>
      <c r="E2" t="n">
        <v>671.35</v>
      </c>
      <c r="F2" t="n">
        <v>691.95</v>
      </c>
      <c r="G2" t="n">
        <v>669.55</v>
      </c>
      <c r="H2" t="n">
        <v>686.25</v>
      </c>
      <c r="I2" t="n">
        <v>747395</v>
      </c>
      <c r="J2" t="n">
        <v>666030</v>
      </c>
      <c r="L2" t="inlineStr">
        <is>
          <t>Bear</t>
        </is>
      </c>
      <c r="M2" t="n">
        <v>13</v>
      </c>
      <c r="N2" s="20" t="n">
        <v>45637</v>
      </c>
      <c r="O2" t="inlineStr">
        <is>
          <t>True</t>
        </is>
      </c>
    </row>
    <row r="3">
      <c r="A3" t="inlineStr">
        <is>
          <t>AAVAS</t>
        </is>
      </c>
      <c r="B3" t="n">
        <v>-34.93324089919608</v>
      </c>
      <c r="C3" t="n">
        <v>1.232595985775423</v>
      </c>
      <c r="D3" s="20" t="n">
        <v>45657</v>
      </c>
      <c r="E3" t="n">
        <v>1652.05</v>
      </c>
      <c r="F3" t="n">
        <v>1681.4</v>
      </c>
      <c r="G3" t="n">
        <v>1652.05</v>
      </c>
      <c r="H3" t="n">
        <v>1679.55</v>
      </c>
      <c r="I3" t="n">
        <v>102867</v>
      </c>
      <c r="J3" t="n">
        <v>158094.55</v>
      </c>
      <c r="L3" t="inlineStr">
        <is>
          <t>Bear</t>
        </is>
      </c>
      <c r="M3" t="n">
        <v>50</v>
      </c>
      <c r="N3" s="20" t="n">
        <v>45582</v>
      </c>
      <c r="O3" t="inlineStr">
        <is>
          <t>True</t>
        </is>
      </c>
    </row>
    <row r="4">
      <c r="A4" t="inlineStr">
        <is>
          <t>ACC</t>
        </is>
      </c>
      <c r="B4" t="n">
        <v>-39.7862301039185</v>
      </c>
      <c r="C4" t="n">
        <v>-0.3592407398417443</v>
      </c>
      <c r="D4" s="20" t="n">
        <v>45657</v>
      </c>
      <c r="E4" t="n">
        <v>2051.1</v>
      </c>
      <c r="F4" t="n">
        <v>2073.4</v>
      </c>
      <c r="G4" t="n">
        <v>2030.4</v>
      </c>
      <c r="H4" t="n">
        <v>2052.5</v>
      </c>
      <c r="I4" t="n">
        <v>162386</v>
      </c>
      <c r="J4" t="n">
        <v>269682.5</v>
      </c>
      <c r="L4" t="inlineStr">
        <is>
          <t>Bear</t>
        </is>
      </c>
      <c r="M4" t="n">
        <v>56</v>
      </c>
      <c r="N4" s="20" t="n">
        <v>45574</v>
      </c>
      <c r="O4" t="inlineStr">
        <is>
          <t>False</t>
        </is>
      </c>
    </row>
    <row r="5">
      <c r="A5" t="inlineStr">
        <is>
          <t>ADANIPORTS</t>
        </is>
      </c>
      <c r="B5" t="n">
        <v>-53.75917358690941</v>
      </c>
      <c r="C5" t="n">
        <v>1.034058268362734</v>
      </c>
      <c r="D5" s="20" t="n">
        <v>45657</v>
      </c>
      <c r="E5" t="n">
        <v>1222</v>
      </c>
      <c r="F5" t="n">
        <v>1236.8</v>
      </c>
      <c r="G5" t="n">
        <v>1208.15</v>
      </c>
      <c r="H5" t="n">
        <v>1231.1</v>
      </c>
      <c r="I5" t="n">
        <v>1717204</v>
      </c>
      <c r="J5" t="n">
        <v>3713610.1</v>
      </c>
      <c r="L5" t="inlineStr">
        <is>
          <t>Bear</t>
        </is>
      </c>
      <c r="M5" t="n">
        <v>77</v>
      </c>
      <c r="N5" s="20" t="n">
        <v>45544</v>
      </c>
      <c r="O5" t="inlineStr">
        <is>
          <t>True</t>
        </is>
      </c>
    </row>
    <row r="6">
      <c r="A6" t="inlineStr">
        <is>
          <t>ADANIPOWER</t>
        </is>
      </c>
      <c r="B6" t="n">
        <v>-28.95504476554891</v>
      </c>
      <c r="C6" t="n">
        <v>-1.853739920289183</v>
      </c>
      <c r="D6" s="20" t="n">
        <v>45657</v>
      </c>
      <c r="E6" t="n">
        <v>533</v>
      </c>
      <c r="F6" t="n">
        <v>537.4</v>
      </c>
      <c r="G6" t="n">
        <v>523.6</v>
      </c>
      <c r="H6" t="n">
        <v>529.45</v>
      </c>
      <c r="I6" t="n">
        <v>4472016</v>
      </c>
      <c r="J6" t="n">
        <v>6294628.5</v>
      </c>
      <c r="L6" t="inlineStr">
        <is>
          <t>Bear</t>
        </is>
      </c>
      <c r="M6" t="n">
        <v>94</v>
      </c>
      <c r="N6" s="20" t="n">
        <v>45518</v>
      </c>
      <c r="O6" t="inlineStr">
        <is>
          <t>True</t>
        </is>
      </c>
    </row>
    <row r="7">
      <c r="A7" t="inlineStr">
        <is>
          <t>ADFFOODS</t>
        </is>
      </c>
      <c r="B7" t="n">
        <v>9.243554576465431</v>
      </c>
      <c r="C7" t="n">
        <v>3.860326373047903</v>
      </c>
      <c r="D7" s="20" t="n">
        <v>45657</v>
      </c>
      <c r="E7" t="n">
        <v>286</v>
      </c>
      <c r="F7" t="n">
        <v>299</v>
      </c>
      <c r="G7" t="n">
        <v>283.05</v>
      </c>
      <c r="H7" t="n">
        <v>295.95</v>
      </c>
      <c r="I7" t="n">
        <v>253750</v>
      </c>
      <c r="J7" t="n">
        <v>232279.15</v>
      </c>
      <c r="L7" t="inlineStr">
        <is>
          <t>Bull</t>
        </is>
      </c>
      <c r="M7" t="n">
        <v>88</v>
      </c>
      <c r="N7" s="20" t="n">
        <v>45527</v>
      </c>
      <c r="O7" t="inlineStr">
        <is>
          <t>True</t>
        </is>
      </c>
    </row>
    <row r="8">
      <c r="A8" t="inlineStr">
        <is>
          <t>ABSLAMC</t>
        </is>
      </c>
      <c r="B8" t="n">
        <v>-8.144617850183646</v>
      </c>
      <c r="C8" t="n">
        <v>-0.1253282406302166</v>
      </c>
      <c r="D8" s="20" t="n">
        <v>45657</v>
      </c>
      <c r="E8" t="n">
        <v>837</v>
      </c>
      <c r="F8" t="n">
        <v>847.7</v>
      </c>
      <c r="G8" t="n">
        <v>820.1</v>
      </c>
      <c r="H8" t="n">
        <v>836.75</v>
      </c>
      <c r="I8" t="n">
        <v>387512</v>
      </c>
      <c r="J8" t="n">
        <v>421871.85</v>
      </c>
      <c r="L8" t="inlineStr">
        <is>
          <t>Bull</t>
        </is>
      </c>
      <c r="M8" t="n">
        <v>176</v>
      </c>
      <c r="N8" s="20" t="n">
        <v>45398</v>
      </c>
      <c r="O8" t="inlineStr">
        <is>
          <t>True</t>
        </is>
      </c>
    </row>
    <row r="9">
      <c r="A9" t="inlineStr">
        <is>
          <t>ABFRL</t>
        </is>
      </c>
      <c r="B9" t="n">
        <v>-52.98224869295146</v>
      </c>
      <c r="C9" t="n">
        <v>0.737675422813966</v>
      </c>
      <c r="D9" s="20" t="n">
        <v>45657</v>
      </c>
      <c r="E9" t="n">
        <v>277.1</v>
      </c>
      <c r="F9" t="n">
        <v>280.65</v>
      </c>
      <c r="G9" t="n">
        <v>274.25</v>
      </c>
      <c r="H9" t="n">
        <v>279.95</v>
      </c>
      <c r="I9" t="n">
        <v>1054753</v>
      </c>
      <c r="J9" t="n">
        <v>2243308.05</v>
      </c>
      <c r="L9" t="inlineStr">
        <is>
          <t>Bear</t>
        </is>
      </c>
      <c r="M9" t="n">
        <v>44</v>
      </c>
      <c r="N9" s="20" t="n">
        <v>45590</v>
      </c>
      <c r="O9" t="inlineStr">
        <is>
          <t>True</t>
        </is>
      </c>
    </row>
    <row r="10">
      <c r="A10" t="inlineStr">
        <is>
          <t>ABCAPITAL</t>
        </is>
      </c>
      <c r="B10" t="n">
        <v>-16.90025226961956</v>
      </c>
      <c r="C10" t="n">
        <v>-1.24951407785861</v>
      </c>
      <c r="D10" s="20" t="n">
        <v>45657</v>
      </c>
      <c r="E10" t="n">
        <v>179.79</v>
      </c>
      <c r="F10" t="n">
        <v>180.95</v>
      </c>
      <c r="G10" t="n">
        <v>177.11</v>
      </c>
      <c r="H10" t="n">
        <v>177.82</v>
      </c>
      <c r="I10" t="n">
        <v>2201025</v>
      </c>
      <c r="J10" t="n">
        <v>2648654.25</v>
      </c>
      <c r="L10" t="inlineStr">
        <is>
          <t>Bear</t>
        </is>
      </c>
      <c r="M10" t="n">
        <v>47</v>
      </c>
      <c r="N10" s="20" t="n">
        <v>45587</v>
      </c>
      <c r="O10" t="inlineStr">
        <is>
          <t>False</t>
        </is>
      </c>
    </row>
    <row r="11">
      <c r="A11" t="inlineStr">
        <is>
          <t>ADVENZYMES</t>
        </is>
      </c>
      <c r="B11" t="n">
        <v>38.64152337616249</v>
      </c>
      <c r="C11" t="n">
        <v>1.132239802583839</v>
      </c>
      <c r="D11" s="20" t="n">
        <v>45657</v>
      </c>
      <c r="E11" t="n">
        <v>342.75</v>
      </c>
      <c r="F11" t="n">
        <v>350.2</v>
      </c>
      <c r="G11" t="n">
        <v>338.3</v>
      </c>
      <c r="H11" t="n">
        <v>348.35</v>
      </c>
      <c r="I11" t="n">
        <v>285187</v>
      </c>
      <c r="J11" t="n">
        <v>205701</v>
      </c>
      <c r="L11" t="inlineStr">
        <is>
          <t>Bear</t>
        </is>
      </c>
      <c r="M11" t="n">
        <v>43</v>
      </c>
      <c r="N11" s="20" t="n">
        <v>45593</v>
      </c>
      <c r="O11" t="inlineStr">
        <is>
          <t>True</t>
        </is>
      </c>
    </row>
    <row r="12">
      <c r="A12" t="inlineStr">
        <is>
          <t>AFFLE</t>
        </is>
      </c>
      <c r="B12" t="n">
        <v>-75.63959757267813</v>
      </c>
      <c r="C12" t="n">
        <v>-0.8313869424980561</v>
      </c>
      <c r="D12" s="20" t="n">
        <v>45657</v>
      </c>
      <c r="E12" t="n">
        <v>1795.65</v>
      </c>
      <c r="F12" t="n">
        <v>1798.2</v>
      </c>
      <c r="G12" t="n">
        <v>1762.25</v>
      </c>
      <c r="H12" t="n">
        <v>1783.25</v>
      </c>
      <c r="I12" t="n">
        <v>145575</v>
      </c>
      <c r="J12" t="n">
        <v>597588.65</v>
      </c>
      <c r="L12" t="inlineStr">
        <is>
          <t>Bull</t>
        </is>
      </c>
      <c r="M12" t="n">
        <v>35</v>
      </c>
      <c r="N12" s="20" t="n">
        <v>45603</v>
      </c>
      <c r="O12" t="inlineStr">
        <is>
          <t>True</t>
        </is>
      </c>
    </row>
    <row r="13">
      <c r="A13" t="inlineStr">
        <is>
          <t>AGI</t>
        </is>
      </c>
      <c r="B13" t="n">
        <v>-75.36498461904415</v>
      </c>
      <c r="C13" t="n">
        <v>1.246894059182286</v>
      </c>
      <c r="D13" s="20" t="n">
        <v>45657</v>
      </c>
      <c r="E13" t="n">
        <v>1110.9</v>
      </c>
      <c r="F13" t="n">
        <v>1124.9</v>
      </c>
      <c r="G13" t="n">
        <v>1095.5</v>
      </c>
      <c r="H13" t="n">
        <v>1120.55</v>
      </c>
      <c r="I13" t="n">
        <v>84095</v>
      </c>
      <c r="J13" t="n">
        <v>341363.7</v>
      </c>
      <c r="L13" t="inlineStr">
        <is>
          <t>Bull</t>
        </is>
      </c>
      <c r="M13" t="n">
        <v>122</v>
      </c>
      <c r="N13" s="20" t="n">
        <v>45477</v>
      </c>
      <c r="O13" t="inlineStr">
        <is>
          <t>True</t>
        </is>
      </c>
    </row>
    <row r="14">
      <c r="A14" t="inlineStr">
        <is>
          <t>AIAENG</t>
        </is>
      </c>
      <c r="B14" t="n">
        <v>-67.88737881425251</v>
      </c>
      <c r="C14" t="n">
        <v>0.11474806914307</v>
      </c>
      <c r="D14" s="20" t="n">
        <v>45657</v>
      </c>
      <c r="E14" t="n">
        <v>3398.75</v>
      </c>
      <c r="F14" t="n">
        <v>3416.95</v>
      </c>
      <c r="G14" t="n">
        <v>3365.05</v>
      </c>
      <c r="H14" t="n">
        <v>3402.65</v>
      </c>
      <c r="I14" t="n">
        <v>21926</v>
      </c>
      <c r="J14" t="n">
        <v>68278.45</v>
      </c>
      <c r="L14" t="inlineStr">
        <is>
          <t>Bear</t>
        </is>
      </c>
      <c r="M14" t="n">
        <v>67</v>
      </c>
      <c r="N14" s="20" t="n">
        <v>45558</v>
      </c>
      <c r="O14" t="inlineStr">
        <is>
          <t>True</t>
        </is>
      </c>
    </row>
    <row r="15">
      <c r="A15" t="inlineStr">
        <is>
          <t>AJANTPHARM</t>
        </is>
      </c>
      <c r="B15" t="n">
        <v>-56.07700572125218</v>
      </c>
      <c r="C15" t="n">
        <v>-0.7547808427822028</v>
      </c>
      <c r="D15" s="20" t="n">
        <v>45657</v>
      </c>
      <c r="E15" t="n">
        <v>2926.85</v>
      </c>
      <c r="F15" t="n">
        <v>2970.1</v>
      </c>
      <c r="G15" t="n">
        <v>2911.4</v>
      </c>
      <c r="H15" t="n">
        <v>2932.2</v>
      </c>
      <c r="I15" t="n">
        <v>71912</v>
      </c>
      <c r="J15" t="n">
        <v>163722.9</v>
      </c>
      <c r="L15" t="inlineStr">
        <is>
          <t>Bear</t>
        </is>
      </c>
      <c r="M15" t="n">
        <v>40</v>
      </c>
      <c r="N15" s="20" t="n">
        <v>45596</v>
      </c>
      <c r="O15" t="inlineStr">
        <is>
          <t>True</t>
        </is>
      </c>
    </row>
    <row r="16">
      <c r="A16" t="inlineStr">
        <is>
          <t>AJMERA</t>
        </is>
      </c>
      <c r="B16" t="n">
        <v>38.27704199594417</v>
      </c>
      <c r="C16" t="n">
        <v>5.635250917992652</v>
      </c>
      <c r="D16" s="20" t="n">
        <v>45657</v>
      </c>
      <c r="E16" t="n">
        <v>1012</v>
      </c>
      <c r="F16" t="n">
        <v>1094</v>
      </c>
      <c r="G16" t="n">
        <v>1008.3</v>
      </c>
      <c r="H16" t="n">
        <v>1078.8</v>
      </c>
      <c r="I16" t="n">
        <v>118747</v>
      </c>
      <c r="J16" t="n">
        <v>85876.14999999999</v>
      </c>
      <c r="L16" t="inlineStr">
        <is>
          <t>Bull</t>
        </is>
      </c>
      <c r="M16" t="n">
        <v>51</v>
      </c>
      <c r="N16" s="20" t="n">
        <v>45581</v>
      </c>
      <c r="O16" t="inlineStr">
        <is>
          <t>True</t>
        </is>
      </c>
    </row>
    <row r="17">
      <c r="A17" t="inlineStr">
        <is>
          <t>AKZOINDIA</t>
        </is>
      </c>
      <c r="B17" t="n">
        <v>-34.37294431761018</v>
      </c>
      <c r="C17" t="n">
        <v>4.106818315061262</v>
      </c>
      <c r="D17" s="20" t="n">
        <v>45657</v>
      </c>
      <c r="E17" t="n">
        <v>3411.4</v>
      </c>
      <c r="F17" t="n">
        <v>3612</v>
      </c>
      <c r="G17" t="n">
        <v>3380.1</v>
      </c>
      <c r="H17" t="n">
        <v>3551.5</v>
      </c>
      <c r="I17" t="n">
        <v>12720</v>
      </c>
      <c r="J17" t="n">
        <v>19382.25</v>
      </c>
      <c r="L17" t="inlineStr">
        <is>
          <t>Bear</t>
        </is>
      </c>
      <c r="M17" t="n">
        <v>22</v>
      </c>
      <c r="N17" s="20" t="n">
        <v>45624</v>
      </c>
      <c r="O17" t="inlineStr">
        <is>
          <t>True</t>
        </is>
      </c>
    </row>
    <row r="18">
      <c r="A18" t="inlineStr">
        <is>
          <t>ALEMBICLTD</t>
        </is>
      </c>
      <c r="B18" t="n">
        <v>-62.84208049659393</v>
      </c>
      <c r="C18" t="n">
        <v>1.370495842315985</v>
      </c>
      <c r="D18" s="20" t="n">
        <v>45657</v>
      </c>
      <c r="E18" t="n">
        <v>129.19</v>
      </c>
      <c r="F18" t="n">
        <v>132.89</v>
      </c>
      <c r="G18" t="n">
        <v>128.65</v>
      </c>
      <c r="H18" t="n">
        <v>131.66</v>
      </c>
      <c r="I18" t="n">
        <v>376187</v>
      </c>
      <c r="J18" t="n">
        <v>1012400.6</v>
      </c>
      <c r="L18" t="inlineStr">
        <is>
          <t>Bull</t>
        </is>
      </c>
      <c r="M18" t="n">
        <v>13</v>
      </c>
      <c r="N18" s="20" t="n">
        <v>45637</v>
      </c>
      <c r="O18" t="inlineStr">
        <is>
          <t>True</t>
        </is>
      </c>
    </row>
    <row r="19">
      <c r="A19" t="inlineStr">
        <is>
          <t>ALKEM</t>
        </is>
      </c>
      <c r="B19" t="n">
        <v>61.91373621333977</v>
      </c>
      <c r="C19" t="n">
        <v>1.160838533016109</v>
      </c>
      <c r="D19" s="20" t="n">
        <v>45657</v>
      </c>
      <c r="E19" t="n">
        <v>5569.35</v>
      </c>
      <c r="F19" t="n">
        <v>5684.65</v>
      </c>
      <c r="G19" t="n">
        <v>5550</v>
      </c>
      <c r="H19" t="n">
        <v>5633.9</v>
      </c>
      <c r="I19" t="n">
        <v>206537</v>
      </c>
      <c r="J19" t="n">
        <v>127559.9</v>
      </c>
      <c r="L19" t="inlineStr">
        <is>
          <t>Bear</t>
        </is>
      </c>
      <c r="M19" t="n">
        <v>38</v>
      </c>
      <c r="N19" s="20" t="n">
        <v>45600</v>
      </c>
      <c r="O19" t="inlineStr">
        <is>
          <t>True</t>
        </is>
      </c>
    </row>
    <row r="20">
      <c r="A20" t="inlineStr">
        <is>
          <t>ARE&amp;M</t>
        </is>
      </c>
      <c r="B20" t="n">
        <v>-25.97354619507635</v>
      </c>
      <c r="C20" t="n">
        <v>1.342848697267859</v>
      </c>
      <c r="D20" s="20" t="n">
        <v>45657</v>
      </c>
      <c r="E20" t="n">
        <v>1184.05</v>
      </c>
      <c r="F20" t="n">
        <v>1218</v>
      </c>
      <c r="G20" t="n">
        <v>1181.2</v>
      </c>
      <c r="H20" t="n">
        <v>1199.95</v>
      </c>
      <c r="I20" t="n">
        <v>382526</v>
      </c>
      <c r="J20" t="n">
        <v>516742.3</v>
      </c>
      <c r="L20" t="inlineStr">
        <is>
          <t>Bear</t>
        </is>
      </c>
      <c r="M20" t="n">
        <v>77</v>
      </c>
      <c r="N20" s="20" t="n">
        <v>45544</v>
      </c>
      <c r="O20" t="inlineStr">
        <is>
          <t>True</t>
        </is>
      </c>
    </row>
    <row r="21">
      <c r="A21" t="inlineStr">
        <is>
          <t>AMBUJACEM</t>
        </is>
      </c>
      <c r="B21" t="n">
        <v>-42.40521859466438</v>
      </c>
      <c r="C21" t="n">
        <v>-1.615864854939417</v>
      </c>
      <c r="D21" s="20" t="n">
        <v>45657</v>
      </c>
      <c r="E21" t="n">
        <v>545.95</v>
      </c>
      <c r="F21" t="n">
        <v>549.05</v>
      </c>
      <c r="G21" t="n">
        <v>533.5</v>
      </c>
      <c r="H21" t="n">
        <v>535.8</v>
      </c>
      <c r="I21" t="n">
        <v>1065733</v>
      </c>
      <c r="J21" t="n">
        <v>1850398.55</v>
      </c>
      <c r="L21" t="inlineStr">
        <is>
          <t>Bear</t>
        </is>
      </c>
      <c r="M21" t="n">
        <v>96</v>
      </c>
      <c r="N21" s="20" t="n">
        <v>45516</v>
      </c>
      <c r="O21" t="inlineStr">
        <is>
          <t>True</t>
        </is>
      </c>
    </row>
    <row r="22">
      <c r="A22" t="inlineStr">
        <is>
          <t>AWHCL</t>
        </is>
      </c>
      <c r="B22" t="n">
        <v>-49.4462244573777</v>
      </c>
      <c r="C22" t="n">
        <v>0.9754897942454188</v>
      </c>
      <c r="D22" s="20" t="n">
        <v>45657</v>
      </c>
      <c r="E22" t="n">
        <v>610.95</v>
      </c>
      <c r="F22" t="n">
        <v>620</v>
      </c>
      <c r="G22" t="n">
        <v>600</v>
      </c>
      <c r="H22" t="n">
        <v>615.9</v>
      </c>
      <c r="I22" t="n">
        <v>59831</v>
      </c>
      <c r="J22" t="n">
        <v>118351.2</v>
      </c>
      <c r="L22" t="inlineStr">
        <is>
          <t>Bear</t>
        </is>
      </c>
      <c r="M22" t="n">
        <v>30</v>
      </c>
      <c r="N22" s="20" t="n">
        <v>45610</v>
      </c>
      <c r="O22" t="inlineStr">
        <is>
          <t>True</t>
        </is>
      </c>
    </row>
    <row r="23">
      <c r="A23" t="inlineStr">
        <is>
          <t>APOLLOHOSP</t>
        </is>
      </c>
      <c r="B23" t="n">
        <v>-28.31740608224752</v>
      </c>
      <c r="C23" t="n">
        <v>-0.2447277574597482</v>
      </c>
      <c r="D23" s="20" t="n">
        <v>45657</v>
      </c>
      <c r="E23" t="n">
        <v>7305.6</v>
      </c>
      <c r="F23" t="n">
        <v>7365.95</v>
      </c>
      <c r="G23" t="n">
        <v>7252.8</v>
      </c>
      <c r="H23" t="n">
        <v>7296.35</v>
      </c>
      <c r="I23" t="n">
        <v>212227</v>
      </c>
      <c r="J23" t="n">
        <v>296064.9</v>
      </c>
      <c r="L23" t="inlineStr">
        <is>
          <t>Bull</t>
        </is>
      </c>
      <c r="M23" t="n">
        <v>18</v>
      </c>
      <c r="N23" s="20" t="n">
        <v>45630</v>
      </c>
      <c r="O23" t="inlineStr">
        <is>
          <t>True</t>
        </is>
      </c>
    </row>
    <row r="24">
      <c r="A24" t="inlineStr">
        <is>
          <t>APOLLOTYRE</t>
        </is>
      </c>
      <c r="B24" t="n">
        <v>-66.77189082249309</v>
      </c>
      <c r="C24" t="n">
        <v>-1.350973632721513</v>
      </c>
      <c r="D24" s="20" t="n">
        <v>45657</v>
      </c>
      <c r="E24" t="n">
        <v>533.95</v>
      </c>
      <c r="F24" t="n">
        <v>540.25</v>
      </c>
      <c r="G24" t="n">
        <v>528</v>
      </c>
      <c r="H24" t="n">
        <v>529.4</v>
      </c>
      <c r="I24" t="n">
        <v>452808</v>
      </c>
      <c r="J24" t="n">
        <v>1362725.75</v>
      </c>
      <c r="L24" t="inlineStr">
        <is>
          <t>Bull</t>
        </is>
      </c>
      <c r="M24" t="n">
        <v>18</v>
      </c>
      <c r="N24" s="20" t="n">
        <v>45630</v>
      </c>
      <c r="O24" t="inlineStr">
        <is>
          <t>True</t>
        </is>
      </c>
    </row>
    <row r="25">
      <c r="A25" t="inlineStr">
        <is>
          <t>APTECHT</t>
        </is>
      </c>
      <c r="B25" t="n">
        <v>-57.77492442151162</v>
      </c>
      <c r="C25" t="n">
        <v>1.719197707736391</v>
      </c>
      <c r="D25" s="20" t="n">
        <v>45657</v>
      </c>
      <c r="E25" t="n">
        <v>177.65</v>
      </c>
      <c r="F25" t="n">
        <v>182.5</v>
      </c>
      <c r="G25" t="n">
        <v>172.51</v>
      </c>
      <c r="H25" t="n">
        <v>181.05</v>
      </c>
      <c r="I25" t="n">
        <v>180639</v>
      </c>
      <c r="J25" t="n">
        <v>427800.3</v>
      </c>
      <c r="L25" t="inlineStr">
        <is>
          <t>Bear</t>
        </is>
      </c>
      <c r="M25" t="n">
        <v>66</v>
      </c>
      <c r="N25" s="20" t="n">
        <v>45559</v>
      </c>
      <c r="O25" t="inlineStr">
        <is>
          <t>False</t>
        </is>
      </c>
    </row>
    <row r="26">
      <c r="A26" t="inlineStr">
        <is>
          <t>APTUS</t>
        </is>
      </c>
      <c r="B26" t="n">
        <v>10.24184003280732</v>
      </c>
      <c r="C26" t="n">
        <v>-0.5838914648806419</v>
      </c>
      <c r="D26" s="20" t="n">
        <v>45657</v>
      </c>
      <c r="E26" t="n">
        <v>292.65</v>
      </c>
      <c r="F26" t="n">
        <v>295.75</v>
      </c>
      <c r="G26" t="n">
        <v>288.2</v>
      </c>
      <c r="H26" t="n">
        <v>289.45</v>
      </c>
      <c r="I26" t="n">
        <v>1015477</v>
      </c>
      <c r="J26" t="n">
        <v>921135.75</v>
      </c>
      <c r="L26" t="inlineStr">
        <is>
          <t>Bear</t>
        </is>
      </c>
      <c r="M26" t="n">
        <v>32</v>
      </c>
      <c r="N26" s="20" t="n">
        <v>45608</v>
      </c>
      <c r="O26" t="inlineStr">
        <is>
          <t>False</t>
        </is>
      </c>
    </row>
    <row r="27">
      <c r="A27" t="inlineStr">
        <is>
          <t>ACI</t>
        </is>
      </c>
      <c r="B27" t="n">
        <v>-59.34539134629892</v>
      </c>
      <c r="C27" t="n">
        <v>0.5254860746190226</v>
      </c>
      <c r="D27" s="20" t="n">
        <v>45657</v>
      </c>
      <c r="E27" t="n">
        <v>669</v>
      </c>
      <c r="F27" t="n">
        <v>670</v>
      </c>
      <c r="G27" t="n">
        <v>656.05</v>
      </c>
      <c r="H27" t="n">
        <v>669.55</v>
      </c>
      <c r="I27" t="n">
        <v>87977</v>
      </c>
      <c r="J27" t="n">
        <v>216401.05</v>
      </c>
      <c r="L27" t="inlineStr">
        <is>
          <t>Bear</t>
        </is>
      </c>
      <c r="M27" t="n">
        <v>7</v>
      </c>
      <c r="N27" s="20" t="n">
        <v>45645</v>
      </c>
      <c r="O27" t="inlineStr">
        <is>
          <t>False</t>
        </is>
      </c>
    </row>
    <row r="28">
      <c r="A28" t="inlineStr">
        <is>
          <t>ARMANFIN</t>
        </is>
      </c>
      <c r="B28" t="n">
        <v>-4.093210870732309</v>
      </c>
      <c r="C28" t="n">
        <v>2.621335100215327</v>
      </c>
      <c r="D28" s="20" t="n">
        <v>45657</v>
      </c>
      <c r="E28" t="n">
        <v>1200</v>
      </c>
      <c r="F28" t="n">
        <v>1242.9</v>
      </c>
      <c r="G28" t="n">
        <v>1180.1</v>
      </c>
      <c r="H28" t="n">
        <v>1239.05</v>
      </c>
      <c r="I28" t="n">
        <v>33049</v>
      </c>
      <c r="J28" t="n">
        <v>34459.5</v>
      </c>
      <c r="L28" t="inlineStr">
        <is>
          <t>Bear</t>
        </is>
      </c>
      <c r="M28" t="n">
        <v>117</v>
      </c>
      <c r="N28" s="20" t="n">
        <v>45484</v>
      </c>
      <c r="O28" t="inlineStr">
        <is>
          <t>False</t>
        </is>
      </c>
    </row>
    <row r="29">
      <c r="A29" t="inlineStr">
        <is>
          <t>ASAHIINDIA</t>
        </is>
      </c>
      <c r="B29" t="n">
        <v>-51.99615648235712</v>
      </c>
      <c r="C29" t="n">
        <v>0.5736137667304045</v>
      </c>
      <c r="D29" s="20" t="n">
        <v>45657</v>
      </c>
      <c r="E29" t="n">
        <v>756.4</v>
      </c>
      <c r="F29" t="n">
        <v>768.95</v>
      </c>
      <c r="G29" t="n">
        <v>748.4</v>
      </c>
      <c r="H29" t="n">
        <v>762.7</v>
      </c>
      <c r="I29" t="n">
        <v>88526</v>
      </c>
      <c r="J29" t="n">
        <v>184414.4</v>
      </c>
      <c r="L29" t="inlineStr">
        <is>
          <t>Bull</t>
        </is>
      </c>
      <c r="M29" t="n">
        <v>15</v>
      </c>
      <c r="N29" s="20" t="n">
        <v>45635</v>
      </c>
      <c r="O29" t="inlineStr">
        <is>
          <t>True</t>
        </is>
      </c>
    </row>
    <row r="30">
      <c r="A30" t="inlineStr">
        <is>
          <t>ASIANPAINT</t>
        </is>
      </c>
      <c r="B30" t="n">
        <v>-50.55747673674558</v>
      </c>
      <c r="C30" t="n">
        <v>-0.301540478531633</v>
      </c>
      <c r="D30" s="20" t="n">
        <v>45657</v>
      </c>
      <c r="E30" t="n">
        <v>2280</v>
      </c>
      <c r="F30" t="n">
        <v>2297.65</v>
      </c>
      <c r="G30" t="n">
        <v>2273</v>
      </c>
      <c r="H30" t="n">
        <v>2281.35</v>
      </c>
      <c r="I30" t="n">
        <v>685486</v>
      </c>
      <c r="J30" t="n">
        <v>1386430.05</v>
      </c>
      <c r="L30" t="inlineStr">
        <is>
          <t>Bear</t>
        </is>
      </c>
      <c r="M30" t="n">
        <v>52</v>
      </c>
      <c r="N30" s="20" t="n">
        <v>45580</v>
      </c>
      <c r="O30" t="inlineStr">
        <is>
          <t>True</t>
        </is>
      </c>
    </row>
    <row r="31">
      <c r="A31" t="inlineStr">
        <is>
          <t>ASTRAMICRO</t>
        </is>
      </c>
      <c r="B31" t="n">
        <v>-67.49075610396893</v>
      </c>
      <c r="C31" t="n">
        <v>1.932399229696521</v>
      </c>
      <c r="D31" s="20" t="n">
        <v>45657</v>
      </c>
      <c r="E31" t="n">
        <v>749</v>
      </c>
      <c r="F31" t="n">
        <v>769.5</v>
      </c>
      <c r="G31" t="n">
        <v>747.3</v>
      </c>
      <c r="H31" t="n">
        <v>767.5</v>
      </c>
      <c r="I31" t="n">
        <v>92185</v>
      </c>
      <c r="J31" t="n">
        <v>283565.5</v>
      </c>
      <c r="L31" t="inlineStr">
        <is>
          <t>Bear</t>
        </is>
      </c>
      <c r="M31" t="n">
        <v>1</v>
      </c>
      <c r="N31" s="20" t="n">
        <v>45656</v>
      </c>
      <c r="O31" t="inlineStr">
        <is>
          <t>False</t>
        </is>
      </c>
    </row>
    <row r="32">
      <c r="A32" t="inlineStr">
        <is>
          <t>ASTRAL</t>
        </is>
      </c>
      <c r="B32" t="n">
        <v>16.5194862931222</v>
      </c>
      <c r="C32" t="n">
        <v>-0.5088215812609167</v>
      </c>
      <c r="D32" s="20" t="n">
        <v>45657</v>
      </c>
      <c r="E32" t="n">
        <v>1660.7</v>
      </c>
      <c r="F32" t="n">
        <v>1662.05</v>
      </c>
      <c r="G32" t="n">
        <v>1632.2</v>
      </c>
      <c r="H32" t="n">
        <v>1652.25</v>
      </c>
      <c r="I32" t="n">
        <v>424069</v>
      </c>
      <c r="J32" t="n">
        <v>363946.85</v>
      </c>
      <c r="L32" t="inlineStr">
        <is>
          <t>Bear</t>
        </is>
      </c>
      <c r="M32" t="n">
        <v>102</v>
      </c>
      <c r="N32" s="20" t="n">
        <v>45506</v>
      </c>
      <c r="O32" t="inlineStr">
        <is>
          <t>True</t>
        </is>
      </c>
    </row>
    <row r="33">
      <c r="A33" t="inlineStr">
        <is>
          <t>AUROPHARMA</t>
        </is>
      </c>
      <c r="B33" t="n">
        <v>121.3118876545201</v>
      </c>
      <c r="C33" t="n">
        <v>2.788261572826007</v>
      </c>
      <c r="D33" s="20" t="n">
        <v>45657</v>
      </c>
      <c r="E33" t="n">
        <v>1302</v>
      </c>
      <c r="F33" t="n">
        <v>1340.85</v>
      </c>
      <c r="G33" t="n">
        <v>1296.35</v>
      </c>
      <c r="H33" t="n">
        <v>1334.5</v>
      </c>
      <c r="I33" t="n">
        <v>2558819</v>
      </c>
      <c r="J33" t="n">
        <v>1156204.95</v>
      </c>
      <c r="L33" t="inlineStr">
        <is>
          <t>Bear</t>
        </is>
      </c>
      <c r="M33" t="n">
        <v>45</v>
      </c>
      <c r="N33" s="20" t="n">
        <v>45589</v>
      </c>
      <c r="O33" t="inlineStr">
        <is>
          <t>True</t>
        </is>
      </c>
    </row>
    <row r="34">
      <c r="A34" t="inlineStr">
        <is>
          <t>AIIL</t>
        </is>
      </c>
      <c r="B34" t="n">
        <v>-77.19737644099408</v>
      </c>
      <c r="C34" t="n">
        <v>-0.1255731098326718</v>
      </c>
      <c r="D34" s="20" t="n">
        <v>45657</v>
      </c>
      <c r="E34" t="n">
        <v>1702.1</v>
      </c>
      <c r="F34" t="n">
        <v>1720.05</v>
      </c>
      <c r="G34" t="n">
        <v>1684.25</v>
      </c>
      <c r="H34" t="n">
        <v>1710</v>
      </c>
      <c r="I34" t="n">
        <v>12514</v>
      </c>
      <c r="J34" t="n">
        <v>54879.65</v>
      </c>
      <c r="L34" t="inlineStr">
        <is>
          <t>No Signal</t>
        </is>
      </c>
      <c r="M34" t="n">
        <v>0</v>
      </c>
      <c r="N34" s="20" t="n">
        <v>45657.73344086805</v>
      </c>
    </row>
    <row r="35">
      <c r="A35" t="inlineStr">
        <is>
          <t>AVTNPL</t>
        </is>
      </c>
      <c r="B35" t="n">
        <v>-17.7685906052403</v>
      </c>
      <c r="C35" t="n">
        <v>0.3728362183755009</v>
      </c>
      <c r="D35" s="20" t="n">
        <v>45657</v>
      </c>
      <c r="E35" t="n">
        <v>75</v>
      </c>
      <c r="F35" t="n">
        <v>76.09999999999999</v>
      </c>
      <c r="G35" t="n">
        <v>74.15000000000001</v>
      </c>
      <c r="H35" t="n">
        <v>75.38</v>
      </c>
      <c r="I35" t="n">
        <v>72769</v>
      </c>
      <c r="J35" t="n">
        <v>88492.95</v>
      </c>
      <c r="L35" t="inlineStr">
        <is>
          <t>Bear</t>
        </is>
      </c>
      <c r="M35" t="n">
        <v>59</v>
      </c>
      <c r="N35" s="20" t="n">
        <v>45569</v>
      </c>
      <c r="O35" t="inlineStr">
        <is>
          <t>False</t>
        </is>
      </c>
    </row>
    <row r="36">
      <c r="A36" t="inlineStr">
        <is>
          <t>AXISBANK</t>
        </is>
      </c>
      <c r="B36" t="n">
        <v>-30.20821800852053</v>
      </c>
      <c r="C36" t="n">
        <v>-0.4906771344455348</v>
      </c>
      <c r="D36" s="20" t="n">
        <v>45657</v>
      </c>
      <c r="E36" t="n">
        <v>1062</v>
      </c>
      <c r="F36" t="n">
        <v>1070.45</v>
      </c>
      <c r="G36" t="n">
        <v>1058.5</v>
      </c>
      <c r="H36" t="n">
        <v>1064.7</v>
      </c>
      <c r="I36" t="n">
        <v>5292136</v>
      </c>
      <c r="J36" t="n">
        <v>7582749.5</v>
      </c>
      <c r="L36" t="inlineStr">
        <is>
          <t>Bear</t>
        </is>
      </c>
      <c r="M36" t="n">
        <v>55</v>
      </c>
      <c r="N36" s="20" t="n">
        <v>45575</v>
      </c>
      <c r="O36" t="inlineStr">
        <is>
          <t>True</t>
        </is>
      </c>
    </row>
    <row r="37">
      <c r="A37" t="inlineStr">
        <is>
          <t>BAJAJ-AUTO</t>
        </is>
      </c>
      <c r="B37" t="n">
        <v>-41.95090972065179</v>
      </c>
      <c r="C37" t="n">
        <v>0.2129864804838407</v>
      </c>
      <c r="D37" s="20" t="n">
        <v>45657</v>
      </c>
      <c r="E37" t="n">
        <v>8770</v>
      </c>
      <c r="F37" t="n">
        <v>8839.75</v>
      </c>
      <c r="G37" t="n">
        <v>8740.15</v>
      </c>
      <c r="H37" t="n">
        <v>8798.6</v>
      </c>
      <c r="I37" t="n">
        <v>294554</v>
      </c>
      <c r="J37" t="n">
        <v>507422.25</v>
      </c>
      <c r="L37" t="inlineStr">
        <is>
          <t>Bear</t>
        </is>
      </c>
      <c r="M37" t="n">
        <v>44</v>
      </c>
      <c r="N37" s="20" t="n">
        <v>45590</v>
      </c>
      <c r="O37" t="inlineStr">
        <is>
          <t>True</t>
        </is>
      </c>
    </row>
    <row r="38">
      <c r="A38" t="inlineStr">
        <is>
          <t>BAJAJCON</t>
        </is>
      </c>
      <c r="B38" t="n">
        <v>-63.22117025322009</v>
      </c>
      <c r="C38" t="n">
        <v>0.2538844318066416</v>
      </c>
      <c r="D38" s="20" t="n">
        <v>45657</v>
      </c>
      <c r="E38" t="n">
        <v>196</v>
      </c>
      <c r="F38" t="n">
        <v>198.54</v>
      </c>
      <c r="G38" t="n">
        <v>195.21</v>
      </c>
      <c r="H38" t="n">
        <v>197.44</v>
      </c>
      <c r="I38" t="n">
        <v>207460</v>
      </c>
      <c r="J38" t="n">
        <v>564074.5</v>
      </c>
      <c r="L38" t="inlineStr">
        <is>
          <t>Bear</t>
        </is>
      </c>
      <c r="M38" t="n">
        <v>70</v>
      </c>
      <c r="N38" s="20" t="n">
        <v>45553</v>
      </c>
      <c r="O38" t="inlineStr">
        <is>
          <t>True</t>
        </is>
      </c>
    </row>
    <row r="39">
      <c r="A39" t="inlineStr">
        <is>
          <t>BAJFINANCE</t>
        </is>
      </c>
      <c r="B39" t="n">
        <v>-39.12870981377667</v>
      </c>
      <c r="C39" t="n">
        <v>-0.947265270569448</v>
      </c>
      <c r="D39" s="20" t="n">
        <v>45657</v>
      </c>
      <c r="E39" t="n">
        <v>6869.95</v>
      </c>
      <c r="F39" t="n">
        <v>6877</v>
      </c>
      <c r="G39" t="n">
        <v>6792</v>
      </c>
      <c r="H39" t="n">
        <v>6823</v>
      </c>
      <c r="I39" t="n">
        <v>615398</v>
      </c>
      <c r="J39" t="n">
        <v>1010982.35</v>
      </c>
      <c r="L39" t="inlineStr">
        <is>
          <t>Bull</t>
        </is>
      </c>
      <c r="M39" t="n">
        <v>9</v>
      </c>
      <c r="N39" s="20" t="n">
        <v>45643</v>
      </c>
      <c r="O39" t="inlineStr">
        <is>
          <t>True</t>
        </is>
      </c>
    </row>
    <row r="40">
      <c r="A40" t="inlineStr">
        <is>
          <t>BAJAJFINSV</t>
        </is>
      </c>
      <c r="B40" t="n">
        <v>-18.82139638652228</v>
      </c>
      <c r="C40" t="n">
        <v>-0.5454430138897784</v>
      </c>
      <c r="D40" s="20" t="n">
        <v>45657</v>
      </c>
      <c r="E40" t="n">
        <v>1569.95</v>
      </c>
      <c r="F40" t="n">
        <v>1575.95</v>
      </c>
      <c r="G40" t="n">
        <v>1560</v>
      </c>
      <c r="H40" t="n">
        <v>1568.1</v>
      </c>
      <c r="I40" t="n">
        <v>1041557</v>
      </c>
      <c r="J40" t="n">
        <v>1283043.75</v>
      </c>
      <c r="L40" t="inlineStr">
        <is>
          <t>Bear</t>
        </is>
      </c>
      <c r="M40" t="n">
        <v>41</v>
      </c>
      <c r="N40" s="20" t="n">
        <v>45595</v>
      </c>
      <c r="O40" t="inlineStr">
        <is>
          <t>True</t>
        </is>
      </c>
    </row>
    <row r="41">
      <c r="A41" t="inlineStr">
        <is>
          <t>BAJAJHLDNG</t>
        </is>
      </c>
      <c r="B41" t="n">
        <v>91.47392387508624</v>
      </c>
      <c r="C41" t="n">
        <v>-5.890759096810965</v>
      </c>
      <c r="D41" s="20" t="n">
        <v>45657</v>
      </c>
      <c r="E41" t="n">
        <v>12488</v>
      </c>
      <c r="F41" t="n">
        <v>12488</v>
      </c>
      <c r="G41" t="n">
        <v>11650.05</v>
      </c>
      <c r="H41" t="n">
        <v>11886.75</v>
      </c>
      <c r="I41" t="n">
        <v>187495</v>
      </c>
      <c r="J41" t="n">
        <v>97921.95</v>
      </c>
      <c r="L41" t="inlineStr">
        <is>
          <t>Bull</t>
        </is>
      </c>
      <c r="M41" t="n">
        <v>134</v>
      </c>
      <c r="N41" s="20" t="n">
        <v>45461</v>
      </c>
      <c r="O41" t="inlineStr">
        <is>
          <t>True</t>
        </is>
      </c>
    </row>
    <row r="42">
      <c r="A42" t="inlineStr">
        <is>
          <t>BALAMINES</t>
        </is>
      </c>
      <c r="B42" t="n">
        <v>356.6196757458573</v>
      </c>
      <c r="C42" t="n">
        <v>2.451331746896413</v>
      </c>
      <c r="D42" s="20" t="n">
        <v>45657</v>
      </c>
      <c r="E42" t="n">
        <v>1751.2</v>
      </c>
      <c r="F42" t="n">
        <v>1809.4</v>
      </c>
      <c r="G42" t="n">
        <v>1711.4</v>
      </c>
      <c r="H42" t="n">
        <v>1786.7</v>
      </c>
      <c r="I42" t="n">
        <v>244776</v>
      </c>
      <c r="J42" t="n">
        <v>53606.1</v>
      </c>
      <c r="L42" t="inlineStr">
        <is>
          <t>Bear</t>
        </is>
      </c>
      <c r="M42" t="n">
        <v>56</v>
      </c>
      <c r="N42" s="20" t="n">
        <v>45574</v>
      </c>
      <c r="O42" t="inlineStr">
        <is>
          <t>False</t>
        </is>
      </c>
    </row>
    <row r="43">
      <c r="A43" t="inlineStr">
        <is>
          <t>BALKRISIND</t>
        </is>
      </c>
      <c r="B43" t="n">
        <v>24.49471971553418</v>
      </c>
      <c r="C43" t="n">
        <v>2.064007014467335</v>
      </c>
      <c r="D43" s="20" t="n">
        <v>45657</v>
      </c>
      <c r="E43" t="n">
        <v>2858</v>
      </c>
      <c r="F43" t="n">
        <v>2916.95</v>
      </c>
      <c r="G43" t="n">
        <v>2832.25</v>
      </c>
      <c r="H43" t="n">
        <v>2910.1</v>
      </c>
      <c r="I43" t="n">
        <v>243400</v>
      </c>
      <c r="J43" t="n">
        <v>195510.3</v>
      </c>
      <c r="L43" t="inlineStr">
        <is>
          <t>Bear</t>
        </is>
      </c>
      <c r="M43" t="n">
        <v>58</v>
      </c>
      <c r="N43" s="20" t="n">
        <v>45572</v>
      </c>
      <c r="O43" t="inlineStr">
        <is>
          <t>True</t>
        </is>
      </c>
    </row>
    <row r="44">
      <c r="A44" t="inlineStr">
        <is>
          <t>BALRAMCHIN</t>
        </is>
      </c>
      <c r="B44" t="n">
        <v>-9.62917995145148</v>
      </c>
      <c r="C44" t="n">
        <v>2.43619489559163</v>
      </c>
      <c r="D44" s="20" t="n">
        <v>45657</v>
      </c>
      <c r="E44" t="n">
        <v>517</v>
      </c>
      <c r="F44" t="n">
        <v>532</v>
      </c>
      <c r="G44" t="n">
        <v>513.3</v>
      </c>
      <c r="H44" t="n">
        <v>529.8</v>
      </c>
      <c r="I44" t="n">
        <v>540380</v>
      </c>
      <c r="J44" t="n">
        <v>597958.5</v>
      </c>
      <c r="L44" t="inlineStr">
        <is>
          <t>Bear</t>
        </is>
      </c>
      <c r="M44" t="n">
        <v>30</v>
      </c>
      <c r="N44" s="20" t="n">
        <v>45610</v>
      </c>
      <c r="O44" t="inlineStr">
        <is>
          <t>True</t>
        </is>
      </c>
    </row>
    <row r="45">
      <c r="A45" t="inlineStr">
        <is>
          <t>BALUFORGE</t>
        </is>
      </c>
      <c r="B45" t="n">
        <v>-62.35529668293862</v>
      </c>
      <c r="C45" t="n">
        <v>0.4188348775225369</v>
      </c>
      <c r="D45" s="20" t="n">
        <v>45657</v>
      </c>
      <c r="E45" t="n">
        <v>782.05</v>
      </c>
      <c r="F45" t="n">
        <v>795</v>
      </c>
      <c r="G45" t="n">
        <v>762.45</v>
      </c>
      <c r="H45" t="n">
        <v>791.2</v>
      </c>
      <c r="I45" t="n">
        <v>251644</v>
      </c>
      <c r="J45" t="n">
        <v>668471.2</v>
      </c>
      <c r="L45" t="inlineStr">
        <is>
          <t>No Signal</t>
        </is>
      </c>
      <c r="M45" t="n">
        <v>0</v>
      </c>
      <c r="N45" s="20" t="n">
        <v>45657.7335875463</v>
      </c>
    </row>
    <row r="46">
      <c r="A46" t="inlineStr">
        <is>
          <t>BANKBARODA</t>
        </is>
      </c>
      <c r="B46" t="n">
        <v>0.6013236247146536</v>
      </c>
      <c r="C46" t="n">
        <v>-0.1867219917012401</v>
      </c>
      <c r="D46" s="20" t="n">
        <v>45657</v>
      </c>
      <c r="E46" t="n">
        <v>240</v>
      </c>
      <c r="F46" t="n">
        <v>241.9</v>
      </c>
      <c r="G46" t="n">
        <v>238.06</v>
      </c>
      <c r="H46" t="n">
        <v>240.55</v>
      </c>
      <c r="I46" t="n">
        <v>11001016</v>
      </c>
      <c r="J46" t="n">
        <v>10935259.7</v>
      </c>
      <c r="L46" t="inlineStr">
        <is>
          <t>Bear</t>
        </is>
      </c>
      <c r="M46" t="n">
        <v>1</v>
      </c>
      <c r="N46" s="20" t="n">
        <v>45656</v>
      </c>
      <c r="O46" t="inlineStr">
        <is>
          <t>False</t>
        </is>
      </c>
    </row>
    <row r="47">
      <c r="A47" t="inlineStr">
        <is>
          <t>MAHABANK</t>
        </is>
      </c>
      <c r="B47" t="n">
        <v>-51.5983116807161</v>
      </c>
      <c r="C47" t="n">
        <v>2.133072407045002</v>
      </c>
      <c r="D47" s="20" t="n">
        <v>45657</v>
      </c>
      <c r="E47" t="n">
        <v>51.1</v>
      </c>
      <c r="F47" t="n">
        <v>52.35</v>
      </c>
      <c r="G47" t="n">
        <v>50.91</v>
      </c>
      <c r="H47" t="n">
        <v>52.19</v>
      </c>
      <c r="I47" t="n">
        <v>7836741</v>
      </c>
      <c r="J47" t="n">
        <v>16191048.85</v>
      </c>
      <c r="L47" t="inlineStr">
        <is>
          <t>Bear</t>
        </is>
      </c>
      <c r="M47" t="n">
        <v>5</v>
      </c>
      <c r="N47" s="20" t="n">
        <v>45649</v>
      </c>
      <c r="O47" t="inlineStr">
        <is>
          <t>False</t>
        </is>
      </c>
    </row>
    <row r="48">
      <c r="A48" t="inlineStr">
        <is>
          <t>BATAINDIA</t>
        </is>
      </c>
      <c r="B48" t="n">
        <v>-29.79286815015942</v>
      </c>
      <c r="C48" t="n">
        <v>-1.007991936064511</v>
      </c>
      <c r="D48" s="20" t="n">
        <v>45657</v>
      </c>
      <c r="E48" t="n">
        <v>1375</v>
      </c>
      <c r="F48" t="n">
        <v>1389.9</v>
      </c>
      <c r="G48" t="n">
        <v>1366.85</v>
      </c>
      <c r="H48" t="n">
        <v>1374.9</v>
      </c>
      <c r="I48" t="n">
        <v>193306</v>
      </c>
      <c r="J48" t="n">
        <v>275336.7</v>
      </c>
      <c r="L48" t="inlineStr">
        <is>
          <t>Bear</t>
        </is>
      </c>
      <c r="M48" t="n">
        <v>3</v>
      </c>
      <c r="N48" s="20" t="n">
        <v>45652</v>
      </c>
      <c r="O48" t="inlineStr">
        <is>
          <t>False</t>
        </is>
      </c>
    </row>
    <row r="49">
      <c r="A49" t="inlineStr">
        <is>
          <t>BAYERCROP</t>
        </is>
      </c>
      <c r="B49" t="n">
        <v>97.95257883158152</v>
      </c>
      <c r="C49" t="n">
        <v>1.340940209949791</v>
      </c>
      <c r="D49" s="20" t="n">
        <v>45657</v>
      </c>
      <c r="E49" t="n">
        <v>5489.05</v>
      </c>
      <c r="F49" t="n">
        <v>5590</v>
      </c>
      <c r="G49" t="n">
        <v>5412.45</v>
      </c>
      <c r="H49" t="n">
        <v>5550.95</v>
      </c>
      <c r="I49" t="n">
        <v>50614</v>
      </c>
      <c r="J49" t="n">
        <v>25568.75</v>
      </c>
      <c r="L49" t="inlineStr">
        <is>
          <t>Bear</t>
        </is>
      </c>
      <c r="M49" t="n">
        <v>30</v>
      </c>
      <c r="N49" s="20" t="n">
        <v>45610</v>
      </c>
      <c r="O49" t="inlineStr">
        <is>
          <t>False</t>
        </is>
      </c>
    </row>
    <row r="50">
      <c r="A50" t="inlineStr">
        <is>
          <t>BERGEPAINT</t>
        </is>
      </c>
      <c r="B50" t="n">
        <v>-57.06756459397256</v>
      </c>
      <c r="C50" t="n">
        <v>0.06692693809258481</v>
      </c>
      <c r="D50" s="20" t="n">
        <v>45657</v>
      </c>
      <c r="E50" t="n">
        <v>447.5</v>
      </c>
      <c r="F50" t="n">
        <v>450.1</v>
      </c>
      <c r="G50" t="n">
        <v>444.6</v>
      </c>
      <c r="H50" t="n">
        <v>448.55</v>
      </c>
      <c r="I50" t="n">
        <v>525227</v>
      </c>
      <c r="J50" t="n">
        <v>1223380.4</v>
      </c>
      <c r="L50" t="inlineStr">
        <is>
          <t>Bear</t>
        </is>
      </c>
      <c r="M50" t="n">
        <v>47</v>
      </c>
      <c r="N50" s="20" t="n">
        <v>45587</v>
      </c>
      <c r="O50" t="inlineStr">
        <is>
          <t>False</t>
        </is>
      </c>
    </row>
    <row r="51">
      <c r="A51" t="inlineStr">
        <is>
          <t>BEPL</t>
        </is>
      </c>
      <c r="B51" t="n">
        <v>-60.67560956045956</v>
      </c>
      <c r="C51" t="n">
        <v>2.987208427389013</v>
      </c>
      <c r="D51" s="20" t="n">
        <v>45657</v>
      </c>
      <c r="E51" t="n">
        <v>132.85</v>
      </c>
      <c r="F51" t="n">
        <v>137.4</v>
      </c>
      <c r="G51" t="n">
        <v>132.31</v>
      </c>
      <c r="H51" t="n">
        <v>136.87</v>
      </c>
      <c r="I51" t="n">
        <v>413778</v>
      </c>
      <c r="J51" t="n">
        <v>1052217.2</v>
      </c>
      <c r="L51" t="inlineStr">
        <is>
          <t>Bull</t>
        </is>
      </c>
      <c r="M51" t="n">
        <v>10</v>
      </c>
      <c r="N51" s="20" t="n">
        <v>45642</v>
      </c>
      <c r="O51" t="inlineStr">
        <is>
          <t>True</t>
        </is>
      </c>
    </row>
    <row r="52">
      <c r="A52" t="inlineStr">
        <is>
          <t>BHARATFORG</t>
        </is>
      </c>
      <c r="B52" t="n">
        <v>-51.30703556023898</v>
      </c>
      <c r="C52" t="n">
        <v>-0.2188351825546059</v>
      </c>
      <c r="D52" s="20" t="n">
        <v>45657</v>
      </c>
      <c r="E52" t="n">
        <v>1301</v>
      </c>
      <c r="F52" t="n">
        <v>1312.65</v>
      </c>
      <c r="G52" t="n">
        <v>1278.85</v>
      </c>
      <c r="H52" t="n">
        <v>1299.5</v>
      </c>
      <c r="I52" t="n">
        <v>558405</v>
      </c>
      <c r="J52" t="n">
        <v>1146787.85</v>
      </c>
      <c r="L52" t="inlineStr">
        <is>
          <t>Bear</t>
        </is>
      </c>
      <c r="M52" t="n">
        <v>82</v>
      </c>
      <c r="N52" s="20" t="n">
        <v>45537</v>
      </c>
      <c r="O52" t="inlineStr">
        <is>
          <t>True</t>
        </is>
      </c>
    </row>
    <row r="53">
      <c r="A53" t="inlineStr">
        <is>
          <t>BHARATRAS</t>
        </is>
      </c>
      <c r="B53" t="n">
        <v>-2.441908591024653</v>
      </c>
      <c r="C53" t="n">
        <v>2.151183751952883</v>
      </c>
      <c r="D53" s="20" t="n">
        <v>45657</v>
      </c>
      <c r="E53" t="n">
        <v>9955</v>
      </c>
      <c r="F53" t="n">
        <v>10200</v>
      </c>
      <c r="G53" t="n">
        <v>9856.85</v>
      </c>
      <c r="H53" t="n">
        <v>10200</v>
      </c>
      <c r="I53" t="n">
        <v>3300</v>
      </c>
      <c r="J53" t="n">
        <v>3382.6</v>
      </c>
      <c r="L53" t="inlineStr">
        <is>
          <t>Bear</t>
        </is>
      </c>
      <c r="M53" t="n">
        <v>13</v>
      </c>
      <c r="N53" s="20" t="n">
        <v>45637</v>
      </c>
      <c r="O53" t="inlineStr">
        <is>
          <t>True</t>
        </is>
      </c>
    </row>
    <row r="54">
      <c r="A54" t="inlineStr">
        <is>
          <t>BHARATWIRE</t>
        </is>
      </c>
      <c r="B54" t="n">
        <v>-17.69344185500973</v>
      </c>
      <c r="C54" t="n">
        <v>-1.515151515151511</v>
      </c>
      <c r="D54" s="20" t="n">
        <v>45657</v>
      </c>
      <c r="E54" t="n">
        <v>214.2</v>
      </c>
      <c r="F54" t="n">
        <v>215.14</v>
      </c>
      <c r="G54" t="n">
        <v>211.1</v>
      </c>
      <c r="H54" t="n">
        <v>211.9</v>
      </c>
      <c r="I54" t="n">
        <v>57191</v>
      </c>
      <c r="J54" t="n">
        <v>69485.35000000001</v>
      </c>
      <c r="L54" t="inlineStr">
        <is>
          <t>Bear</t>
        </is>
      </c>
      <c r="M54" t="n">
        <v>58</v>
      </c>
      <c r="N54" s="20" t="n">
        <v>45572</v>
      </c>
      <c r="O54" t="inlineStr">
        <is>
          <t>False</t>
        </is>
      </c>
    </row>
    <row r="55">
      <c r="A55" t="inlineStr">
        <is>
          <t>BHARTIARTL</t>
        </is>
      </c>
      <c r="B55" t="n">
        <v>-65.91422588932656</v>
      </c>
      <c r="C55" t="n">
        <v>0.05356355157854364</v>
      </c>
      <c r="D55" s="20" t="n">
        <v>45657</v>
      </c>
      <c r="E55" t="n">
        <v>1583</v>
      </c>
      <c r="F55" t="n">
        <v>1597.2</v>
      </c>
      <c r="G55" t="n">
        <v>1563.35</v>
      </c>
      <c r="H55" t="n">
        <v>1587.75</v>
      </c>
      <c r="I55" t="n">
        <v>2249626</v>
      </c>
      <c r="J55" t="n">
        <v>6599897.05</v>
      </c>
      <c r="L55" t="inlineStr">
        <is>
          <t>Bear</t>
        </is>
      </c>
      <c r="M55" t="n">
        <v>4</v>
      </c>
      <c r="N55" s="20" t="n">
        <v>45650</v>
      </c>
      <c r="O55" t="inlineStr">
        <is>
          <t>True</t>
        </is>
      </c>
    </row>
    <row r="56">
      <c r="A56" t="inlineStr">
        <is>
          <t>BLS</t>
        </is>
      </c>
      <c r="B56" t="n">
        <v>-50.87559131371575</v>
      </c>
      <c r="C56" t="n">
        <v>2.897315722198556</v>
      </c>
      <c r="D56" s="20" t="n">
        <v>45657</v>
      </c>
      <c r="E56" t="n">
        <v>470</v>
      </c>
      <c r="F56" t="n">
        <v>484.9</v>
      </c>
      <c r="G56" t="n">
        <v>464.05</v>
      </c>
      <c r="H56" t="n">
        <v>483</v>
      </c>
      <c r="I56" t="n">
        <v>2079478</v>
      </c>
      <c r="J56" t="n">
        <v>4233085.05</v>
      </c>
      <c r="L56" t="inlineStr">
        <is>
          <t>Bull</t>
        </is>
      </c>
      <c r="M56" t="n">
        <v>37</v>
      </c>
      <c r="N56" s="20" t="n">
        <v>45601</v>
      </c>
      <c r="O56" t="inlineStr">
        <is>
          <t>True</t>
        </is>
      </c>
    </row>
    <row r="57">
      <c r="A57" t="inlineStr">
        <is>
          <t>BLUEDART</t>
        </is>
      </c>
      <c r="B57" t="n">
        <v>155.9793880938092</v>
      </c>
      <c r="C57" t="n">
        <v>4.799687140418291</v>
      </c>
      <c r="D57" s="20" t="n">
        <v>45657</v>
      </c>
      <c r="E57" t="n">
        <v>6625.95</v>
      </c>
      <c r="F57" t="n">
        <v>7030</v>
      </c>
      <c r="G57" t="n">
        <v>6464</v>
      </c>
      <c r="H57" t="n">
        <v>6967.45</v>
      </c>
      <c r="I57" t="n">
        <v>65473</v>
      </c>
      <c r="J57" t="n">
        <v>25577.45</v>
      </c>
      <c r="L57" t="inlineStr">
        <is>
          <t>Bear</t>
        </is>
      </c>
      <c r="M57" t="n">
        <v>44</v>
      </c>
      <c r="N57" s="20" t="n">
        <v>45590</v>
      </c>
      <c r="O57" t="inlineStr">
        <is>
          <t>True</t>
        </is>
      </c>
    </row>
    <row r="58">
      <c r="A58" t="inlineStr">
        <is>
          <t>BLUESTARCO</t>
        </is>
      </c>
      <c r="B58" t="n">
        <v>-13.17515722803212</v>
      </c>
      <c r="C58" t="n">
        <v>-0.2511324430257896</v>
      </c>
      <c r="D58" s="20" t="n">
        <v>45657</v>
      </c>
      <c r="E58" t="n">
        <v>2134</v>
      </c>
      <c r="F58" t="n">
        <v>2169.9</v>
      </c>
      <c r="G58" t="n">
        <v>2085.55</v>
      </c>
      <c r="H58" t="n">
        <v>2125</v>
      </c>
      <c r="I58" t="n">
        <v>327247</v>
      </c>
      <c r="J58" t="n">
        <v>376904.8</v>
      </c>
      <c r="L58" t="inlineStr">
        <is>
          <t>Bull</t>
        </is>
      </c>
      <c r="M58" t="n">
        <v>16</v>
      </c>
      <c r="N58" s="20" t="n">
        <v>45632</v>
      </c>
      <c r="O58" t="inlineStr">
        <is>
          <t>True</t>
        </is>
      </c>
    </row>
    <row r="59">
      <c r="A59" t="inlineStr">
        <is>
          <t>BBTC</t>
        </is>
      </c>
      <c r="B59" t="n">
        <v>95.47441361547861</v>
      </c>
      <c r="C59" t="n">
        <v>-0.3922029121653315</v>
      </c>
      <c r="D59" s="20" t="n">
        <v>45657</v>
      </c>
      <c r="E59" t="n">
        <v>2090</v>
      </c>
      <c r="F59" t="n">
        <v>2147.95</v>
      </c>
      <c r="G59" t="n">
        <v>2011</v>
      </c>
      <c r="H59" t="n">
        <v>2120.65</v>
      </c>
      <c r="I59" t="n">
        <v>136309</v>
      </c>
      <c r="J59" t="n">
        <v>69732.39999999999</v>
      </c>
      <c r="L59" t="inlineStr">
        <is>
          <t>Bear</t>
        </is>
      </c>
      <c r="M59" t="n">
        <v>25</v>
      </c>
      <c r="N59" s="20" t="n">
        <v>45621</v>
      </c>
      <c r="O59" t="inlineStr">
        <is>
          <t>True</t>
        </is>
      </c>
    </row>
    <row r="60">
      <c r="A60" t="inlineStr">
        <is>
          <t>BOROLTD</t>
        </is>
      </c>
      <c r="B60" t="n">
        <v>-34.5049746253511</v>
      </c>
      <c r="C60" t="n">
        <v>1.263921912151173</v>
      </c>
      <c r="D60" s="20" t="n">
        <v>45657</v>
      </c>
      <c r="E60" t="n">
        <v>398.4</v>
      </c>
      <c r="F60" t="n">
        <v>409</v>
      </c>
      <c r="G60" t="n">
        <v>393.75</v>
      </c>
      <c r="H60" t="n">
        <v>404.6</v>
      </c>
      <c r="I60" t="n">
        <v>117370</v>
      </c>
      <c r="J60" t="n">
        <v>179204.45</v>
      </c>
      <c r="L60" t="inlineStr">
        <is>
          <t>Bear</t>
        </is>
      </c>
      <c r="M60" t="n">
        <v>5</v>
      </c>
      <c r="N60" s="20" t="n">
        <v>45649</v>
      </c>
      <c r="O60" t="inlineStr">
        <is>
          <t>True</t>
        </is>
      </c>
    </row>
    <row r="61">
      <c r="A61" t="inlineStr">
        <is>
          <t>BRITANNIA</t>
        </is>
      </c>
      <c r="B61" t="n">
        <v>-17.49215722844732</v>
      </c>
      <c r="C61" t="n">
        <v>-0.7646709518798991</v>
      </c>
      <c r="D61" s="20" t="n">
        <v>45657</v>
      </c>
      <c r="E61" t="n">
        <v>4795</v>
      </c>
      <c r="F61" t="n">
        <v>4795</v>
      </c>
      <c r="G61" t="n">
        <v>4741.2</v>
      </c>
      <c r="H61" t="n">
        <v>4762.75</v>
      </c>
      <c r="I61" t="n">
        <v>255918</v>
      </c>
      <c r="J61" t="n">
        <v>310174.15</v>
      </c>
      <c r="L61" t="inlineStr">
        <is>
          <t>Bear</t>
        </is>
      </c>
      <c r="M61" t="n">
        <v>45</v>
      </c>
      <c r="N61" s="20" t="n">
        <v>45589</v>
      </c>
      <c r="O61" t="inlineStr">
        <is>
          <t>True</t>
        </is>
      </c>
    </row>
    <row r="62">
      <c r="A62" t="inlineStr">
        <is>
          <t>CAMS</t>
        </is>
      </c>
      <c r="B62" t="n">
        <v>-2.013804507133999</v>
      </c>
      <c r="C62" t="n">
        <v>0.0630889949134462</v>
      </c>
      <c r="D62" s="20" t="n">
        <v>45657</v>
      </c>
      <c r="E62" t="n">
        <v>5066.95</v>
      </c>
      <c r="F62" t="n">
        <v>5099.9</v>
      </c>
      <c r="G62" t="n">
        <v>4863.6</v>
      </c>
      <c r="H62" t="n">
        <v>5075.4</v>
      </c>
      <c r="I62" t="n">
        <v>391107</v>
      </c>
      <c r="J62" t="n">
        <v>399145</v>
      </c>
      <c r="L62" t="inlineStr">
        <is>
          <t>Bull</t>
        </is>
      </c>
      <c r="M62" t="n">
        <v>279</v>
      </c>
      <c r="N62" s="20" t="n">
        <v>45245</v>
      </c>
    </row>
    <row r="63">
      <c r="A63" t="inlineStr">
        <is>
          <t>CAPLIPOINT</t>
        </is>
      </c>
      <c r="B63" t="n">
        <v>-55.96634604068441</v>
      </c>
      <c r="C63" t="n">
        <v>-1.475513179149751</v>
      </c>
      <c r="D63" s="20" t="n">
        <v>45657</v>
      </c>
      <c r="E63" t="n">
        <v>2533</v>
      </c>
      <c r="F63" t="n">
        <v>2533</v>
      </c>
      <c r="G63" t="n">
        <v>2464</v>
      </c>
      <c r="H63" t="n">
        <v>2500.65</v>
      </c>
      <c r="I63" t="n">
        <v>108505</v>
      </c>
      <c r="J63" t="n">
        <v>246413.8</v>
      </c>
      <c r="L63" t="inlineStr">
        <is>
          <t>Bull</t>
        </is>
      </c>
      <c r="M63" t="n">
        <v>138</v>
      </c>
      <c r="N63" s="20" t="n">
        <v>45454</v>
      </c>
      <c r="O63" t="inlineStr">
        <is>
          <t>True</t>
        </is>
      </c>
    </row>
    <row r="64">
      <c r="A64" t="inlineStr">
        <is>
          <t>CARBORUNIV</t>
        </is>
      </c>
      <c r="B64" t="n">
        <v>34.65104802958467</v>
      </c>
      <c r="C64" t="n">
        <v>1.757385392230936</v>
      </c>
      <c r="D64" s="20" t="n">
        <v>45657</v>
      </c>
      <c r="E64" t="n">
        <v>1259</v>
      </c>
      <c r="F64" t="n">
        <v>1290.4</v>
      </c>
      <c r="G64" t="n">
        <v>1258.95</v>
      </c>
      <c r="H64" t="n">
        <v>1279.65</v>
      </c>
      <c r="I64" t="n">
        <v>215972</v>
      </c>
      <c r="J64" t="n">
        <v>160393.85</v>
      </c>
      <c r="L64" t="inlineStr">
        <is>
          <t>Bear</t>
        </is>
      </c>
      <c r="M64" t="n">
        <v>96</v>
      </c>
      <c r="N64" s="20" t="n">
        <v>45516</v>
      </c>
      <c r="O64" t="inlineStr">
        <is>
          <t>True</t>
        </is>
      </c>
    </row>
    <row r="65">
      <c r="A65" t="inlineStr">
        <is>
          <t>CARERATING</t>
        </is>
      </c>
      <c r="B65" t="n">
        <v>0.2622097901207201</v>
      </c>
      <c r="C65" t="n">
        <v>5.03216474439497</v>
      </c>
      <c r="D65" s="20" t="n">
        <v>45657</v>
      </c>
      <c r="E65" t="n">
        <v>1317</v>
      </c>
      <c r="F65" t="n">
        <v>1419.7</v>
      </c>
      <c r="G65" t="n">
        <v>1301.6</v>
      </c>
      <c r="H65" t="n">
        <v>1379.65</v>
      </c>
      <c r="I65" t="n">
        <v>62977</v>
      </c>
      <c r="J65" t="n">
        <v>62812.3</v>
      </c>
      <c r="L65" t="inlineStr">
        <is>
          <t>Bull</t>
        </is>
      </c>
      <c r="M65" t="n">
        <v>60</v>
      </c>
      <c r="N65" s="20" t="n">
        <v>45568</v>
      </c>
      <c r="O65" t="inlineStr">
        <is>
          <t>False</t>
        </is>
      </c>
    </row>
    <row r="66">
      <c r="A66" t="inlineStr">
        <is>
          <t>CARYSIL</t>
        </is>
      </c>
      <c r="B66" t="n">
        <v>-52.19220874226325</v>
      </c>
      <c r="C66" t="n">
        <v>-0.04662936317612879</v>
      </c>
      <c r="D66" s="20" t="n">
        <v>45657</v>
      </c>
      <c r="E66" t="n">
        <v>749</v>
      </c>
      <c r="F66" t="n">
        <v>759.85</v>
      </c>
      <c r="G66" t="n">
        <v>742.6</v>
      </c>
      <c r="H66" t="n">
        <v>750.25</v>
      </c>
      <c r="I66" t="n">
        <v>29147</v>
      </c>
      <c r="J66" t="n">
        <v>60967.05</v>
      </c>
      <c r="L66" t="inlineStr">
        <is>
          <t>Bear</t>
        </is>
      </c>
      <c r="M66" t="n">
        <v>64</v>
      </c>
      <c r="N66" s="20" t="n">
        <v>45561</v>
      </c>
      <c r="O66" t="inlineStr">
        <is>
          <t>False</t>
        </is>
      </c>
    </row>
    <row r="67">
      <c r="A67" t="inlineStr">
        <is>
          <t>CCL</t>
        </is>
      </c>
      <c r="B67" t="n">
        <v>-2.366837145697272</v>
      </c>
      <c r="C67" t="n">
        <v>0.8082042923118624</v>
      </c>
      <c r="D67" s="20" t="n">
        <v>45657</v>
      </c>
      <c r="E67" t="n">
        <v>736.2</v>
      </c>
      <c r="F67" t="n">
        <v>749.5</v>
      </c>
      <c r="G67" t="n">
        <v>722</v>
      </c>
      <c r="H67" t="n">
        <v>742.15</v>
      </c>
      <c r="I67" t="n">
        <v>167314</v>
      </c>
      <c r="J67" t="n">
        <v>171370.05</v>
      </c>
      <c r="L67" t="inlineStr">
        <is>
          <t>Bull</t>
        </is>
      </c>
      <c r="M67" t="n">
        <v>31</v>
      </c>
      <c r="N67" s="20" t="n">
        <v>45609</v>
      </c>
      <c r="O67" t="inlineStr">
        <is>
          <t>True</t>
        </is>
      </c>
    </row>
    <row r="68">
      <c r="A68" t="inlineStr">
        <is>
          <t>CEATLTD</t>
        </is>
      </c>
      <c r="B68" t="n">
        <v>-78.01399770160042</v>
      </c>
      <c r="C68" t="n">
        <v>-0.006181998021755011</v>
      </c>
      <c r="D68" s="20" t="n">
        <v>45657</v>
      </c>
      <c r="E68" t="n">
        <v>3249</v>
      </c>
      <c r="F68" t="n">
        <v>3257.85</v>
      </c>
      <c r="G68" t="n">
        <v>3161.2</v>
      </c>
      <c r="H68" t="n">
        <v>3235</v>
      </c>
      <c r="I68" t="n">
        <v>136389</v>
      </c>
      <c r="J68" t="n">
        <v>620344.7</v>
      </c>
      <c r="L68" t="inlineStr">
        <is>
          <t>Bull</t>
        </is>
      </c>
      <c r="M68" t="n">
        <v>21</v>
      </c>
      <c r="N68" s="20" t="n">
        <v>45625</v>
      </c>
      <c r="O68" t="inlineStr">
        <is>
          <t>True</t>
        </is>
      </c>
    </row>
    <row r="69">
      <c r="A69" t="inlineStr">
        <is>
          <t>CENTURYPLY</t>
        </is>
      </c>
      <c r="B69" t="n">
        <v>8.349817871558429</v>
      </c>
      <c r="C69" t="n">
        <v>3.873042505592831</v>
      </c>
      <c r="D69" s="20" t="n">
        <v>45657</v>
      </c>
      <c r="E69" t="n">
        <v>713.5</v>
      </c>
      <c r="F69" t="n">
        <v>744</v>
      </c>
      <c r="G69" t="n">
        <v>707.05</v>
      </c>
      <c r="H69" t="n">
        <v>742.9</v>
      </c>
      <c r="I69" t="n">
        <v>206359</v>
      </c>
      <c r="J69" t="n">
        <v>190456.25</v>
      </c>
      <c r="L69" t="inlineStr">
        <is>
          <t>Bear</t>
        </is>
      </c>
      <c r="M69" t="n">
        <v>31</v>
      </c>
      <c r="N69" s="20" t="n">
        <v>45609</v>
      </c>
      <c r="O69" t="inlineStr">
        <is>
          <t>True</t>
        </is>
      </c>
    </row>
    <row r="70">
      <c r="A70" t="inlineStr">
        <is>
          <t>CERA</t>
        </is>
      </c>
      <c r="B70" t="n">
        <v>-9.090438982516206</v>
      </c>
      <c r="C70" t="n">
        <v>-0.640212363125327</v>
      </c>
      <c r="D70" s="20" t="n">
        <v>45657</v>
      </c>
      <c r="E70" t="n">
        <v>7570.25</v>
      </c>
      <c r="F70" t="n">
        <v>7669.95</v>
      </c>
      <c r="G70" t="n">
        <v>7400</v>
      </c>
      <c r="H70" t="n">
        <v>7635.75</v>
      </c>
      <c r="I70" t="n">
        <v>17580</v>
      </c>
      <c r="J70" t="n">
        <v>19337.9</v>
      </c>
      <c r="L70" t="inlineStr">
        <is>
          <t>Bear</t>
        </is>
      </c>
      <c r="M70" t="n">
        <v>73</v>
      </c>
      <c r="N70" s="20" t="n">
        <v>45548</v>
      </c>
      <c r="O70" t="inlineStr">
        <is>
          <t>True</t>
        </is>
      </c>
    </row>
    <row r="71">
      <c r="A71" t="inlineStr">
        <is>
          <t>CHAMBLFERT</t>
        </is>
      </c>
      <c r="B71" t="n">
        <v>-59.88809757480895</v>
      </c>
      <c r="C71" t="n">
        <v>0.7341694707861662</v>
      </c>
      <c r="D71" s="20" t="n">
        <v>45657</v>
      </c>
      <c r="E71" t="n">
        <v>490.1</v>
      </c>
      <c r="F71" t="n">
        <v>496.45</v>
      </c>
      <c r="G71" t="n">
        <v>486.05</v>
      </c>
      <c r="H71" t="n">
        <v>493.95</v>
      </c>
      <c r="I71" t="n">
        <v>551783</v>
      </c>
      <c r="J71" t="n">
        <v>1375609.15</v>
      </c>
      <c r="L71" t="inlineStr">
        <is>
          <t>Bull</t>
        </is>
      </c>
      <c r="M71" t="n">
        <v>19</v>
      </c>
      <c r="N71" s="20" t="n">
        <v>45629</v>
      </c>
      <c r="O71" t="inlineStr">
        <is>
          <t>True</t>
        </is>
      </c>
    </row>
    <row r="72">
      <c r="A72" t="inlineStr">
        <is>
          <t>CHOLAHLDNG</t>
        </is>
      </c>
      <c r="B72" t="n">
        <v>-32.42941616619308</v>
      </c>
      <c r="C72" t="n">
        <v>-2.60739399846829</v>
      </c>
      <c r="D72" s="20" t="n">
        <v>45657</v>
      </c>
      <c r="E72" t="n">
        <v>1430</v>
      </c>
      <c r="F72" t="n">
        <v>1431.65</v>
      </c>
      <c r="G72" t="n">
        <v>1386.65</v>
      </c>
      <c r="H72" t="n">
        <v>1398.85</v>
      </c>
      <c r="I72" t="n">
        <v>175281</v>
      </c>
      <c r="J72" t="n">
        <v>259404.3</v>
      </c>
      <c r="L72" t="inlineStr">
        <is>
          <t>Bear</t>
        </is>
      </c>
      <c r="M72" t="n">
        <v>36</v>
      </c>
      <c r="N72" s="20" t="n">
        <v>45602</v>
      </c>
      <c r="O72" t="inlineStr">
        <is>
          <t>True</t>
        </is>
      </c>
    </row>
    <row r="73">
      <c r="A73" t="inlineStr">
        <is>
          <t>CHOLAFIN</t>
        </is>
      </c>
      <c r="B73" t="n">
        <v>-35.27920658947876</v>
      </c>
      <c r="C73" t="n">
        <v>-2.181623226657872</v>
      </c>
      <c r="D73" s="20" t="n">
        <v>45657</v>
      </c>
      <c r="E73" t="n">
        <v>1200</v>
      </c>
      <c r="F73" t="n">
        <v>1215</v>
      </c>
      <c r="G73" t="n">
        <v>1183</v>
      </c>
      <c r="H73" t="n">
        <v>1185.95</v>
      </c>
      <c r="I73" t="n">
        <v>1279758</v>
      </c>
      <c r="J73" t="n">
        <v>1977352.15</v>
      </c>
      <c r="L73" t="inlineStr">
        <is>
          <t>Bear</t>
        </is>
      </c>
      <c r="M73" t="n">
        <v>46</v>
      </c>
      <c r="N73" s="20" t="n">
        <v>45588</v>
      </c>
      <c r="O73" t="inlineStr">
        <is>
          <t>True</t>
        </is>
      </c>
    </row>
    <row r="74">
      <c r="A74" t="inlineStr">
        <is>
          <t>CIEINDIA</t>
        </is>
      </c>
      <c r="B74" t="n">
        <v>-54.60717189147402</v>
      </c>
      <c r="C74" t="n">
        <v>2.35920852359209</v>
      </c>
      <c r="D74" s="20" t="n">
        <v>45657</v>
      </c>
      <c r="E74" t="n">
        <v>458</v>
      </c>
      <c r="F74" t="n">
        <v>472.65</v>
      </c>
      <c r="G74" t="n">
        <v>455</v>
      </c>
      <c r="H74" t="n">
        <v>470.75</v>
      </c>
      <c r="I74" t="n">
        <v>138223</v>
      </c>
      <c r="J74" t="n">
        <v>304504.05</v>
      </c>
      <c r="L74" t="inlineStr">
        <is>
          <t>Bear</t>
        </is>
      </c>
      <c r="M74" t="n">
        <v>62</v>
      </c>
      <c r="N74" s="20" t="n">
        <v>45565</v>
      </c>
      <c r="O74" t="inlineStr">
        <is>
          <t>True</t>
        </is>
      </c>
    </row>
    <row r="75">
      <c r="A75" t="inlineStr">
        <is>
          <t>CIPLA</t>
        </is>
      </c>
      <c r="B75" t="n">
        <v>-27.60488984416746</v>
      </c>
      <c r="C75" t="n">
        <v>0.4995398974628572</v>
      </c>
      <c r="D75" s="20" t="n">
        <v>45657</v>
      </c>
      <c r="E75" t="n">
        <v>1517.9</v>
      </c>
      <c r="F75" t="n">
        <v>1535.95</v>
      </c>
      <c r="G75" t="n">
        <v>1514.6</v>
      </c>
      <c r="H75" t="n">
        <v>1529</v>
      </c>
      <c r="I75" t="n">
        <v>1664122</v>
      </c>
      <c r="J75" t="n">
        <v>2298666.3</v>
      </c>
      <c r="L75" t="inlineStr">
        <is>
          <t>Bear</t>
        </is>
      </c>
      <c r="M75" t="n">
        <v>48</v>
      </c>
      <c r="N75" s="20" t="n">
        <v>45586</v>
      </c>
      <c r="O75" t="inlineStr">
        <is>
          <t>True</t>
        </is>
      </c>
    </row>
    <row r="76">
      <c r="A76" t="inlineStr">
        <is>
          <t>CMSINFO</t>
        </is>
      </c>
      <c r="B76" t="n">
        <v>-19.51397588251196</v>
      </c>
      <c r="C76" t="n">
        <v>1.689819614347911</v>
      </c>
      <c r="D76" s="20" t="n">
        <v>45657</v>
      </c>
      <c r="E76" t="n">
        <v>481.35</v>
      </c>
      <c r="F76" t="n">
        <v>494.65</v>
      </c>
      <c r="G76" t="n">
        <v>477</v>
      </c>
      <c r="H76" t="n">
        <v>490.45</v>
      </c>
      <c r="I76" t="n">
        <v>338210</v>
      </c>
      <c r="J76" t="n">
        <v>420209.6</v>
      </c>
      <c r="L76" t="inlineStr">
        <is>
          <t>Bear</t>
        </is>
      </c>
      <c r="M76" t="n">
        <v>41</v>
      </c>
      <c r="N76" s="20" t="n">
        <v>45595</v>
      </c>
      <c r="O76" t="inlineStr">
        <is>
          <t>True</t>
        </is>
      </c>
    </row>
    <row r="77">
      <c r="A77" t="inlineStr">
        <is>
          <t>COALINDIA</t>
        </is>
      </c>
      <c r="B77" t="n">
        <v>5.087648780826855</v>
      </c>
      <c r="C77" t="n">
        <v>1.653876686954221</v>
      </c>
      <c r="D77" s="20" t="n">
        <v>45657</v>
      </c>
      <c r="E77" t="n">
        <v>377.9</v>
      </c>
      <c r="F77" t="n">
        <v>384.7</v>
      </c>
      <c r="G77" t="n">
        <v>376.1</v>
      </c>
      <c r="H77" t="n">
        <v>384.15</v>
      </c>
      <c r="I77" t="n">
        <v>7686615</v>
      </c>
      <c r="J77" t="n">
        <v>7314479.95</v>
      </c>
      <c r="L77" t="inlineStr">
        <is>
          <t>Bear</t>
        </is>
      </c>
      <c r="M77" t="n">
        <v>73</v>
      </c>
      <c r="N77" s="20" t="n">
        <v>45548</v>
      </c>
      <c r="O77" t="inlineStr">
        <is>
          <t>True</t>
        </is>
      </c>
    </row>
    <row r="78">
      <c r="A78" t="inlineStr">
        <is>
          <t>COCHINSHIP</t>
        </is>
      </c>
      <c r="B78" t="n">
        <v>-1.055461179812423</v>
      </c>
      <c r="C78" t="n">
        <v>-2.180477416483898</v>
      </c>
      <c r="D78" s="20" t="n">
        <v>45657</v>
      </c>
      <c r="E78" t="n">
        <v>1565</v>
      </c>
      <c r="F78" t="n">
        <v>1587.4</v>
      </c>
      <c r="G78" t="n">
        <v>1513.1</v>
      </c>
      <c r="H78" t="n">
        <v>1538.75</v>
      </c>
      <c r="I78" t="n">
        <v>438789</v>
      </c>
      <c r="J78" t="n">
        <v>443469.65</v>
      </c>
      <c r="L78" t="inlineStr">
        <is>
          <t>Bear</t>
        </is>
      </c>
      <c r="M78" t="n">
        <v>87</v>
      </c>
      <c r="N78" s="20" t="n">
        <v>45530</v>
      </c>
      <c r="O78" t="inlineStr">
        <is>
          <t>True</t>
        </is>
      </c>
    </row>
    <row r="79">
      <c r="A79" t="inlineStr">
        <is>
          <t>COLPAL</t>
        </is>
      </c>
      <c r="B79" t="n">
        <v>29.38340835405775</v>
      </c>
      <c r="C79" t="n">
        <v>-2.880278245747514</v>
      </c>
      <c r="D79" s="20" t="n">
        <v>45657</v>
      </c>
      <c r="E79" t="n">
        <v>2750</v>
      </c>
      <c r="F79" t="n">
        <v>2750</v>
      </c>
      <c r="G79" t="n">
        <v>2674.75</v>
      </c>
      <c r="H79" t="n">
        <v>2680.65</v>
      </c>
      <c r="I79" t="n">
        <v>531777</v>
      </c>
      <c r="J79" t="n">
        <v>411008.65</v>
      </c>
      <c r="L79" t="inlineStr">
        <is>
          <t>Bear</t>
        </is>
      </c>
      <c r="M79" t="n">
        <v>46</v>
      </c>
      <c r="N79" s="20" t="n">
        <v>45588</v>
      </c>
      <c r="O79" t="inlineStr">
        <is>
          <t>True</t>
        </is>
      </c>
    </row>
    <row r="80">
      <c r="A80" t="inlineStr">
        <is>
          <t>CONTROLPR</t>
        </is>
      </c>
      <c r="B80" t="n">
        <v>-31.73166589331327</v>
      </c>
      <c r="C80" t="n">
        <v>-0.08101539292465876</v>
      </c>
      <c r="D80" s="20" t="n">
        <v>45657</v>
      </c>
      <c r="E80" t="n">
        <v>739.05</v>
      </c>
      <c r="F80" t="n">
        <v>742</v>
      </c>
      <c r="G80" t="n">
        <v>729</v>
      </c>
      <c r="H80" t="n">
        <v>740</v>
      </c>
      <c r="I80" t="n">
        <v>15154</v>
      </c>
      <c r="J80" t="n">
        <v>22197.7</v>
      </c>
      <c r="L80" t="inlineStr">
        <is>
          <t>Bear</t>
        </is>
      </c>
      <c r="M80" t="n">
        <v>54</v>
      </c>
      <c r="N80" s="20" t="n">
        <v>45576</v>
      </c>
      <c r="O80" t="inlineStr">
        <is>
          <t>False</t>
        </is>
      </c>
    </row>
    <row r="81">
      <c r="A81" t="inlineStr">
        <is>
          <t>COROMANDEL</t>
        </is>
      </c>
      <c r="B81" t="n">
        <v>-10.91937169061382</v>
      </c>
      <c r="C81" t="n">
        <v>0.5885657722250461</v>
      </c>
      <c r="D81" s="20" t="n">
        <v>45657</v>
      </c>
      <c r="E81" t="n">
        <v>1859.55</v>
      </c>
      <c r="F81" t="n">
        <v>1885</v>
      </c>
      <c r="G81" t="n">
        <v>1841.25</v>
      </c>
      <c r="H81" t="n">
        <v>1879.95</v>
      </c>
      <c r="I81" t="n">
        <v>522470</v>
      </c>
      <c r="J81" t="n">
        <v>586513.6</v>
      </c>
      <c r="L81" t="inlineStr">
        <is>
          <t>Bull</t>
        </is>
      </c>
      <c r="M81" t="n">
        <v>35</v>
      </c>
      <c r="N81" s="20" t="n">
        <v>45603</v>
      </c>
      <c r="O81" t="inlineStr">
        <is>
          <t>True</t>
        </is>
      </c>
    </row>
    <row r="82">
      <c r="A82" t="inlineStr">
        <is>
          <t>CREDITACC</t>
        </is>
      </c>
      <c r="B82" t="n">
        <v>-26.04038913827834</v>
      </c>
      <c r="C82" t="n">
        <v>-2.49656310145725</v>
      </c>
      <c r="D82" s="20" t="n">
        <v>45657</v>
      </c>
      <c r="E82" t="n">
        <v>880.35</v>
      </c>
      <c r="F82" t="n">
        <v>895.5</v>
      </c>
      <c r="G82" t="n">
        <v>880.35</v>
      </c>
      <c r="H82" t="n">
        <v>886.55</v>
      </c>
      <c r="I82" t="n">
        <v>312470</v>
      </c>
      <c r="J82" t="n">
        <v>422487.35</v>
      </c>
      <c r="L82" t="inlineStr">
        <is>
          <t>Bear</t>
        </is>
      </c>
      <c r="M82" t="n">
        <v>127</v>
      </c>
      <c r="N82" s="20" t="n">
        <v>45470</v>
      </c>
      <c r="O82" t="inlineStr">
        <is>
          <t>False</t>
        </is>
      </c>
    </row>
    <row r="83">
      <c r="A83" t="inlineStr">
        <is>
          <t>CROMPTON</t>
        </is>
      </c>
      <c r="B83" t="n">
        <v>-35.01882392363805</v>
      </c>
      <c r="C83" t="n">
        <v>0.3295310519645149</v>
      </c>
      <c r="D83" s="20" t="n">
        <v>45657</v>
      </c>
      <c r="E83" t="n">
        <v>392.15</v>
      </c>
      <c r="F83" t="n">
        <v>399.2</v>
      </c>
      <c r="G83" t="n">
        <v>392.15</v>
      </c>
      <c r="H83" t="n">
        <v>395.8</v>
      </c>
      <c r="I83" t="n">
        <v>850534</v>
      </c>
      <c r="J83" t="n">
        <v>1308892.9</v>
      </c>
      <c r="L83" t="inlineStr">
        <is>
          <t>Bear</t>
        </is>
      </c>
      <c r="M83" t="n">
        <v>61</v>
      </c>
      <c r="N83" s="20" t="n">
        <v>45566</v>
      </c>
      <c r="O83" t="inlineStr">
        <is>
          <t>True</t>
        </is>
      </c>
    </row>
    <row r="84">
      <c r="A84" t="inlineStr">
        <is>
          <t>CUMMINSIND</t>
        </is>
      </c>
      <c r="B84" t="n">
        <v>-12.96767809006428</v>
      </c>
      <c r="C84" t="n">
        <v>1.647029603067424</v>
      </c>
      <c r="D84" s="20" t="n">
        <v>45657</v>
      </c>
      <c r="E84" t="n">
        <v>3220.95</v>
      </c>
      <c r="F84" t="n">
        <v>3308</v>
      </c>
      <c r="G84" t="n">
        <v>3220.95</v>
      </c>
      <c r="H84" t="n">
        <v>3274</v>
      </c>
      <c r="I84" t="n">
        <v>540344</v>
      </c>
      <c r="J84" t="n">
        <v>620854.4</v>
      </c>
      <c r="L84" t="inlineStr">
        <is>
          <t>Bear</t>
        </is>
      </c>
      <c r="M84" t="n">
        <v>58</v>
      </c>
      <c r="N84" s="20" t="n">
        <v>45572</v>
      </c>
      <c r="O84" t="inlineStr">
        <is>
          <t>True</t>
        </is>
      </c>
    </row>
    <row r="85">
      <c r="A85" t="inlineStr">
        <is>
          <t>DBCORP</t>
        </is>
      </c>
      <c r="B85" t="n">
        <v>-59.31377920949281</v>
      </c>
      <c r="C85" t="n">
        <v>0.6033182503770586</v>
      </c>
      <c r="D85" s="20" t="n">
        <v>45657</v>
      </c>
      <c r="E85" t="n">
        <v>298.9</v>
      </c>
      <c r="F85" t="n">
        <v>304.85</v>
      </c>
      <c r="G85" t="n">
        <v>296</v>
      </c>
      <c r="H85" t="n">
        <v>300.15</v>
      </c>
      <c r="I85" t="n">
        <v>31929</v>
      </c>
      <c r="J85" t="n">
        <v>78476.2</v>
      </c>
      <c r="L85" t="inlineStr">
        <is>
          <t>Bear</t>
        </is>
      </c>
      <c r="M85" t="n">
        <v>5</v>
      </c>
      <c r="N85" s="20" t="n">
        <v>45649</v>
      </c>
      <c r="O85" t="inlineStr">
        <is>
          <t>False</t>
        </is>
      </c>
    </row>
    <row r="86">
      <c r="A86" t="inlineStr">
        <is>
          <t>DABUR</t>
        </is>
      </c>
      <c r="B86" t="n">
        <v>-69.84326075918518</v>
      </c>
      <c r="C86" t="n">
        <v>0.3463631865413161</v>
      </c>
      <c r="D86" s="20" t="n">
        <v>45657</v>
      </c>
      <c r="E86" t="n">
        <v>505.3</v>
      </c>
      <c r="F86" t="n">
        <v>509</v>
      </c>
      <c r="G86" t="n">
        <v>502.3</v>
      </c>
      <c r="H86" t="n">
        <v>507</v>
      </c>
      <c r="I86" t="n">
        <v>812765</v>
      </c>
      <c r="J86" t="n">
        <v>2695135.55</v>
      </c>
      <c r="L86" t="inlineStr">
        <is>
          <t>Bear</t>
        </is>
      </c>
      <c r="M86" t="n">
        <v>59</v>
      </c>
      <c r="N86" s="20" t="n">
        <v>45569</v>
      </c>
      <c r="O86" t="inlineStr">
        <is>
          <t>False</t>
        </is>
      </c>
    </row>
    <row r="87">
      <c r="A87" t="inlineStr">
        <is>
          <t>DEEPAKNTR</t>
        </is>
      </c>
      <c r="B87" t="n">
        <v>-3.850085973866649</v>
      </c>
      <c r="C87" t="n">
        <v>-0.7678230426479841</v>
      </c>
      <c r="D87" s="20" t="n">
        <v>45657</v>
      </c>
      <c r="E87" t="n">
        <v>2502</v>
      </c>
      <c r="F87" t="n">
        <v>2550</v>
      </c>
      <c r="G87" t="n">
        <v>2490</v>
      </c>
      <c r="H87" t="n">
        <v>2494.3</v>
      </c>
      <c r="I87" t="n">
        <v>234884</v>
      </c>
      <c r="J87" t="n">
        <v>244289.35</v>
      </c>
      <c r="L87" t="inlineStr">
        <is>
          <t>Bear</t>
        </is>
      </c>
      <c r="M87" t="n">
        <v>56</v>
      </c>
      <c r="N87" s="20" t="n">
        <v>45574</v>
      </c>
      <c r="O87" t="inlineStr">
        <is>
          <t>True</t>
        </is>
      </c>
    </row>
    <row r="88">
      <c r="A88" t="inlineStr">
        <is>
          <t>DELTACORP</t>
        </is>
      </c>
      <c r="B88" t="n">
        <v>-53.42795328028485</v>
      </c>
      <c r="C88" t="n">
        <v>0.3714777566367641</v>
      </c>
      <c r="D88" s="20" t="n">
        <v>45657</v>
      </c>
      <c r="E88" t="n">
        <v>110.79</v>
      </c>
      <c r="F88" t="n">
        <v>111.25</v>
      </c>
      <c r="G88" t="n">
        <v>109.56</v>
      </c>
      <c r="H88" t="n">
        <v>110.78</v>
      </c>
      <c r="I88" t="n">
        <v>672711</v>
      </c>
      <c r="J88" t="n">
        <v>1444452.3</v>
      </c>
      <c r="L88" t="inlineStr">
        <is>
          <t>Bear</t>
        </is>
      </c>
      <c r="M88" t="n">
        <v>74</v>
      </c>
      <c r="N88" s="20" t="n">
        <v>45547</v>
      </c>
      <c r="O88" t="inlineStr">
        <is>
          <t>False</t>
        </is>
      </c>
    </row>
    <row r="89">
      <c r="A89" t="inlineStr">
        <is>
          <t>DHANUKA</t>
        </is>
      </c>
      <c r="B89" t="n">
        <v>-49.38772563611261</v>
      </c>
      <c r="C89" t="n">
        <v>-0.8972813713673558</v>
      </c>
      <c r="D89" s="20" t="n">
        <v>45657</v>
      </c>
      <c r="E89" t="n">
        <v>1490</v>
      </c>
      <c r="F89" t="n">
        <v>1496.9</v>
      </c>
      <c r="G89" t="n">
        <v>1460</v>
      </c>
      <c r="H89" t="n">
        <v>1480</v>
      </c>
      <c r="I89" t="n">
        <v>16826</v>
      </c>
      <c r="J89" t="n">
        <v>33244.9</v>
      </c>
      <c r="L89" t="inlineStr">
        <is>
          <t>Bear</t>
        </is>
      </c>
      <c r="M89" t="n">
        <v>2</v>
      </c>
      <c r="N89" s="20" t="n">
        <v>45653</v>
      </c>
      <c r="O89" t="inlineStr">
        <is>
          <t>True</t>
        </is>
      </c>
    </row>
    <row r="90">
      <c r="A90" t="inlineStr">
        <is>
          <t>DIVISLAB</t>
        </is>
      </c>
      <c r="B90" t="n">
        <v>4.606844669525367</v>
      </c>
      <c r="C90" t="n">
        <v>0.8899917287014092</v>
      </c>
      <c r="D90" s="20" t="n">
        <v>45657</v>
      </c>
      <c r="E90" t="n">
        <v>6029.4</v>
      </c>
      <c r="F90" t="n">
        <v>6135.25</v>
      </c>
      <c r="G90" t="n">
        <v>5975.65</v>
      </c>
      <c r="H90" t="n">
        <v>6098.8</v>
      </c>
      <c r="I90" t="n">
        <v>610044</v>
      </c>
      <c r="J90" t="n">
        <v>583177.9</v>
      </c>
      <c r="L90" t="inlineStr">
        <is>
          <t>Bull</t>
        </is>
      </c>
      <c r="M90" t="n">
        <v>180</v>
      </c>
      <c r="N90" s="20" t="n">
        <v>45391</v>
      </c>
      <c r="O90" t="inlineStr">
        <is>
          <t>True</t>
        </is>
      </c>
    </row>
    <row r="91">
      <c r="A91" t="inlineStr">
        <is>
          <t>DIXON</t>
        </is>
      </c>
      <c r="B91" t="n">
        <v>-39.87490392533864</v>
      </c>
      <c r="C91" t="n">
        <v>-0.92412558828078</v>
      </c>
      <c r="D91" s="20" t="n">
        <v>45657</v>
      </c>
      <c r="E91" t="n">
        <v>18000</v>
      </c>
      <c r="F91" t="n">
        <v>18028.85</v>
      </c>
      <c r="G91" t="n">
        <v>17472</v>
      </c>
      <c r="H91" t="n">
        <v>17936.3</v>
      </c>
      <c r="I91" t="n">
        <v>259440</v>
      </c>
      <c r="J91" t="n">
        <v>431500.35</v>
      </c>
      <c r="L91" t="inlineStr">
        <is>
          <t>Bull</t>
        </is>
      </c>
      <c r="M91" t="n">
        <v>404</v>
      </c>
      <c r="N91" s="20" t="n">
        <v>45063</v>
      </c>
    </row>
    <row r="92">
      <c r="A92" t="inlineStr">
        <is>
          <t>LALPATHLAB</t>
        </is>
      </c>
      <c r="B92" t="n">
        <v>-55.48433634765858</v>
      </c>
      <c r="C92" t="n">
        <v>0.9509628075400153</v>
      </c>
      <c r="D92" s="20" t="n">
        <v>45657</v>
      </c>
      <c r="E92" t="n">
        <v>2936</v>
      </c>
      <c r="F92" t="n">
        <v>3014.35</v>
      </c>
      <c r="G92" t="n">
        <v>2931.05</v>
      </c>
      <c r="H92" t="n">
        <v>2983</v>
      </c>
      <c r="I92" t="n">
        <v>86521</v>
      </c>
      <c r="J92" t="n">
        <v>194360.8</v>
      </c>
      <c r="L92" t="inlineStr">
        <is>
          <t>Bear</t>
        </is>
      </c>
      <c r="M92" t="n">
        <v>42</v>
      </c>
      <c r="N92" s="20" t="n">
        <v>45594</v>
      </c>
      <c r="O92" t="inlineStr">
        <is>
          <t>True</t>
        </is>
      </c>
    </row>
    <row r="93">
      <c r="A93" t="inlineStr">
        <is>
          <t>DRREDDY</t>
        </is>
      </c>
      <c r="B93" t="n">
        <v>-30.05544858755725</v>
      </c>
      <c r="C93" t="n">
        <v>0.8424722202048013</v>
      </c>
      <c r="D93" s="20" t="n">
        <v>45657</v>
      </c>
      <c r="E93" t="n">
        <v>1370.3</v>
      </c>
      <c r="F93" t="n">
        <v>1395</v>
      </c>
      <c r="G93" t="n">
        <v>1366.55</v>
      </c>
      <c r="H93" t="n">
        <v>1388.5</v>
      </c>
      <c r="I93" t="n">
        <v>1892083</v>
      </c>
      <c r="J93" t="n">
        <v>2705118.5</v>
      </c>
      <c r="L93" t="inlineStr">
        <is>
          <t>Bull</t>
        </is>
      </c>
      <c r="M93" t="n">
        <v>4</v>
      </c>
      <c r="N93" s="20" t="n">
        <v>45650</v>
      </c>
      <c r="O93" t="inlineStr">
        <is>
          <t>True</t>
        </is>
      </c>
    </row>
    <row r="94">
      <c r="A94" t="inlineStr">
        <is>
          <t>DREAMFOLKS</t>
        </is>
      </c>
      <c r="B94" t="n">
        <v>-27.59502473866839</v>
      </c>
      <c r="C94" t="n">
        <v>0.7609957435831409</v>
      </c>
      <c r="D94" s="20" t="n">
        <v>45657</v>
      </c>
      <c r="E94" t="n">
        <v>387.65</v>
      </c>
      <c r="F94" t="n">
        <v>393.6</v>
      </c>
      <c r="G94" t="n">
        <v>384.1</v>
      </c>
      <c r="H94" t="n">
        <v>390.6</v>
      </c>
      <c r="I94" t="n">
        <v>69965</v>
      </c>
      <c r="J94" t="n">
        <v>96630.10000000001</v>
      </c>
      <c r="L94" t="inlineStr">
        <is>
          <t>Bear</t>
        </is>
      </c>
      <c r="M94" t="n">
        <v>60</v>
      </c>
      <c r="N94" s="20" t="n">
        <v>45568</v>
      </c>
      <c r="O94" t="inlineStr">
        <is>
          <t>False</t>
        </is>
      </c>
    </row>
    <row r="95">
      <c r="A95" t="inlineStr">
        <is>
          <t>ECLERX</t>
        </is>
      </c>
      <c r="B95" t="n">
        <v>19.63533761247008</v>
      </c>
      <c r="C95" t="n">
        <v>-0.5424851530379168</v>
      </c>
      <c r="D95" s="20" t="n">
        <v>45657</v>
      </c>
      <c r="E95" t="n">
        <v>3512.5</v>
      </c>
      <c r="F95" t="n">
        <v>3518.05</v>
      </c>
      <c r="G95" t="n">
        <v>3453.05</v>
      </c>
      <c r="H95" t="n">
        <v>3483.4</v>
      </c>
      <c r="I95" t="n">
        <v>125717</v>
      </c>
      <c r="J95" t="n">
        <v>105083.5</v>
      </c>
      <c r="L95" t="inlineStr">
        <is>
          <t>Bull</t>
        </is>
      </c>
      <c r="M95" t="n">
        <v>128</v>
      </c>
      <c r="N95" s="20" t="n">
        <v>45469</v>
      </c>
      <c r="O95" t="inlineStr">
        <is>
          <t>True</t>
        </is>
      </c>
    </row>
    <row r="96">
      <c r="A96" t="inlineStr">
        <is>
          <t>EICHERMOT</t>
        </is>
      </c>
      <c r="B96" t="n">
        <v>-11.22947884345652</v>
      </c>
      <c r="C96" t="n">
        <v>-0.6981341900407871</v>
      </c>
      <c r="D96" s="20" t="n">
        <v>45657</v>
      </c>
      <c r="E96" t="n">
        <v>4827</v>
      </c>
      <c r="F96" t="n">
        <v>4872.4</v>
      </c>
      <c r="G96" t="n">
        <v>4810</v>
      </c>
      <c r="H96" t="n">
        <v>4821.9</v>
      </c>
      <c r="I96" t="n">
        <v>313948</v>
      </c>
      <c r="J96" t="n">
        <v>353662.45</v>
      </c>
      <c r="L96" t="inlineStr">
        <is>
          <t>Bear</t>
        </is>
      </c>
      <c r="M96" t="n">
        <v>9</v>
      </c>
      <c r="N96" s="20" t="n">
        <v>45643</v>
      </c>
      <c r="O96" t="inlineStr">
        <is>
          <t>True</t>
        </is>
      </c>
    </row>
    <row r="97">
      <c r="A97" t="inlineStr">
        <is>
          <t>EIDPARRY</t>
        </is>
      </c>
      <c r="B97" t="n">
        <v>-70.0416957247604</v>
      </c>
      <c r="C97" t="n">
        <v>1.933386563248538</v>
      </c>
      <c r="D97" s="20" t="n">
        <v>45657</v>
      </c>
      <c r="E97" t="n">
        <v>877.5</v>
      </c>
      <c r="F97" t="n">
        <v>898.95</v>
      </c>
      <c r="G97" t="n">
        <v>865</v>
      </c>
      <c r="H97" t="n">
        <v>893.65</v>
      </c>
      <c r="I97" t="n">
        <v>239982</v>
      </c>
      <c r="J97" t="n">
        <v>801053.35</v>
      </c>
      <c r="L97" t="inlineStr">
        <is>
          <t>Bull</t>
        </is>
      </c>
      <c r="M97" t="n">
        <v>26</v>
      </c>
      <c r="N97" s="20" t="n">
        <v>45618</v>
      </c>
      <c r="O97" t="inlineStr">
        <is>
          <t>True</t>
        </is>
      </c>
    </row>
    <row r="98">
      <c r="A98" t="inlineStr">
        <is>
          <t>EIHOTEL</t>
        </is>
      </c>
      <c r="B98" t="n">
        <v>22.52318138639662</v>
      </c>
      <c r="C98" t="n">
        <v>4.962500000000006</v>
      </c>
      <c r="D98" s="20" t="n">
        <v>45657</v>
      </c>
      <c r="E98" t="n">
        <v>398.9</v>
      </c>
      <c r="F98" t="n">
        <v>425.5</v>
      </c>
      <c r="G98" t="n">
        <v>394.85</v>
      </c>
      <c r="H98" t="n">
        <v>419.85</v>
      </c>
      <c r="I98" t="n">
        <v>1024630</v>
      </c>
      <c r="J98" t="n">
        <v>836274.4</v>
      </c>
      <c r="L98" t="inlineStr">
        <is>
          <t>Bull</t>
        </is>
      </c>
      <c r="M98" t="n">
        <v>16</v>
      </c>
      <c r="N98" s="20" t="n">
        <v>45632</v>
      </c>
      <c r="O98" t="inlineStr">
        <is>
          <t>False</t>
        </is>
      </c>
    </row>
    <row r="99">
      <c r="A99" t="inlineStr">
        <is>
          <t>ELECON</t>
        </is>
      </c>
      <c r="B99" t="n">
        <v>-10.14603898066557</v>
      </c>
      <c r="C99" t="n">
        <v>0.8423394787031078</v>
      </c>
      <c r="D99" s="20" t="n">
        <v>45657</v>
      </c>
      <c r="E99" t="n">
        <v>630</v>
      </c>
      <c r="F99" t="n">
        <v>651.85</v>
      </c>
      <c r="G99" t="n">
        <v>630</v>
      </c>
      <c r="H99" t="n">
        <v>634.5</v>
      </c>
      <c r="I99" t="n">
        <v>470303</v>
      </c>
      <c r="J99" t="n">
        <v>523408.2</v>
      </c>
      <c r="L99" t="inlineStr">
        <is>
          <t>Bull</t>
        </is>
      </c>
      <c r="M99" t="n">
        <v>14</v>
      </c>
      <c r="N99" s="20" t="n">
        <v>45636</v>
      </c>
      <c r="O99" t="inlineStr">
        <is>
          <t>True</t>
        </is>
      </c>
    </row>
    <row r="100">
      <c r="A100" t="inlineStr">
        <is>
          <t>ELECTCAST</t>
        </is>
      </c>
      <c r="B100" t="n">
        <v>-41.55349701851227</v>
      </c>
      <c r="C100" t="n">
        <v>2.797047970479699</v>
      </c>
      <c r="D100" s="20" t="n">
        <v>45657</v>
      </c>
      <c r="E100" t="n">
        <v>135</v>
      </c>
      <c r="F100" t="n">
        <v>139.9</v>
      </c>
      <c r="G100" t="n">
        <v>134.1</v>
      </c>
      <c r="H100" t="n">
        <v>139.29</v>
      </c>
      <c r="I100" t="n">
        <v>1005234</v>
      </c>
      <c r="J100" t="n">
        <v>1719921.55</v>
      </c>
      <c r="L100" t="inlineStr">
        <is>
          <t>Bear</t>
        </is>
      </c>
      <c r="M100" t="n">
        <v>56</v>
      </c>
      <c r="N100" s="20" t="n">
        <v>45574</v>
      </c>
      <c r="O100" t="inlineStr">
        <is>
          <t>True</t>
        </is>
      </c>
    </row>
    <row r="101">
      <c r="A101" t="inlineStr">
        <is>
          <t>EMAMILTD</t>
        </is>
      </c>
      <c r="B101" t="n">
        <v>-53.78177091813532</v>
      </c>
      <c r="C101" t="n">
        <v>1.641147111073521</v>
      </c>
      <c r="D101" s="20" t="n">
        <v>45657</v>
      </c>
      <c r="E101" t="n">
        <v>590</v>
      </c>
      <c r="F101" t="n">
        <v>606.55</v>
      </c>
      <c r="G101" t="n">
        <v>586.3</v>
      </c>
      <c r="H101" t="n">
        <v>600.75</v>
      </c>
      <c r="I101" t="n">
        <v>329279</v>
      </c>
      <c r="J101" t="n">
        <v>712444</v>
      </c>
      <c r="L101" t="inlineStr">
        <is>
          <t>Bear</t>
        </is>
      </c>
      <c r="M101" t="n">
        <v>64</v>
      </c>
      <c r="N101" s="20" t="n">
        <v>45561</v>
      </c>
      <c r="O101" t="inlineStr">
        <is>
          <t>True</t>
        </is>
      </c>
    </row>
    <row r="102">
      <c r="A102" t="inlineStr">
        <is>
          <t>EPIGRAL</t>
        </is>
      </c>
      <c r="B102" t="n">
        <v>-30.38819516654496</v>
      </c>
      <c r="C102" t="n">
        <v>1.574887508035145</v>
      </c>
      <c r="D102" s="20" t="n">
        <v>45657</v>
      </c>
      <c r="E102" t="n">
        <v>1862</v>
      </c>
      <c r="F102" t="n">
        <v>1908.5</v>
      </c>
      <c r="G102" t="n">
        <v>1835.9</v>
      </c>
      <c r="H102" t="n">
        <v>1896.2</v>
      </c>
      <c r="I102" t="n">
        <v>38226</v>
      </c>
      <c r="J102" t="n">
        <v>54913.1</v>
      </c>
      <c r="L102" t="inlineStr">
        <is>
          <t>Bear</t>
        </is>
      </c>
      <c r="M102" t="n">
        <v>6</v>
      </c>
      <c r="N102" s="20" t="n">
        <v>45646</v>
      </c>
      <c r="O102" t="inlineStr">
        <is>
          <t>True</t>
        </is>
      </c>
    </row>
    <row r="103">
      <c r="A103" t="inlineStr">
        <is>
          <t>ERIS</t>
        </is>
      </c>
      <c r="B103" t="n">
        <v>-70.93091748308444</v>
      </c>
      <c r="C103" t="n">
        <v>-0.4730778953450547</v>
      </c>
      <c r="D103" s="20" t="n">
        <v>45657</v>
      </c>
      <c r="E103" t="n">
        <v>1376</v>
      </c>
      <c r="F103" t="n">
        <v>1387.75</v>
      </c>
      <c r="G103" t="n">
        <v>1354.55</v>
      </c>
      <c r="H103" t="n">
        <v>1378</v>
      </c>
      <c r="I103" t="n">
        <v>39727</v>
      </c>
      <c r="J103" t="n">
        <v>136664.1</v>
      </c>
      <c r="L103" t="inlineStr">
        <is>
          <t>Bull</t>
        </is>
      </c>
      <c r="M103" t="n">
        <v>168</v>
      </c>
      <c r="N103" s="20" t="n">
        <v>45411</v>
      </c>
      <c r="O103" t="inlineStr">
        <is>
          <t>True</t>
        </is>
      </c>
    </row>
    <row r="104">
      <c r="A104" t="inlineStr">
        <is>
          <t>ESCORTS</t>
        </is>
      </c>
      <c r="B104" t="n">
        <v>-16.7118139157453</v>
      </c>
      <c r="C104" t="n">
        <v>2.032974603126007</v>
      </c>
      <c r="D104" s="20" t="n">
        <v>45657</v>
      </c>
      <c r="E104" t="n">
        <v>3260</v>
      </c>
      <c r="F104" t="n">
        <v>3348.75</v>
      </c>
      <c r="G104" t="n">
        <v>3250</v>
      </c>
      <c r="H104" t="n">
        <v>3332.55</v>
      </c>
      <c r="I104" t="n">
        <v>195012</v>
      </c>
      <c r="J104" t="n">
        <v>234141.25</v>
      </c>
      <c r="L104" t="inlineStr">
        <is>
          <t>Bear</t>
        </is>
      </c>
      <c r="M104" t="n">
        <v>48</v>
      </c>
      <c r="N104" s="20" t="n">
        <v>45586</v>
      </c>
      <c r="O104" t="inlineStr">
        <is>
          <t>True</t>
        </is>
      </c>
    </row>
    <row r="105">
      <c r="A105" t="inlineStr">
        <is>
          <t>EKC</t>
        </is>
      </c>
      <c r="B105" t="n">
        <v>-42.4030506193763</v>
      </c>
      <c r="C105" t="n">
        <v>2.380556939600294</v>
      </c>
      <c r="D105" s="20" t="n">
        <v>45657</v>
      </c>
      <c r="E105" t="n">
        <v>180.01</v>
      </c>
      <c r="F105" t="n">
        <v>185.4</v>
      </c>
      <c r="G105" t="n">
        <v>180</v>
      </c>
      <c r="H105" t="n">
        <v>184.93</v>
      </c>
      <c r="I105" t="n">
        <v>615441</v>
      </c>
      <c r="J105" t="n">
        <v>1068530.55</v>
      </c>
      <c r="L105" t="inlineStr">
        <is>
          <t>Bull</t>
        </is>
      </c>
      <c r="M105" t="n">
        <v>26</v>
      </c>
      <c r="N105" s="20" t="n">
        <v>45618</v>
      </c>
      <c r="O105" t="inlineStr">
        <is>
          <t>True</t>
        </is>
      </c>
    </row>
    <row r="106">
      <c r="A106" t="inlineStr">
        <is>
          <t>FAZE3Q</t>
        </is>
      </c>
      <c r="B106" t="n">
        <v>-14.34757755798445</v>
      </c>
      <c r="C106" t="n">
        <v>5.518711511132167</v>
      </c>
      <c r="D106" s="20" t="n">
        <v>45657</v>
      </c>
      <c r="E106" t="n">
        <v>420</v>
      </c>
      <c r="F106" t="n">
        <v>447.95</v>
      </c>
      <c r="G106" t="n">
        <v>402.4</v>
      </c>
      <c r="H106" t="n">
        <v>445.5</v>
      </c>
      <c r="I106" t="n">
        <v>12362</v>
      </c>
      <c r="J106" t="n">
        <v>14432.75</v>
      </c>
      <c r="L106" t="inlineStr">
        <is>
          <t>Bull</t>
        </is>
      </c>
      <c r="M106" t="n">
        <v>9</v>
      </c>
      <c r="N106" s="20" t="n">
        <v>45643</v>
      </c>
      <c r="O106" t="inlineStr">
        <is>
          <t>True</t>
        </is>
      </c>
    </row>
    <row r="107">
      <c r="A107" t="inlineStr">
        <is>
          <t>FDC</t>
        </is>
      </c>
      <c r="B107" t="n">
        <v>-58.45702440076911</v>
      </c>
      <c r="C107" t="n">
        <v>0.9601778855872246</v>
      </c>
      <c r="D107" s="20" t="n">
        <v>45657</v>
      </c>
      <c r="E107" t="n">
        <v>491</v>
      </c>
      <c r="F107" t="n">
        <v>502</v>
      </c>
      <c r="G107" t="n">
        <v>491</v>
      </c>
      <c r="H107" t="n">
        <v>499.45</v>
      </c>
      <c r="I107" t="n">
        <v>43417</v>
      </c>
      <c r="J107" t="n">
        <v>104511.05</v>
      </c>
      <c r="L107" t="inlineStr">
        <is>
          <t>Bear</t>
        </is>
      </c>
      <c r="M107" t="n">
        <v>43</v>
      </c>
      <c r="N107" s="20" t="n">
        <v>45593</v>
      </c>
      <c r="O107" t="inlineStr">
        <is>
          <t>True</t>
        </is>
      </c>
    </row>
    <row r="108">
      <c r="A108" t="inlineStr">
        <is>
          <t>FEDERALBNK</t>
        </is>
      </c>
      <c r="B108" t="n">
        <v>-11.41819336838123</v>
      </c>
      <c r="C108" t="n">
        <v>-0.5123103705545889</v>
      </c>
      <c r="D108" s="20" t="n">
        <v>45657</v>
      </c>
      <c r="E108" t="n">
        <v>196.5</v>
      </c>
      <c r="F108" t="n">
        <v>200.5</v>
      </c>
      <c r="G108" t="n">
        <v>196.3</v>
      </c>
      <c r="H108" t="n">
        <v>200.02</v>
      </c>
      <c r="I108" t="n">
        <v>8032394</v>
      </c>
      <c r="J108" t="n">
        <v>9067769.449999999</v>
      </c>
      <c r="L108" t="inlineStr">
        <is>
          <t>Bull</t>
        </is>
      </c>
      <c r="M108" t="n">
        <v>42</v>
      </c>
      <c r="N108" s="20" t="n">
        <v>45594</v>
      </c>
      <c r="O108" t="inlineStr">
        <is>
          <t>True</t>
        </is>
      </c>
    </row>
    <row r="109">
      <c r="A109" t="inlineStr">
        <is>
          <t>FINEORG</t>
        </is>
      </c>
      <c r="B109" t="n">
        <v>9.780454593607173</v>
      </c>
      <c r="C109" t="n">
        <v>3.171555473304327</v>
      </c>
      <c r="D109" s="20" t="n">
        <v>45657</v>
      </c>
      <c r="E109" t="n">
        <v>4330</v>
      </c>
      <c r="F109" t="n">
        <v>4480</v>
      </c>
      <c r="G109" t="n">
        <v>4301.05</v>
      </c>
      <c r="H109" t="n">
        <v>4459.9</v>
      </c>
      <c r="I109" t="n">
        <v>21244</v>
      </c>
      <c r="J109" t="n">
        <v>19351.35</v>
      </c>
      <c r="L109" t="inlineStr">
        <is>
          <t>Bear</t>
        </is>
      </c>
      <c r="M109" t="n">
        <v>8</v>
      </c>
      <c r="N109" s="20" t="n">
        <v>45644</v>
      </c>
      <c r="O109" t="inlineStr">
        <is>
          <t>False</t>
        </is>
      </c>
    </row>
    <row r="110">
      <c r="A110" t="inlineStr">
        <is>
          <t>FCL</t>
        </is>
      </c>
      <c r="B110" t="n">
        <v>-13.32650278734682</v>
      </c>
      <c r="C110" t="n">
        <v>0.2733070148800417</v>
      </c>
      <c r="D110" s="20" t="n">
        <v>45657</v>
      </c>
      <c r="E110" t="n">
        <v>329.85</v>
      </c>
      <c r="F110" t="n">
        <v>333</v>
      </c>
      <c r="G110" t="n">
        <v>325</v>
      </c>
      <c r="H110" t="n">
        <v>330.2</v>
      </c>
      <c r="I110" t="n">
        <v>134293</v>
      </c>
      <c r="J110" t="n">
        <v>154941.25</v>
      </c>
      <c r="L110" t="inlineStr">
        <is>
          <t>Bear</t>
        </is>
      </c>
      <c r="M110" t="n">
        <v>42</v>
      </c>
      <c r="N110" s="20" t="n">
        <v>45594</v>
      </c>
      <c r="O110" t="inlineStr">
        <is>
          <t>False</t>
        </is>
      </c>
    </row>
    <row r="111">
      <c r="A111" t="inlineStr">
        <is>
          <t>FINCABLES</t>
        </is>
      </c>
      <c r="B111" t="n">
        <v>-22.31730896831429</v>
      </c>
      <c r="C111" t="n">
        <v>2.399444613181767</v>
      </c>
      <c r="D111" s="20" t="n">
        <v>45657</v>
      </c>
      <c r="E111" t="n">
        <v>1158.2</v>
      </c>
      <c r="F111" t="n">
        <v>1203</v>
      </c>
      <c r="G111" t="n">
        <v>1136</v>
      </c>
      <c r="H111" t="n">
        <v>1180</v>
      </c>
      <c r="I111" t="n">
        <v>495817</v>
      </c>
      <c r="J111" t="n">
        <v>638259.3</v>
      </c>
      <c r="L111" t="inlineStr">
        <is>
          <t>Bear</t>
        </is>
      </c>
      <c r="M111" t="n">
        <v>85</v>
      </c>
      <c r="N111" s="20" t="n">
        <v>45532</v>
      </c>
      <c r="O111" t="inlineStr">
        <is>
          <t>True</t>
        </is>
      </c>
    </row>
    <row r="112">
      <c r="A112" t="inlineStr">
        <is>
          <t>FSL</t>
        </is>
      </c>
      <c r="B112" t="n">
        <v>-60.45431457360579</v>
      </c>
      <c r="C112" t="n">
        <v>-0.4105416501125708</v>
      </c>
      <c r="D112" s="20" t="n">
        <v>45657</v>
      </c>
      <c r="E112" t="n">
        <v>376</v>
      </c>
      <c r="F112" t="n">
        <v>379.25</v>
      </c>
      <c r="G112" t="n">
        <v>371.65</v>
      </c>
      <c r="H112" t="n">
        <v>376</v>
      </c>
      <c r="I112" t="n">
        <v>1024109</v>
      </c>
      <c r="J112" t="n">
        <v>2589685.8</v>
      </c>
      <c r="L112" t="inlineStr">
        <is>
          <t>Bull</t>
        </is>
      </c>
      <c r="M112" t="n">
        <v>132</v>
      </c>
      <c r="N112" s="20" t="n">
        <v>45463</v>
      </c>
      <c r="O112" t="inlineStr">
        <is>
          <t>True</t>
        </is>
      </c>
    </row>
    <row r="113">
      <c r="A113" t="inlineStr">
        <is>
          <t>GNFC</t>
        </is>
      </c>
      <c r="B113" t="n">
        <v>-6.332071217171286</v>
      </c>
      <c r="C113" t="n">
        <v>0.9754335260115565</v>
      </c>
      <c r="D113" s="20" t="n">
        <v>45657</v>
      </c>
      <c r="E113" t="n">
        <v>556.4</v>
      </c>
      <c r="F113" t="n">
        <v>564</v>
      </c>
      <c r="G113" t="n">
        <v>547.35</v>
      </c>
      <c r="H113" t="n">
        <v>559</v>
      </c>
      <c r="I113" t="n">
        <v>499640</v>
      </c>
      <c r="J113" t="n">
        <v>533416.3</v>
      </c>
      <c r="L113" t="inlineStr">
        <is>
          <t>Bear</t>
        </is>
      </c>
      <c r="M113" t="n">
        <v>74</v>
      </c>
      <c r="N113" s="20" t="n">
        <v>45547</v>
      </c>
      <c r="O113" t="inlineStr">
        <is>
          <t>False</t>
        </is>
      </c>
    </row>
    <row r="114">
      <c r="A114" t="inlineStr">
        <is>
          <t>GRINFRA</t>
        </is>
      </c>
      <c r="B114" t="n">
        <v>-75.56337941779016</v>
      </c>
      <c r="C114" t="n">
        <v>1.619754791918497</v>
      </c>
      <c r="D114" s="20" t="n">
        <v>45657</v>
      </c>
      <c r="E114" t="n">
        <v>1447.75</v>
      </c>
      <c r="F114" t="n">
        <v>1475</v>
      </c>
      <c r="G114" t="n">
        <v>1438.7</v>
      </c>
      <c r="H114" t="n">
        <v>1471.2</v>
      </c>
      <c r="I114" t="n">
        <v>8964</v>
      </c>
      <c r="J114" t="n">
        <v>36682.65</v>
      </c>
      <c r="L114" t="inlineStr">
        <is>
          <t>Bear</t>
        </is>
      </c>
      <c r="M114" t="n">
        <v>9</v>
      </c>
      <c r="N114" s="20" t="n">
        <v>45643</v>
      </c>
      <c r="O114" t="inlineStr">
        <is>
          <t>True</t>
        </is>
      </c>
    </row>
    <row r="115">
      <c r="A115" t="inlineStr">
        <is>
          <t>GSFC</t>
        </is>
      </c>
      <c r="B115" t="n">
        <v>-33.85242583615384</v>
      </c>
      <c r="C115" t="n">
        <v>2.393534348772135</v>
      </c>
      <c r="D115" s="20" t="n">
        <v>45657</v>
      </c>
      <c r="E115" t="n">
        <v>193.48</v>
      </c>
      <c r="F115" t="n">
        <v>198.38</v>
      </c>
      <c r="G115" t="n">
        <v>193</v>
      </c>
      <c r="H115" t="n">
        <v>197.64</v>
      </c>
      <c r="I115" t="n">
        <v>1203340</v>
      </c>
      <c r="J115" t="n">
        <v>1819174.8</v>
      </c>
      <c r="L115" t="inlineStr">
        <is>
          <t>Bear</t>
        </is>
      </c>
      <c r="M115" t="n">
        <v>3</v>
      </c>
      <c r="N115" s="20" t="n">
        <v>45652</v>
      </c>
      <c r="O115" t="inlineStr">
        <is>
          <t>False</t>
        </is>
      </c>
    </row>
    <row r="116">
      <c r="A116" t="inlineStr">
        <is>
          <t>GALAXYSURF</t>
        </is>
      </c>
      <c r="B116" t="n">
        <v>83.89198363929886</v>
      </c>
      <c r="C116" t="n">
        <v>-0.1367853461263904</v>
      </c>
      <c r="D116" s="20" t="n">
        <v>45657</v>
      </c>
      <c r="E116" t="n">
        <v>2522.2</v>
      </c>
      <c r="F116" t="n">
        <v>2535.5</v>
      </c>
      <c r="G116" t="n">
        <v>2506.9</v>
      </c>
      <c r="H116" t="n">
        <v>2518.75</v>
      </c>
      <c r="I116" t="n">
        <v>28819</v>
      </c>
      <c r="J116" t="n">
        <v>15671.7</v>
      </c>
      <c r="L116" t="inlineStr">
        <is>
          <t>Bear</t>
        </is>
      </c>
      <c r="M116" t="n">
        <v>31</v>
      </c>
      <c r="N116" s="20" t="n">
        <v>45609</v>
      </c>
      <c r="O116" t="inlineStr">
        <is>
          <t>True</t>
        </is>
      </c>
    </row>
    <row r="117">
      <c r="A117" t="inlineStr">
        <is>
          <t>GANESHBE</t>
        </is>
      </c>
      <c r="B117" t="n">
        <v>-55.27876789154858</v>
      </c>
      <c r="C117" t="n">
        <v>0.735572912717069</v>
      </c>
      <c r="D117" s="20" t="n">
        <v>45657</v>
      </c>
      <c r="E117" t="n">
        <v>131.87</v>
      </c>
      <c r="F117" t="n">
        <v>133.18</v>
      </c>
      <c r="G117" t="n">
        <v>131.17</v>
      </c>
      <c r="H117" t="n">
        <v>132.84</v>
      </c>
      <c r="I117" t="n">
        <v>48662</v>
      </c>
      <c r="J117" t="n">
        <v>108811.85</v>
      </c>
      <c r="L117" t="inlineStr">
        <is>
          <t>Bear</t>
        </is>
      </c>
      <c r="M117" t="n">
        <v>71</v>
      </c>
      <c r="N117" s="20" t="n">
        <v>45552</v>
      </c>
      <c r="O117" t="inlineStr">
        <is>
          <t>False</t>
        </is>
      </c>
    </row>
    <row r="118">
      <c r="A118" t="inlineStr">
        <is>
          <t>GANESHHOUC</t>
        </is>
      </c>
      <c r="B118" t="n">
        <v>-5.851737177234551</v>
      </c>
      <c r="C118" t="n">
        <v>2.23323046938444</v>
      </c>
      <c r="D118" s="20" t="n">
        <v>45657</v>
      </c>
      <c r="E118" t="n">
        <v>1239</v>
      </c>
      <c r="F118" t="n">
        <v>1267</v>
      </c>
      <c r="G118" t="n">
        <v>1212</v>
      </c>
      <c r="H118" t="n">
        <v>1258.9</v>
      </c>
      <c r="I118" t="n">
        <v>104085</v>
      </c>
      <c r="J118" t="n">
        <v>110554.35</v>
      </c>
      <c r="L118" t="inlineStr">
        <is>
          <t>Bull</t>
        </is>
      </c>
      <c r="M118" t="n">
        <v>52</v>
      </c>
      <c r="N118" s="20" t="n">
        <v>45580</v>
      </c>
      <c r="O118" t="inlineStr">
        <is>
          <t>True</t>
        </is>
      </c>
    </row>
    <row r="119">
      <c r="A119" t="inlineStr">
        <is>
          <t>GARFIBRES</t>
        </is>
      </c>
      <c r="B119" t="n">
        <v>5.290266970454285</v>
      </c>
      <c r="C119" t="n">
        <v>1.74181752082377</v>
      </c>
      <c r="D119" s="20" t="n">
        <v>45657</v>
      </c>
      <c r="E119" t="n">
        <v>4699</v>
      </c>
      <c r="F119" t="n">
        <v>4780</v>
      </c>
      <c r="G119" t="n">
        <v>4650</v>
      </c>
      <c r="H119" t="n">
        <v>4757.6</v>
      </c>
      <c r="I119" t="n">
        <v>40066</v>
      </c>
      <c r="J119" t="n">
        <v>38052.9</v>
      </c>
      <c r="L119" t="inlineStr">
        <is>
          <t>Bull</t>
        </is>
      </c>
      <c r="M119" t="n">
        <v>76</v>
      </c>
      <c r="N119" s="20" t="n">
        <v>45545</v>
      </c>
      <c r="O119" t="inlineStr">
        <is>
          <t>True</t>
        </is>
      </c>
    </row>
    <row r="120">
      <c r="A120" t="inlineStr">
        <is>
          <t>GATEWAY</t>
        </is>
      </c>
      <c r="B120" t="n">
        <v>-33.55833940188662</v>
      </c>
      <c r="C120" t="n">
        <v>1.061678463094021</v>
      </c>
      <c r="D120" s="20" t="n">
        <v>45657</v>
      </c>
      <c r="E120" t="n">
        <v>79.12</v>
      </c>
      <c r="F120" t="n">
        <v>80.79000000000001</v>
      </c>
      <c r="G120" t="n">
        <v>78.75</v>
      </c>
      <c r="H120" t="n">
        <v>79.95999999999999</v>
      </c>
      <c r="I120" t="n">
        <v>1559890</v>
      </c>
      <c r="J120" t="n">
        <v>2347758.9</v>
      </c>
      <c r="L120" t="inlineStr">
        <is>
          <t>Bear</t>
        </is>
      </c>
      <c r="M120" t="n">
        <v>96</v>
      </c>
      <c r="N120" s="20" t="n">
        <v>45516</v>
      </c>
      <c r="O120" t="inlineStr">
        <is>
          <t>False</t>
        </is>
      </c>
    </row>
    <row r="121">
      <c r="A121" t="inlineStr">
        <is>
          <t>GESHIP</t>
        </is>
      </c>
      <c r="B121" t="n">
        <v>-20.44370271697708</v>
      </c>
      <c r="C121" t="n">
        <v>1.6215074209053</v>
      </c>
      <c r="D121" s="20" t="n">
        <v>45657</v>
      </c>
      <c r="E121" t="n">
        <v>946.65</v>
      </c>
      <c r="F121" t="n">
        <v>967.4</v>
      </c>
      <c r="G121" t="n">
        <v>943.1</v>
      </c>
      <c r="H121" t="n">
        <v>962</v>
      </c>
      <c r="I121" t="n">
        <v>433442</v>
      </c>
      <c r="J121" t="n">
        <v>544824.25</v>
      </c>
      <c r="L121" t="inlineStr">
        <is>
          <t>Bear</t>
        </is>
      </c>
      <c r="M121" t="n">
        <v>34</v>
      </c>
      <c r="N121" s="20" t="n">
        <v>45604</v>
      </c>
      <c r="O121" t="inlineStr">
        <is>
          <t>True</t>
        </is>
      </c>
    </row>
    <row r="122">
      <c r="A122" t="inlineStr">
        <is>
          <t>GHCL</t>
        </is>
      </c>
      <c r="B122" t="n">
        <v>292.3905306422355</v>
      </c>
      <c r="C122" t="n">
        <v>7.376075986939752</v>
      </c>
      <c r="D122" s="20" t="n">
        <v>45657</v>
      </c>
      <c r="E122" t="n">
        <v>677</v>
      </c>
      <c r="F122" t="n">
        <v>744</v>
      </c>
      <c r="G122" t="n">
        <v>671.3</v>
      </c>
      <c r="H122" t="n">
        <v>723.5</v>
      </c>
      <c r="I122" t="n">
        <v>2460816</v>
      </c>
      <c r="J122" t="n">
        <v>627134.4</v>
      </c>
      <c r="L122" t="inlineStr">
        <is>
          <t>Bull</t>
        </is>
      </c>
      <c r="M122" t="n">
        <v>16</v>
      </c>
      <c r="N122" s="20" t="n">
        <v>45632</v>
      </c>
      <c r="O122" t="inlineStr">
        <is>
          <t>True</t>
        </is>
      </c>
    </row>
    <row r="123">
      <c r="A123" t="inlineStr">
        <is>
          <t>GLAND</t>
        </is>
      </c>
      <c r="B123" t="n">
        <v>-29.7919029174828</v>
      </c>
      <c r="C123" t="n">
        <v>0.302605771924914</v>
      </c>
      <c r="D123" s="20" t="n">
        <v>45657</v>
      </c>
      <c r="E123" t="n">
        <v>1779</v>
      </c>
      <c r="F123" t="n">
        <v>1799.45</v>
      </c>
      <c r="G123" t="n">
        <v>1764.05</v>
      </c>
      <c r="H123" t="n">
        <v>1789.9</v>
      </c>
      <c r="I123" t="n">
        <v>119180</v>
      </c>
      <c r="J123" t="n">
        <v>169752.5</v>
      </c>
      <c r="L123" t="inlineStr">
        <is>
          <t>Bull</t>
        </is>
      </c>
      <c r="M123" t="n">
        <v>17</v>
      </c>
      <c r="N123" s="20" t="n">
        <v>45631</v>
      </c>
      <c r="O123" t="inlineStr">
        <is>
          <t>True</t>
        </is>
      </c>
    </row>
    <row r="124">
      <c r="A124" t="inlineStr">
        <is>
          <t>GLAXO</t>
        </is>
      </c>
      <c r="B124" t="n">
        <v>50.43669692393503</v>
      </c>
      <c r="C124" t="n">
        <v>2.929950862758538</v>
      </c>
      <c r="D124" s="20" t="n">
        <v>45657</v>
      </c>
      <c r="E124" t="n">
        <v>2190.1</v>
      </c>
      <c r="F124" t="n">
        <v>2265.45</v>
      </c>
      <c r="G124" t="n">
        <v>2158.4</v>
      </c>
      <c r="H124" t="n">
        <v>2251.85</v>
      </c>
      <c r="I124" t="n">
        <v>124472</v>
      </c>
      <c r="J124" t="n">
        <v>82740.45</v>
      </c>
      <c r="L124" t="inlineStr">
        <is>
          <t>Bear</t>
        </is>
      </c>
      <c r="M124" t="n">
        <v>58</v>
      </c>
      <c r="N124" s="20" t="n">
        <v>45572</v>
      </c>
      <c r="O124" t="inlineStr">
        <is>
          <t>True</t>
        </is>
      </c>
    </row>
    <row r="125">
      <c r="A125" t="inlineStr">
        <is>
          <t>MEDANTA</t>
        </is>
      </c>
      <c r="B125" t="n">
        <v>-38.24680555147358</v>
      </c>
      <c r="C125" t="n">
        <v>0.01391014049242741</v>
      </c>
      <c r="D125" s="20" t="n">
        <v>45657</v>
      </c>
      <c r="E125" t="n">
        <v>1078.35</v>
      </c>
      <c r="F125" t="n">
        <v>1104.9</v>
      </c>
      <c r="G125" t="n">
        <v>1075.5</v>
      </c>
      <c r="H125" t="n">
        <v>1078.5</v>
      </c>
      <c r="I125" t="n">
        <v>247935</v>
      </c>
      <c r="J125" t="n">
        <v>401493.4</v>
      </c>
      <c r="L125" t="inlineStr">
        <is>
          <t>Bull</t>
        </is>
      </c>
      <c r="M125" t="n">
        <v>20</v>
      </c>
      <c r="N125" s="20" t="n">
        <v>45628</v>
      </c>
      <c r="O125" t="inlineStr">
        <is>
          <t>False</t>
        </is>
      </c>
    </row>
    <row r="126">
      <c r="A126" t="inlineStr">
        <is>
          <t>GMMPFAUDLR</t>
        </is>
      </c>
      <c r="B126" t="n">
        <v>147.6942895825879</v>
      </c>
      <c r="C126" t="n">
        <v>-0.5694760820045558</v>
      </c>
      <c r="D126" s="20" t="n">
        <v>45657</v>
      </c>
      <c r="E126" t="n">
        <v>1186</v>
      </c>
      <c r="F126" t="n">
        <v>1190.6</v>
      </c>
      <c r="G126" t="n">
        <v>1167.5</v>
      </c>
      <c r="H126" t="n">
        <v>1178.55</v>
      </c>
      <c r="I126" t="n">
        <v>181027</v>
      </c>
      <c r="J126" t="n">
        <v>73084.85000000001</v>
      </c>
      <c r="L126" t="inlineStr">
        <is>
          <t>Bear</t>
        </is>
      </c>
      <c r="M126" t="n">
        <v>42</v>
      </c>
      <c r="N126" s="20" t="n">
        <v>45594</v>
      </c>
      <c r="O126" t="inlineStr">
        <is>
          <t>False</t>
        </is>
      </c>
    </row>
    <row r="127">
      <c r="A127" t="inlineStr">
        <is>
          <t>GPIL</t>
        </is>
      </c>
      <c r="B127" t="n">
        <v>-57.72427404797633</v>
      </c>
      <c r="C127" t="n">
        <v>1.568154402895057</v>
      </c>
      <c r="D127" s="20" t="n">
        <v>45657</v>
      </c>
      <c r="E127" t="n">
        <v>199</v>
      </c>
      <c r="F127" t="n">
        <v>204.24</v>
      </c>
      <c r="G127" t="n">
        <v>198.96</v>
      </c>
      <c r="H127" t="n">
        <v>202.08</v>
      </c>
      <c r="I127" t="n">
        <v>1586698</v>
      </c>
      <c r="J127" t="n">
        <v>3753212.9</v>
      </c>
      <c r="L127" t="inlineStr">
        <is>
          <t>Bull</t>
        </is>
      </c>
      <c r="M127" t="n">
        <v>17</v>
      </c>
      <c r="N127" s="20" t="n">
        <v>45631</v>
      </c>
      <c r="O127" t="inlineStr">
        <is>
          <t>True</t>
        </is>
      </c>
    </row>
    <row r="128">
      <c r="A128" t="inlineStr">
        <is>
          <t>GODFRYPHLP</t>
        </is>
      </c>
      <c r="B128" t="n">
        <v>268.8885691523518</v>
      </c>
      <c r="C128" t="n">
        <v>8.465257173683009</v>
      </c>
      <c r="D128" s="20" t="n">
        <v>45657</v>
      </c>
      <c r="E128" t="n">
        <v>4851.65</v>
      </c>
      <c r="F128" t="n">
        <v>5295</v>
      </c>
      <c r="G128" t="n">
        <v>4851.15</v>
      </c>
      <c r="H128" t="n">
        <v>5227.7</v>
      </c>
      <c r="I128" t="n">
        <v>346118</v>
      </c>
      <c r="J128" t="n">
        <v>93827.25</v>
      </c>
      <c r="L128" t="inlineStr">
        <is>
          <t>Bear</t>
        </is>
      </c>
      <c r="M128" t="n">
        <v>27</v>
      </c>
      <c r="N128" s="20" t="n">
        <v>45617</v>
      </c>
      <c r="O128" t="inlineStr">
        <is>
          <t>True</t>
        </is>
      </c>
    </row>
    <row r="129">
      <c r="A129" t="inlineStr">
        <is>
          <t>GOLDIAM</t>
        </is>
      </c>
      <c r="B129" t="n">
        <v>-56.27510173228759</v>
      </c>
      <c r="C129" t="n">
        <v>2.700545430357849</v>
      </c>
      <c r="D129" s="20" t="n">
        <v>45657</v>
      </c>
      <c r="E129" t="n">
        <v>375.85</v>
      </c>
      <c r="F129" t="n">
        <v>390.4</v>
      </c>
      <c r="G129" t="n">
        <v>373.4</v>
      </c>
      <c r="H129" t="n">
        <v>386</v>
      </c>
      <c r="I129" t="n">
        <v>520433</v>
      </c>
      <c r="J129" t="n">
        <v>1190244.05</v>
      </c>
      <c r="L129" t="inlineStr">
        <is>
          <t>Bull</t>
        </is>
      </c>
      <c r="M129" t="n">
        <v>16</v>
      </c>
      <c r="N129" s="20" t="n">
        <v>45632</v>
      </c>
      <c r="O129" t="inlineStr">
        <is>
          <t>True</t>
        </is>
      </c>
    </row>
    <row r="130">
      <c r="A130" t="inlineStr">
        <is>
          <t>GRANULES</t>
        </is>
      </c>
      <c r="B130" t="n">
        <v>-84.54089755534538</v>
      </c>
      <c r="C130" t="n">
        <v>1.473359602535533</v>
      </c>
      <c r="D130" s="20" t="n">
        <v>45657</v>
      </c>
      <c r="E130" t="n">
        <v>582.3</v>
      </c>
      <c r="F130" t="n">
        <v>594.45</v>
      </c>
      <c r="G130" t="n">
        <v>579</v>
      </c>
      <c r="H130" t="n">
        <v>592.3</v>
      </c>
      <c r="I130" t="n">
        <v>553085</v>
      </c>
      <c r="J130" t="n">
        <v>3577730.35</v>
      </c>
      <c r="L130" t="inlineStr">
        <is>
          <t>Bull</t>
        </is>
      </c>
      <c r="M130" t="n">
        <v>11</v>
      </c>
      <c r="N130" s="20" t="n">
        <v>45639</v>
      </c>
      <c r="O130" t="inlineStr">
        <is>
          <t>True</t>
        </is>
      </c>
    </row>
    <row r="131">
      <c r="A131" t="inlineStr">
        <is>
          <t>GREENLAM</t>
        </is>
      </c>
      <c r="B131" t="n">
        <v>40.07530776870369</v>
      </c>
      <c r="C131" t="n">
        <v>-3.523462112419168</v>
      </c>
      <c r="D131" s="20" t="n">
        <v>45657</v>
      </c>
      <c r="E131" t="n">
        <v>585</v>
      </c>
      <c r="F131" t="n">
        <v>603.1</v>
      </c>
      <c r="G131" t="n">
        <v>576.4</v>
      </c>
      <c r="H131" t="n">
        <v>581.85</v>
      </c>
      <c r="I131" t="n">
        <v>49012</v>
      </c>
      <c r="J131" t="n">
        <v>34989.75</v>
      </c>
      <c r="L131" t="inlineStr">
        <is>
          <t>Bull</t>
        </is>
      </c>
      <c r="M131" t="n">
        <v>21</v>
      </c>
      <c r="N131" s="20" t="n">
        <v>45625</v>
      </c>
      <c r="O131" t="inlineStr">
        <is>
          <t>True</t>
        </is>
      </c>
    </row>
    <row r="132">
      <c r="A132" t="inlineStr">
        <is>
          <t>GREENPANEL</t>
        </is>
      </c>
      <c r="B132" t="n">
        <v>-16.40045186915914</v>
      </c>
      <c r="C132" t="n">
        <v>6.775832862789384</v>
      </c>
      <c r="D132" s="20" t="n">
        <v>45657</v>
      </c>
      <c r="E132" t="n">
        <v>353.75</v>
      </c>
      <c r="F132" t="n">
        <v>383.1</v>
      </c>
      <c r="G132" t="n">
        <v>348.05</v>
      </c>
      <c r="H132" t="n">
        <v>378.2</v>
      </c>
      <c r="I132" t="n">
        <v>222713</v>
      </c>
      <c r="J132" t="n">
        <v>266404.55</v>
      </c>
      <c r="L132" t="inlineStr">
        <is>
          <t>Bear</t>
        </is>
      </c>
      <c r="M132" t="n">
        <v>2</v>
      </c>
      <c r="N132" s="20" t="n">
        <v>45653</v>
      </c>
      <c r="O132" t="inlineStr">
        <is>
          <t>False</t>
        </is>
      </c>
    </row>
    <row r="133">
      <c r="A133" t="inlineStr">
        <is>
          <t>GPPL</t>
        </is>
      </c>
      <c r="B133" t="n">
        <v>-45.3261461452387</v>
      </c>
      <c r="C133" t="n">
        <v>2.450539568345332</v>
      </c>
      <c r="D133" s="20" t="n">
        <v>45657</v>
      </c>
      <c r="E133" t="n">
        <v>177</v>
      </c>
      <c r="F133" t="n">
        <v>183.64</v>
      </c>
      <c r="G133" t="n">
        <v>176.66</v>
      </c>
      <c r="H133" t="n">
        <v>182.28</v>
      </c>
      <c r="I133" t="n">
        <v>623612</v>
      </c>
      <c r="J133" t="n">
        <v>1140603.7</v>
      </c>
      <c r="L133" t="inlineStr">
        <is>
          <t>Bear</t>
        </is>
      </c>
      <c r="M133" t="n">
        <v>63</v>
      </c>
      <c r="N133" s="20" t="n">
        <v>45562</v>
      </c>
      <c r="O133" t="inlineStr">
        <is>
          <t>True</t>
        </is>
      </c>
    </row>
    <row r="134">
      <c r="A134" t="inlineStr">
        <is>
          <t>GSPL</t>
        </is>
      </c>
      <c r="B134" t="n">
        <v>9.85936320795531</v>
      </c>
      <c r="C134" t="n">
        <v>1.843253130716182</v>
      </c>
      <c r="D134" s="20" t="n">
        <v>45657</v>
      </c>
      <c r="E134" t="n">
        <v>355</v>
      </c>
      <c r="F134" t="n">
        <v>364</v>
      </c>
      <c r="G134" t="n">
        <v>350</v>
      </c>
      <c r="H134" t="n">
        <v>361.9</v>
      </c>
      <c r="I134" t="n">
        <v>768166</v>
      </c>
      <c r="J134" t="n">
        <v>699226.7</v>
      </c>
      <c r="L134" t="inlineStr">
        <is>
          <t>Bear</t>
        </is>
      </c>
      <c r="M134" t="n">
        <v>36</v>
      </c>
      <c r="N134" s="20" t="n">
        <v>45602</v>
      </c>
      <c r="O134" t="inlineStr">
        <is>
          <t>True</t>
        </is>
      </c>
    </row>
    <row r="135">
      <c r="A135" t="inlineStr">
        <is>
          <t>GUJGASLTD</t>
        </is>
      </c>
      <c r="B135" t="n">
        <v>29.48319359003683</v>
      </c>
      <c r="C135" t="n">
        <v>0.3714113631800774</v>
      </c>
      <c r="D135" s="20" t="n">
        <v>45657</v>
      </c>
      <c r="E135" t="n">
        <v>487</v>
      </c>
      <c r="F135" t="n">
        <v>500</v>
      </c>
      <c r="G135" t="n">
        <v>479.15</v>
      </c>
      <c r="H135" t="n">
        <v>499.95</v>
      </c>
      <c r="I135" t="n">
        <v>951612</v>
      </c>
      <c r="J135" t="n">
        <v>734930.9</v>
      </c>
      <c r="L135" t="inlineStr">
        <is>
          <t>Bear</t>
        </is>
      </c>
      <c r="M135" t="n">
        <v>64</v>
      </c>
      <c r="N135" s="20" t="n">
        <v>45561</v>
      </c>
      <c r="O135" t="inlineStr">
        <is>
          <t>True</t>
        </is>
      </c>
    </row>
    <row r="136">
      <c r="A136" t="inlineStr">
        <is>
          <t>GULFOILLUB</t>
        </is>
      </c>
      <c r="B136" t="n">
        <v>-51.37974535897111</v>
      </c>
      <c r="C136" t="n">
        <v>0.8499170812603648</v>
      </c>
      <c r="D136" s="20" t="n">
        <v>45657</v>
      </c>
      <c r="E136" t="n">
        <v>1206</v>
      </c>
      <c r="F136" t="n">
        <v>1223</v>
      </c>
      <c r="G136" t="n">
        <v>1184.35</v>
      </c>
      <c r="H136" t="n">
        <v>1216.25</v>
      </c>
      <c r="I136" t="n">
        <v>72321</v>
      </c>
      <c r="J136" t="n">
        <v>148746.65</v>
      </c>
      <c r="L136" t="inlineStr">
        <is>
          <t>Bear</t>
        </is>
      </c>
      <c r="M136" t="n">
        <v>48</v>
      </c>
      <c r="N136" s="20" t="n">
        <v>45586</v>
      </c>
      <c r="O136" t="inlineStr">
        <is>
          <t>True</t>
        </is>
      </c>
    </row>
    <row r="137">
      <c r="A137" t="inlineStr">
        <is>
          <t>HUDCO</t>
        </is>
      </c>
      <c r="B137" t="n">
        <v>37.83310824749111</v>
      </c>
      <c r="C137" t="n">
        <v>4.038120567375893</v>
      </c>
      <c r="D137" s="20" t="n">
        <v>45657</v>
      </c>
      <c r="E137" t="n">
        <v>226.9</v>
      </c>
      <c r="F137" t="n">
        <v>236.42</v>
      </c>
      <c r="G137" t="n">
        <v>224.66</v>
      </c>
      <c r="H137" t="n">
        <v>234.71</v>
      </c>
      <c r="I137" t="n">
        <v>8758607</v>
      </c>
      <c r="J137" t="n">
        <v>6354501.55</v>
      </c>
      <c r="L137" t="inlineStr">
        <is>
          <t>Bull</t>
        </is>
      </c>
      <c r="M137" t="n">
        <v>15</v>
      </c>
      <c r="N137" s="20" t="n">
        <v>45635</v>
      </c>
      <c r="O137" t="inlineStr">
        <is>
          <t>True</t>
        </is>
      </c>
    </row>
    <row r="138">
      <c r="A138" t="inlineStr">
        <is>
          <t>HGINFRA</t>
        </is>
      </c>
      <c r="B138" t="n">
        <v>-64.5505072907316</v>
      </c>
      <c r="C138" t="n">
        <v>1.468624833110814</v>
      </c>
      <c r="D138" s="20" t="n">
        <v>45657</v>
      </c>
      <c r="E138" t="n">
        <v>1498</v>
      </c>
      <c r="F138" t="n">
        <v>1525.3</v>
      </c>
      <c r="G138" t="n">
        <v>1490</v>
      </c>
      <c r="H138" t="n">
        <v>1520</v>
      </c>
      <c r="I138" t="n">
        <v>60579</v>
      </c>
      <c r="J138" t="n">
        <v>170888.2</v>
      </c>
      <c r="L138" t="inlineStr">
        <is>
          <t>Bull</t>
        </is>
      </c>
      <c r="M138" t="n">
        <v>12</v>
      </c>
      <c r="N138" s="20" t="n">
        <v>45638</v>
      </c>
      <c r="O138" t="inlineStr">
        <is>
          <t>True</t>
        </is>
      </c>
    </row>
    <row r="139">
      <c r="A139" t="inlineStr">
        <is>
          <t>HDFCAMC</t>
        </is>
      </c>
      <c r="B139" t="n">
        <v>23.27884460717815</v>
      </c>
      <c r="C139" t="n">
        <v>-1.555539925915493</v>
      </c>
      <c r="D139" s="20" t="n">
        <v>45657</v>
      </c>
      <c r="E139" t="n">
        <v>4230</v>
      </c>
      <c r="F139" t="n">
        <v>4254.9</v>
      </c>
      <c r="G139" t="n">
        <v>4182.05</v>
      </c>
      <c r="H139" t="n">
        <v>4199.05</v>
      </c>
      <c r="I139" t="n">
        <v>397764</v>
      </c>
      <c r="J139" t="n">
        <v>322653.9</v>
      </c>
      <c r="L139" t="inlineStr">
        <is>
          <t>Bear</t>
        </is>
      </c>
      <c r="M139" t="n">
        <v>4</v>
      </c>
      <c r="N139" s="20" t="n">
        <v>45650</v>
      </c>
      <c r="O139" t="inlineStr">
        <is>
          <t>True</t>
        </is>
      </c>
    </row>
    <row r="140">
      <c r="A140" t="inlineStr">
        <is>
          <t>HDFCBANK</t>
        </is>
      </c>
      <c r="B140" t="n">
        <v>-33.4813894645527</v>
      </c>
      <c r="C140" t="n">
        <v>-0.2840429720456821</v>
      </c>
      <c r="D140" s="20" t="n">
        <v>45657</v>
      </c>
      <c r="E140" t="n">
        <v>1770.3</v>
      </c>
      <c r="F140" t="n">
        <v>1781.8</v>
      </c>
      <c r="G140" t="n">
        <v>1765.6</v>
      </c>
      <c r="H140" t="n">
        <v>1772.85</v>
      </c>
      <c r="I140" t="n">
        <v>7058618</v>
      </c>
      <c r="J140" t="n">
        <v>10611493.45</v>
      </c>
      <c r="L140" t="inlineStr">
        <is>
          <t>Bull</t>
        </is>
      </c>
      <c r="M140" t="n">
        <v>148</v>
      </c>
      <c r="N140" s="20" t="n">
        <v>45440</v>
      </c>
      <c r="O140" t="inlineStr">
        <is>
          <t>True</t>
        </is>
      </c>
    </row>
    <row r="141">
      <c r="A141" t="inlineStr">
        <is>
          <t>HEROMOTOCO</t>
        </is>
      </c>
      <c r="B141" t="n">
        <v>-30.67329884437671</v>
      </c>
      <c r="C141" t="n">
        <v>-0.6447607221320087</v>
      </c>
      <c r="D141" s="20" t="n">
        <v>45657</v>
      </c>
      <c r="E141" t="n">
        <v>4162.4</v>
      </c>
      <c r="F141" t="n">
        <v>4217.45</v>
      </c>
      <c r="G141" t="n">
        <v>4150</v>
      </c>
      <c r="H141" t="n">
        <v>4160.6</v>
      </c>
      <c r="I141" t="n">
        <v>492605</v>
      </c>
      <c r="J141" t="n">
        <v>710555.95</v>
      </c>
      <c r="L141" t="inlineStr">
        <is>
          <t>Bear</t>
        </is>
      </c>
      <c r="M141" t="n">
        <v>50</v>
      </c>
      <c r="N141" s="20" t="n">
        <v>45582</v>
      </c>
      <c r="O141" t="inlineStr">
        <is>
          <t>True</t>
        </is>
      </c>
    </row>
    <row r="142">
      <c r="A142" t="inlineStr">
        <is>
          <t>HINDUNILVR</t>
        </is>
      </c>
      <c r="B142" t="n">
        <v>13.04731247262964</v>
      </c>
      <c r="C142" t="n">
        <v>-0.7104757840836395</v>
      </c>
      <c r="D142" s="20" t="n">
        <v>45657</v>
      </c>
      <c r="E142" t="n">
        <v>2340</v>
      </c>
      <c r="F142" t="n">
        <v>2352.65</v>
      </c>
      <c r="G142" t="n">
        <v>2323.25</v>
      </c>
      <c r="H142" t="n">
        <v>2326.85</v>
      </c>
      <c r="I142" t="n">
        <v>1878762</v>
      </c>
      <c r="J142" t="n">
        <v>1661925.4</v>
      </c>
      <c r="L142" t="inlineStr">
        <is>
          <t>Bear</t>
        </is>
      </c>
      <c r="M142" t="n">
        <v>48</v>
      </c>
      <c r="N142" s="20" t="n">
        <v>45586</v>
      </c>
      <c r="O142" t="inlineStr">
        <is>
          <t>True</t>
        </is>
      </c>
    </row>
    <row r="143">
      <c r="A143" t="inlineStr">
        <is>
          <t>HAL</t>
        </is>
      </c>
      <c r="B143" t="n">
        <v>-33.23090695571856</v>
      </c>
      <c r="C143" t="n">
        <v>2.384190343171492</v>
      </c>
      <c r="D143" s="20" t="n">
        <v>45657</v>
      </c>
      <c r="E143" t="n">
        <v>4081.05</v>
      </c>
      <c r="F143" t="n">
        <v>4198.9</v>
      </c>
      <c r="G143" t="n">
        <v>4081</v>
      </c>
      <c r="H143" t="n">
        <v>4178.35</v>
      </c>
      <c r="I143" t="n">
        <v>901281</v>
      </c>
      <c r="J143" t="n">
        <v>1349847.6</v>
      </c>
      <c r="L143" t="inlineStr">
        <is>
          <t>Bear</t>
        </is>
      </c>
      <c r="M143" t="n">
        <v>3</v>
      </c>
      <c r="N143" s="20" t="n">
        <v>45652</v>
      </c>
      <c r="O143" t="inlineStr">
        <is>
          <t>False</t>
        </is>
      </c>
    </row>
    <row r="144">
      <c r="A144" t="inlineStr">
        <is>
          <t>HINDOILEXP</t>
        </is>
      </c>
      <c r="B144" t="n">
        <v>-55.80866554528912</v>
      </c>
      <c r="C144" t="n">
        <v>1.350154935812305</v>
      </c>
      <c r="D144" s="20" t="n">
        <v>45657</v>
      </c>
      <c r="E144" t="n">
        <v>180.4</v>
      </c>
      <c r="F144" t="n">
        <v>183.88</v>
      </c>
      <c r="G144" t="n">
        <v>179.9</v>
      </c>
      <c r="H144" t="n">
        <v>183.16</v>
      </c>
      <c r="I144" t="n">
        <v>253013</v>
      </c>
      <c r="J144" t="n">
        <v>572539.85</v>
      </c>
      <c r="L144" t="inlineStr">
        <is>
          <t>Bear</t>
        </is>
      </c>
      <c r="M144" t="n">
        <v>65</v>
      </c>
      <c r="N144" s="20" t="n">
        <v>45560</v>
      </c>
      <c r="O144" t="inlineStr">
        <is>
          <t>True</t>
        </is>
      </c>
    </row>
    <row r="145">
      <c r="A145" t="inlineStr">
        <is>
          <t>HINDALCO</t>
        </is>
      </c>
      <c r="B145" t="n">
        <v>-12.46154540832954</v>
      </c>
      <c r="C145" t="n">
        <v>0.2245882548660826</v>
      </c>
      <c r="D145" s="20" t="n">
        <v>45657</v>
      </c>
      <c r="E145" t="n">
        <v>601.4</v>
      </c>
      <c r="F145" t="n">
        <v>605.9</v>
      </c>
      <c r="G145" t="n">
        <v>597.45</v>
      </c>
      <c r="H145" t="n">
        <v>602.45</v>
      </c>
      <c r="I145" t="n">
        <v>3807525</v>
      </c>
      <c r="J145" t="n">
        <v>4349545.6</v>
      </c>
      <c r="L145" t="inlineStr">
        <is>
          <t>Bear</t>
        </is>
      </c>
      <c r="M145" t="n">
        <v>35</v>
      </c>
      <c r="N145" s="20" t="n">
        <v>45603</v>
      </c>
      <c r="O145" t="inlineStr">
        <is>
          <t>True</t>
        </is>
      </c>
    </row>
    <row r="146">
      <c r="A146" t="inlineStr">
        <is>
          <t>HLEGLAS</t>
        </is>
      </c>
      <c r="B146" t="n">
        <v>-49.96368104197406</v>
      </c>
      <c r="C146" t="n">
        <v>0.7508532423208191</v>
      </c>
      <c r="D146" s="20" t="n">
        <v>45657</v>
      </c>
      <c r="E146" t="n">
        <v>366.25</v>
      </c>
      <c r="F146" t="n">
        <v>370.95</v>
      </c>
      <c r="G146" t="n">
        <v>363.1</v>
      </c>
      <c r="H146" t="n">
        <v>369</v>
      </c>
      <c r="I146" t="n">
        <v>31928</v>
      </c>
      <c r="J146" t="n">
        <v>63809.65</v>
      </c>
      <c r="L146" t="inlineStr">
        <is>
          <t>Bear</t>
        </is>
      </c>
      <c r="M146" t="n">
        <v>3</v>
      </c>
      <c r="N146" s="20" t="n">
        <v>45652</v>
      </c>
      <c r="O146" t="inlineStr">
        <is>
          <t>False</t>
        </is>
      </c>
    </row>
    <row r="147">
      <c r="A147" t="inlineStr">
        <is>
          <t>ICICIBANK</t>
        </is>
      </c>
      <c r="B147" t="n">
        <v>-30.85158155291846</v>
      </c>
      <c r="C147" t="n">
        <v>-1.004132390993705</v>
      </c>
      <c r="D147" s="20" t="n">
        <v>45657</v>
      </c>
      <c r="E147" t="n">
        <v>1286.9</v>
      </c>
      <c r="F147" t="n">
        <v>1289.95</v>
      </c>
      <c r="G147" t="n">
        <v>1280.1</v>
      </c>
      <c r="H147" t="n">
        <v>1281.65</v>
      </c>
      <c r="I147" t="n">
        <v>8449607</v>
      </c>
      <c r="J147" t="n">
        <v>12219523.15</v>
      </c>
      <c r="L147" t="inlineStr">
        <is>
          <t>Bull</t>
        </is>
      </c>
      <c r="M147" t="n">
        <v>266</v>
      </c>
      <c r="N147" s="20" t="n">
        <v>45265</v>
      </c>
    </row>
    <row r="148">
      <c r="A148" t="inlineStr">
        <is>
          <t>INDIAMART</t>
        </is>
      </c>
      <c r="B148" t="n">
        <v>37.01742544273309</v>
      </c>
      <c r="C148" t="n">
        <v>-0.8815232722143863</v>
      </c>
      <c r="D148" s="20" t="n">
        <v>45657</v>
      </c>
      <c r="E148" t="n">
        <v>2268.8</v>
      </c>
      <c r="F148" t="n">
        <v>2275</v>
      </c>
      <c r="G148" t="n">
        <v>2226.15</v>
      </c>
      <c r="H148" t="n">
        <v>2248.8</v>
      </c>
      <c r="I148" t="n">
        <v>270289</v>
      </c>
      <c r="J148" t="n">
        <v>197266.15</v>
      </c>
      <c r="L148" t="inlineStr">
        <is>
          <t>Bear</t>
        </is>
      </c>
      <c r="M148" t="n">
        <v>47</v>
      </c>
      <c r="N148" s="20" t="n">
        <v>45587</v>
      </c>
      <c r="O148" t="inlineStr">
        <is>
          <t>False</t>
        </is>
      </c>
    </row>
    <row r="149">
      <c r="A149" t="inlineStr">
        <is>
          <t>INDIANB</t>
        </is>
      </c>
      <c r="B149" t="n">
        <v>63.04334352550882</v>
      </c>
      <c r="C149" t="n">
        <v>-0.1883416517562859</v>
      </c>
      <c r="D149" s="20" t="n">
        <v>45657</v>
      </c>
      <c r="E149" t="n">
        <v>532</v>
      </c>
      <c r="F149" t="n">
        <v>536.05</v>
      </c>
      <c r="G149" t="n">
        <v>525.7</v>
      </c>
      <c r="H149" t="n">
        <v>529.95</v>
      </c>
      <c r="I149" t="n">
        <v>2801646</v>
      </c>
      <c r="J149" t="n">
        <v>1718344.3</v>
      </c>
      <c r="L149" t="inlineStr">
        <is>
          <t>Bear</t>
        </is>
      </c>
      <c r="M149" t="n">
        <v>1</v>
      </c>
      <c r="N149" s="20" t="n">
        <v>45656</v>
      </c>
      <c r="O149" t="inlineStr">
        <is>
          <t>False</t>
        </is>
      </c>
    </row>
    <row r="150">
      <c r="A150" t="inlineStr">
        <is>
          <t>INDHOTEL</t>
        </is>
      </c>
      <c r="B150" t="n">
        <v>23.37018689394849</v>
      </c>
      <c r="C150" t="n">
        <v>-1.360085426853259</v>
      </c>
      <c r="D150" s="20" t="n">
        <v>45657</v>
      </c>
      <c r="E150" t="n">
        <v>881</v>
      </c>
      <c r="F150" t="n">
        <v>881</v>
      </c>
      <c r="G150" t="n">
        <v>858</v>
      </c>
      <c r="H150" t="n">
        <v>877.55</v>
      </c>
      <c r="I150" t="n">
        <v>4097079</v>
      </c>
      <c r="J150" t="n">
        <v>3320963.6</v>
      </c>
      <c r="L150" t="inlineStr">
        <is>
          <t>Bull</t>
        </is>
      </c>
      <c r="M150" t="n">
        <v>138</v>
      </c>
      <c r="N150" s="20" t="n">
        <v>45454</v>
      </c>
      <c r="O150" t="inlineStr">
        <is>
          <t>True</t>
        </is>
      </c>
    </row>
    <row r="151">
      <c r="A151" t="inlineStr">
        <is>
          <t>IMFA</t>
        </is>
      </c>
      <c r="B151" t="n">
        <v>-46.50554951348382</v>
      </c>
      <c r="C151" t="n">
        <v>2.707245332853107</v>
      </c>
      <c r="D151" s="20" t="n">
        <v>45657</v>
      </c>
      <c r="E151" t="n">
        <v>827.3</v>
      </c>
      <c r="F151" t="n">
        <v>862</v>
      </c>
      <c r="G151" t="n">
        <v>816.05</v>
      </c>
      <c r="H151" t="n">
        <v>855.5</v>
      </c>
      <c r="I151" t="n">
        <v>83249</v>
      </c>
      <c r="J151" t="n">
        <v>155621.75</v>
      </c>
      <c r="L151" t="inlineStr">
        <is>
          <t>Bull</t>
        </is>
      </c>
      <c r="M151" t="n">
        <v>35</v>
      </c>
      <c r="N151" s="20" t="n">
        <v>45603</v>
      </c>
      <c r="O151" t="inlineStr">
        <is>
          <t>True</t>
        </is>
      </c>
    </row>
    <row r="152">
      <c r="A152" t="inlineStr">
        <is>
          <t>ICIL</t>
        </is>
      </c>
      <c r="B152" t="n">
        <v>-75.04031554118147</v>
      </c>
      <c r="C152" t="n">
        <v>-0.3642434360297431</v>
      </c>
      <c r="D152" s="20" t="n">
        <v>45657</v>
      </c>
      <c r="E152" t="n">
        <v>330</v>
      </c>
      <c r="F152" t="n">
        <v>330.3</v>
      </c>
      <c r="G152" t="n">
        <v>321.8</v>
      </c>
      <c r="H152" t="n">
        <v>328.25</v>
      </c>
      <c r="I152" t="n">
        <v>174782</v>
      </c>
      <c r="J152" t="n">
        <v>700257.25</v>
      </c>
      <c r="L152" t="inlineStr">
        <is>
          <t>Bear</t>
        </is>
      </c>
      <c r="M152" t="n">
        <v>2</v>
      </c>
      <c r="N152" s="20" t="n">
        <v>45653</v>
      </c>
      <c r="O152" t="inlineStr">
        <is>
          <t>False</t>
        </is>
      </c>
    </row>
    <row r="153">
      <c r="A153" t="inlineStr">
        <is>
          <t>IGL</t>
        </is>
      </c>
      <c r="B153" t="n">
        <v>-33.57741451897888</v>
      </c>
      <c r="C153" t="n">
        <v>2.050085931745634</v>
      </c>
      <c r="D153" s="20" t="n">
        <v>45657</v>
      </c>
      <c r="E153" t="n">
        <v>408</v>
      </c>
      <c r="F153" t="n">
        <v>417.7</v>
      </c>
      <c r="G153" t="n">
        <v>401.45</v>
      </c>
      <c r="H153" t="n">
        <v>415.65</v>
      </c>
      <c r="I153" t="n">
        <v>4287712</v>
      </c>
      <c r="J153" t="n">
        <v>6455201.9</v>
      </c>
      <c r="L153" t="inlineStr">
        <is>
          <t>Bear</t>
        </is>
      </c>
      <c r="M153" t="n">
        <v>50</v>
      </c>
      <c r="N153" s="20" t="n">
        <v>45582</v>
      </c>
      <c r="O153" t="inlineStr">
        <is>
          <t>True</t>
        </is>
      </c>
    </row>
    <row r="154">
      <c r="A154" t="inlineStr">
        <is>
          <t>INDUSTOWER</t>
        </is>
      </c>
      <c r="B154" t="n">
        <v>-33.23627334523304</v>
      </c>
      <c r="C154" t="n">
        <v>0.5146302014409645</v>
      </c>
      <c r="D154" s="20" t="n">
        <v>45657</v>
      </c>
      <c r="E154" t="n">
        <v>341.8</v>
      </c>
      <c r="F154" t="n">
        <v>343.8</v>
      </c>
      <c r="G154" t="n">
        <v>335.2</v>
      </c>
      <c r="H154" t="n">
        <v>341.8</v>
      </c>
      <c r="I154" t="n">
        <v>7230147</v>
      </c>
      <c r="J154" t="n">
        <v>10829453.9</v>
      </c>
      <c r="L154" t="inlineStr">
        <is>
          <t>Bear</t>
        </is>
      </c>
      <c r="M154" t="n">
        <v>63</v>
      </c>
      <c r="N154" s="20" t="n">
        <v>45562</v>
      </c>
      <c r="O154" t="inlineStr">
        <is>
          <t>True</t>
        </is>
      </c>
    </row>
    <row r="155">
      <c r="A155" t="inlineStr">
        <is>
          <t>IOLCP</t>
        </is>
      </c>
      <c r="B155" t="n">
        <v>-64.10530312379666</v>
      </c>
      <c r="C155" t="n">
        <v>-2.16060496939143</v>
      </c>
      <c r="D155" s="20" t="n">
        <v>45657</v>
      </c>
      <c r="E155" t="n">
        <v>417.95</v>
      </c>
      <c r="F155" t="n">
        <v>418.55</v>
      </c>
      <c r="G155" t="n">
        <v>406.15</v>
      </c>
      <c r="H155" t="n">
        <v>407.55</v>
      </c>
      <c r="I155" t="n">
        <v>266131</v>
      </c>
      <c r="J155" t="n">
        <v>741421.5</v>
      </c>
      <c r="L155" t="inlineStr">
        <is>
          <t>Bull</t>
        </is>
      </c>
      <c r="M155" t="n">
        <v>6</v>
      </c>
      <c r="N155" s="20" t="n">
        <v>45646</v>
      </c>
      <c r="O155" t="inlineStr">
        <is>
          <t>True</t>
        </is>
      </c>
    </row>
    <row r="156">
      <c r="A156" t="inlineStr">
        <is>
          <t>IONEXCHANG</t>
        </is>
      </c>
      <c r="B156" t="n">
        <v>-39.60836924978717</v>
      </c>
      <c r="C156" t="n">
        <v>2.583313821899644</v>
      </c>
      <c r="D156" s="20" t="n">
        <v>45657</v>
      </c>
      <c r="E156" t="n">
        <v>640</v>
      </c>
      <c r="F156" t="n">
        <v>664.5</v>
      </c>
      <c r="G156" t="n">
        <v>630</v>
      </c>
      <c r="H156" t="n">
        <v>657.2</v>
      </c>
      <c r="I156" t="n">
        <v>250914</v>
      </c>
      <c r="J156" t="n">
        <v>415478.1</v>
      </c>
      <c r="L156" t="inlineStr">
        <is>
          <t>Bull</t>
        </is>
      </c>
      <c r="M156" t="n">
        <v>19</v>
      </c>
      <c r="N156" s="20" t="n">
        <v>45629</v>
      </c>
      <c r="O156" t="inlineStr">
        <is>
          <t>True</t>
        </is>
      </c>
    </row>
    <row r="157">
      <c r="A157" t="inlineStr">
        <is>
          <t>ITC</t>
        </is>
      </c>
      <c r="B157" t="n">
        <v>-11.11072382011413</v>
      </c>
      <c r="C157" t="n">
        <v>1.394129979035635</v>
      </c>
      <c r="D157" s="20" t="n">
        <v>45657</v>
      </c>
      <c r="E157" t="n">
        <v>478.45</v>
      </c>
      <c r="F157" t="n">
        <v>484.65</v>
      </c>
      <c r="G157" t="n">
        <v>474.55</v>
      </c>
      <c r="H157" t="n">
        <v>483.65</v>
      </c>
      <c r="I157" t="n">
        <v>13276195</v>
      </c>
      <c r="J157" t="n">
        <v>14935654.3</v>
      </c>
      <c r="L157" t="inlineStr">
        <is>
          <t>Bear</t>
        </is>
      </c>
      <c r="M157" t="n">
        <v>47</v>
      </c>
      <c r="N157" s="20" t="n">
        <v>45587</v>
      </c>
      <c r="O157" t="inlineStr">
        <is>
          <t>True</t>
        </is>
      </c>
    </row>
    <row r="158">
      <c r="A158" t="inlineStr">
        <is>
          <t>JBCHEPHARM</t>
        </is>
      </c>
      <c r="B158" t="n">
        <v>-45.95350089685206</v>
      </c>
      <c r="C158" t="n">
        <v>-0.6919763058696774</v>
      </c>
      <c r="D158" s="20" t="n">
        <v>45657</v>
      </c>
      <c r="E158" t="n">
        <v>1857</v>
      </c>
      <c r="F158" t="n">
        <v>1886.45</v>
      </c>
      <c r="G158" t="n">
        <v>1827.05</v>
      </c>
      <c r="H158" t="n">
        <v>1844.15</v>
      </c>
      <c r="I158" t="n">
        <v>137082</v>
      </c>
      <c r="J158" t="n">
        <v>253637.15</v>
      </c>
      <c r="L158" t="inlineStr">
        <is>
          <t>Bull</t>
        </is>
      </c>
      <c r="M158" t="n">
        <v>6</v>
      </c>
      <c r="N158" s="20" t="n">
        <v>45646</v>
      </c>
      <c r="O158" t="inlineStr">
        <is>
          <t>True</t>
        </is>
      </c>
    </row>
    <row r="159">
      <c r="A159" t="inlineStr">
        <is>
          <t>JKCEMENT</t>
        </is>
      </c>
      <c r="B159" t="n">
        <v>-34.4179118347806</v>
      </c>
      <c r="C159" t="n">
        <v>0.3345944409211228</v>
      </c>
      <c r="D159" s="20" t="n">
        <v>45657</v>
      </c>
      <c r="E159" t="n">
        <v>4572.7</v>
      </c>
      <c r="F159" t="n">
        <v>4628.25</v>
      </c>
      <c r="G159" t="n">
        <v>4534.05</v>
      </c>
      <c r="H159" t="n">
        <v>4588</v>
      </c>
      <c r="I159" t="n">
        <v>61397</v>
      </c>
      <c r="J159" t="n">
        <v>93618.55</v>
      </c>
      <c r="L159" t="inlineStr">
        <is>
          <t>Bull</t>
        </is>
      </c>
      <c r="M159" t="n">
        <v>17</v>
      </c>
      <c r="N159" s="20" t="n">
        <v>45631</v>
      </c>
      <c r="O159" t="inlineStr">
        <is>
          <t>True</t>
        </is>
      </c>
    </row>
    <row r="160">
      <c r="A160" t="inlineStr">
        <is>
          <t>JKIL</t>
        </is>
      </c>
      <c r="B160" t="n">
        <v>-57.20385723286593</v>
      </c>
      <c r="C160" t="n">
        <v>0.6463527239150477</v>
      </c>
      <c r="D160" s="20" t="n">
        <v>45657</v>
      </c>
      <c r="E160" t="n">
        <v>754.9</v>
      </c>
      <c r="F160" t="n">
        <v>778.05</v>
      </c>
      <c r="G160" t="n">
        <v>747.05</v>
      </c>
      <c r="H160" t="n">
        <v>763</v>
      </c>
      <c r="I160" t="n">
        <v>92648</v>
      </c>
      <c r="J160" t="n">
        <v>216486.8</v>
      </c>
      <c r="L160" t="inlineStr">
        <is>
          <t>Bull</t>
        </is>
      </c>
      <c r="M160" t="n">
        <v>15</v>
      </c>
      <c r="N160" s="20" t="n">
        <v>45635</v>
      </c>
      <c r="O160" t="inlineStr">
        <is>
          <t>True</t>
        </is>
      </c>
    </row>
    <row r="161">
      <c r="A161" t="inlineStr">
        <is>
          <t>JINDALSAW</t>
        </is>
      </c>
      <c r="B161" t="n">
        <v>-54.93806354004403</v>
      </c>
      <c r="C161" t="n">
        <v>1.005199306759091</v>
      </c>
      <c r="D161" s="20" t="n">
        <v>45657</v>
      </c>
      <c r="E161" t="n">
        <v>288</v>
      </c>
      <c r="F161" t="n">
        <v>293.35</v>
      </c>
      <c r="G161" t="n">
        <v>287.7</v>
      </c>
      <c r="H161" t="n">
        <v>291.4</v>
      </c>
      <c r="I161" t="n">
        <v>568914</v>
      </c>
      <c r="J161" t="n">
        <v>1262515.65</v>
      </c>
      <c r="L161" t="inlineStr">
        <is>
          <t>Bear</t>
        </is>
      </c>
      <c r="M161" t="n">
        <v>43</v>
      </c>
      <c r="N161" s="20" t="n">
        <v>45593</v>
      </c>
      <c r="O161" t="inlineStr">
        <is>
          <t>True</t>
        </is>
      </c>
    </row>
    <row r="162">
      <c r="A162" t="inlineStr">
        <is>
          <t>JSL</t>
        </is>
      </c>
      <c r="B162" t="n">
        <v>37.69866033607659</v>
      </c>
      <c r="C162" t="n">
        <v>1.790653661377212</v>
      </c>
      <c r="D162" s="20" t="n">
        <v>45657</v>
      </c>
      <c r="E162" t="n">
        <v>680.7</v>
      </c>
      <c r="F162" t="n">
        <v>704</v>
      </c>
      <c r="G162" t="n">
        <v>680.2</v>
      </c>
      <c r="H162" t="n">
        <v>699.2</v>
      </c>
      <c r="I162" t="n">
        <v>1157663</v>
      </c>
      <c r="J162" t="n">
        <v>840722.05</v>
      </c>
      <c r="L162" t="inlineStr">
        <is>
          <t>Bull</t>
        </is>
      </c>
      <c r="M162" t="n">
        <v>13</v>
      </c>
      <c r="N162" s="20" t="n">
        <v>45637</v>
      </c>
      <c r="O162" t="inlineStr">
        <is>
          <t>True</t>
        </is>
      </c>
    </row>
    <row r="163">
      <c r="A163" t="inlineStr">
        <is>
          <t>JINDALSTEL</t>
        </is>
      </c>
      <c r="B163" t="n">
        <v>-28.30505156961846</v>
      </c>
      <c r="C163" t="n">
        <v>1.366655776979208</v>
      </c>
      <c r="D163" s="20" t="n">
        <v>45657</v>
      </c>
      <c r="E163" t="n">
        <v>911.5</v>
      </c>
      <c r="F163" t="n">
        <v>935.5</v>
      </c>
      <c r="G163" t="n">
        <v>911.5</v>
      </c>
      <c r="H163" t="n">
        <v>930.85</v>
      </c>
      <c r="I163" t="n">
        <v>1135095</v>
      </c>
      <c r="J163" t="n">
        <v>1583228.7</v>
      </c>
      <c r="L163" t="inlineStr">
        <is>
          <t>Bull</t>
        </is>
      </c>
      <c r="M163" t="n">
        <v>12</v>
      </c>
      <c r="N163" s="20" t="n">
        <v>45638</v>
      </c>
      <c r="O163" t="inlineStr">
        <is>
          <t>True</t>
        </is>
      </c>
    </row>
    <row r="164">
      <c r="A164" t="inlineStr">
        <is>
          <t>JKLAKSHMI</t>
        </is>
      </c>
      <c r="B164" t="n">
        <v>-70.73676768206931</v>
      </c>
      <c r="C164" t="n">
        <v>0.1917315757938913</v>
      </c>
      <c r="D164" s="20" t="n">
        <v>45657</v>
      </c>
      <c r="E164" t="n">
        <v>830</v>
      </c>
      <c r="F164" t="n">
        <v>840.7</v>
      </c>
      <c r="G164" t="n">
        <v>827.45</v>
      </c>
      <c r="H164" t="n">
        <v>836.1</v>
      </c>
      <c r="I164" t="n">
        <v>47391</v>
      </c>
      <c r="J164" t="n">
        <v>161947.25</v>
      </c>
      <c r="L164" t="inlineStr">
        <is>
          <t>Bull</t>
        </is>
      </c>
      <c r="M164" t="n">
        <v>17</v>
      </c>
      <c r="N164" s="20" t="n">
        <v>45631</v>
      </c>
      <c r="O164" t="inlineStr">
        <is>
          <t>False</t>
        </is>
      </c>
    </row>
    <row r="165">
      <c r="A165" t="inlineStr">
        <is>
          <t>JKPAPER</t>
        </is>
      </c>
      <c r="B165" t="n">
        <v>-46.94044384814852</v>
      </c>
      <c r="C165" t="n">
        <v>2.533679396860709</v>
      </c>
      <c r="D165" s="20" t="n">
        <v>45657</v>
      </c>
      <c r="E165" t="n">
        <v>406</v>
      </c>
      <c r="F165" t="n">
        <v>416.8</v>
      </c>
      <c r="G165" t="n">
        <v>402.05</v>
      </c>
      <c r="H165" t="n">
        <v>414.8</v>
      </c>
      <c r="I165" t="n">
        <v>360357</v>
      </c>
      <c r="J165" t="n">
        <v>679155.7</v>
      </c>
      <c r="L165" t="inlineStr">
        <is>
          <t>Bear</t>
        </is>
      </c>
      <c r="M165" t="n">
        <v>3</v>
      </c>
      <c r="N165" s="20" t="n">
        <v>45652</v>
      </c>
      <c r="O165" t="inlineStr">
        <is>
          <t>False</t>
        </is>
      </c>
    </row>
    <row r="166">
      <c r="A166" t="inlineStr">
        <is>
          <t>JKTYRE</t>
        </is>
      </c>
      <c r="B166" t="n">
        <v>-28.78652159343991</v>
      </c>
      <c r="C166" t="n">
        <v>-0.7535121328224748</v>
      </c>
      <c r="D166" s="20" t="n">
        <v>45657</v>
      </c>
      <c r="E166" t="n">
        <v>391.5</v>
      </c>
      <c r="F166" t="n">
        <v>396.1</v>
      </c>
      <c r="G166" t="n">
        <v>385.6</v>
      </c>
      <c r="H166" t="n">
        <v>388.55</v>
      </c>
      <c r="I166" t="n">
        <v>539061</v>
      </c>
      <c r="J166" t="n">
        <v>756964.85</v>
      </c>
      <c r="L166" t="inlineStr">
        <is>
          <t>Bull</t>
        </is>
      </c>
      <c r="M166" t="n">
        <v>11</v>
      </c>
      <c r="N166" s="20" t="n">
        <v>45639</v>
      </c>
      <c r="O166" t="inlineStr">
        <is>
          <t>False</t>
        </is>
      </c>
    </row>
    <row r="167">
      <c r="A167" t="inlineStr">
        <is>
          <t>JSWSTEEL</t>
        </is>
      </c>
      <c r="B167" t="n">
        <v>-67.73199357491238</v>
      </c>
      <c r="C167" t="n">
        <v>0.2836642749874803</v>
      </c>
      <c r="D167" s="20" t="n">
        <v>45657</v>
      </c>
      <c r="E167" t="n">
        <v>898.05</v>
      </c>
      <c r="F167" t="n">
        <v>906.4</v>
      </c>
      <c r="G167" t="n">
        <v>896.6</v>
      </c>
      <c r="H167" t="n">
        <v>901.5</v>
      </c>
      <c r="I167" t="n">
        <v>1031176</v>
      </c>
      <c r="J167" t="n">
        <v>3195660.7</v>
      </c>
      <c r="L167" t="inlineStr">
        <is>
          <t>Bear</t>
        </is>
      </c>
      <c r="M167" t="n">
        <v>6</v>
      </c>
      <c r="N167" s="20" t="n">
        <v>45646</v>
      </c>
      <c r="O167" t="inlineStr">
        <is>
          <t>False</t>
        </is>
      </c>
    </row>
    <row r="168">
      <c r="A168" t="inlineStr">
        <is>
          <t>JWL</t>
        </is>
      </c>
      <c r="B168" t="n">
        <v>-55.57303305344673</v>
      </c>
      <c r="C168" t="n">
        <v>3.139798229359688</v>
      </c>
      <c r="D168" s="20" t="n">
        <v>45657</v>
      </c>
      <c r="E168" t="n">
        <v>486.75</v>
      </c>
      <c r="F168" t="n">
        <v>511</v>
      </c>
      <c r="G168" t="n">
        <v>485.55</v>
      </c>
      <c r="H168" t="n">
        <v>500.95</v>
      </c>
      <c r="I168" t="n">
        <v>1636170</v>
      </c>
      <c r="J168" t="n">
        <v>3682830.75</v>
      </c>
      <c r="L168" t="inlineStr">
        <is>
          <t>Bull</t>
        </is>
      </c>
      <c r="M168" t="n">
        <v>12</v>
      </c>
      <c r="N168" s="20" t="n">
        <v>45638</v>
      </c>
      <c r="O168" t="inlineStr">
        <is>
          <t>True</t>
        </is>
      </c>
    </row>
    <row r="169">
      <c r="A169" t="inlineStr">
        <is>
          <t>JYOTHYLAB</t>
        </is>
      </c>
      <c r="B169" t="n">
        <v>-59.64550620246659</v>
      </c>
      <c r="C169" t="n">
        <v>-0.9602194787379889</v>
      </c>
      <c r="D169" s="20" t="n">
        <v>45657</v>
      </c>
      <c r="E169" t="n">
        <v>399.9</v>
      </c>
      <c r="F169" t="n">
        <v>400.8</v>
      </c>
      <c r="G169" t="n">
        <v>394.3</v>
      </c>
      <c r="H169" t="n">
        <v>397.1</v>
      </c>
      <c r="I169" t="n">
        <v>381265</v>
      </c>
      <c r="J169" t="n">
        <v>944789.45</v>
      </c>
      <c r="L169" t="inlineStr">
        <is>
          <t>Bear</t>
        </is>
      </c>
      <c r="M169" t="n">
        <v>50</v>
      </c>
      <c r="N169" s="20" t="n">
        <v>45582</v>
      </c>
      <c r="O169" t="inlineStr">
        <is>
          <t>True</t>
        </is>
      </c>
    </row>
    <row r="170">
      <c r="A170" t="inlineStr">
        <is>
          <t>KCP</t>
        </is>
      </c>
      <c r="B170" t="n">
        <v>-48.40403810041966</v>
      </c>
      <c r="C170" t="n">
        <v>0.5569818545755194</v>
      </c>
      <c r="D170" s="20" t="n">
        <v>45657</v>
      </c>
      <c r="E170" t="n">
        <v>228.81</v>
      </c>
      <c r="F170" t="n">
        <v>232.72</v>
      </c>
      <c r="G170" t="n">
        <v>228.15</v>
      </c>
      <c r="H170" t="n">
        <v>231.09</v>
      </c>
      <c r="I170" t="n">
        <v>239362</v>
      </c>
      <c r="J170" t="n">
        <v>463916.15</v>
      </c>
      <c r="L170" t="inlineStr">
        <is>
          <t>Bull</t>
        </is>
      </c>
      <c r="M170" t="n">
        <v>22</v>
      </c>
      <c r="N170" s="20" t="n">
        <v>45624</v>
      </c>
      <c r="O170" t="inlineStr">
        <is>
          <t>True</t>
        </is>
      </c>
    </row>
    <row r="171">
      <c r="A171" t="inlineStr">
        <is>
          <t>KPRMILL</t>
        </is>
      </c>
      <c r="B171" t="n">
        <v>-71.03910583971093</v>
      </c>
      <c r="C171" t="n">
        <v>-0.280392549569404</v>
      </c>
      <c r="D171" s="20" t="n">
        <v>45657</v>
      </c>
      <c r="E171" t="n">
        <v>1000.5</v>
      </c>
      <c r="F171" t="n">
        <v>1005.5</v>
      </c>
      <c r="G171" t="n">
        <v>977.05</v>
      </c>
      <c r="H171" t="n">
        <v>995.8</v>
      </c>
      <c r="I171" t="n">
        <v>232993</v>
      </c>
      <c r="J171" t="n">
        <v>804509</v>
      </c>
      <c r="L171" t="inlineStr">
        <is>
          <t>Bull</t>
        </is>
      </c>
      <c r="M171" t="n">
        <v>69</v>
      </c>
      <c r="N171" s="20" t="n">
        <v>45554</v>
      </c>
      <c r="O171" t="inlineStr">
        <is>
          <t>True</t>
        </is>
      </c>
    </row>
    <row r="172">
      <c r="A172" t="inlineStr">
        <is>
          <t>KAJARIACER</t>
        </is>
      </c>
      <c r="B172" t="n">
        <v>-45.29649027396829</v>
      </c>
      <c r="C172" t="n">
        <v>1.046253106063909</v>
      </c>
      <c r="D172" s="20" t="n">
        <v>45657</v>
      </c>
      <c r="E172" t="n">
        <v>1142.1</v>
      </c>
      <c r="F172" t="n">
        <v>1163.85</v>
      </c>
      <c r="G172" t="n">
        <v>1120.6</v>
      </c>
      <c r="H172" t="n">
        <v>1158.95</v>
      </c>
      <c r="I172" t="n">
        <v>111049</v>
      </c>
      <c r="J172" t="n">
        <v>203001.6</v>
      </c>
      <c r="L172" t="inlineStr">
        <is>
          <t>Bear</t>
        </is>
      </c>
      <c r="M172" t="n">
        <v>49</v>
      </c>
      <c r="N172" s="20" t="n">
        <v>45583</v>
      </c>
      <c r="O172" t="inlineStr">
        <is>
          <t>True</t>
        </is>
      </c>
    </row>
    <row r="173">
      <c r="A173" t="inlineStr">
        <is>
          <t>KSL</t>
        </is>
      </c>
      <c r="B173" t="n">
        <v>-84.976404221195</v>
      </c>
      <c r="C173" t="n">
        <v>2.361306179775269</v>
      </c>
      <c r="D173" s="20" t="n">
        <v>45657</v>
      </c>
      <c r="E173" t="n">
        <v>1143</v>
      </c>
      <c r="F173" t="n">
        <v>1184.55</v>
      </c>
      <c r="G173" t="n">
        <v>1127.15</v>
      </c>
      <c r="H173" t="n">
        <v>1166.1</v>
      </c>
      <c r="I173" t="n">
        <v>41647</v>
      </c>
      <c r="J173" t="n">
        <v>277210.6</v>
      </c>
      <c r="L173" t="inlineStr">
        <is>
          <t>Bull</t>
        </is>
      </c>
      <c r="M173" t="n">
        <v>20</v>
      </c>
      <c r="N173" s="20" t="n">
        <v>45628</v>
      </c>
      <c r="O173" t="inlineStr">
        <is>
          <t>True</t>
        </is>
      </c>
    </row>
    <row r="174">
      <c r="A174" t="inlineStr">
        <is>
          <t>KANSAINER</t>
        </is>
      </c>
      <c r="B174" t="n">
        <v>-45.2492866211349</v>
      </c>
      <c r="C174" t="n">
        <v>2.673382409918627</v>
      </c>
      <c r="D174" s="20" t="n">
        <v>45657</v>
      </c>
      <c r="E174" t="n">
        <v>258.85</v>
      </c>
      <c r="F174" t="n">
        <v>265.5</v>
      </c>
      <c r="G174" t="n">
        <v>257.55</v>
      </c>
      <c r="H174" t="n">
        <v>265</v>
      </c>
      <c r="I174" t="n">
        <v>234879</v>
      </c>
      <c r="J174" t="n">
        <v>428997.15</v>
      </c>
      <c r="L174" t="inlineStr">
        <is>
          <t>Bear</t>
        </is>
      </c>
      <c r="M174" t="n">
        <v>53</v>
      </c>
      <c r="N174" s="20" t="n">
        <v>45579</v>
      </c>
      <c r="O174" t="inlineStr">
        <is>
          <t>False</t>
        </is>
      </c>
    </row>
    <row r="175">
      <c r="A175" t="inlineStr">
        <is>
          <t>KSCL</t>
        </is>
      </c>
      <c r="B175" t="n">
        <v>-33.57408109504023</v>
      </c>
      <c r="C175" t="n">
        <v>1.642228739002933</v>
      </c>
      <c r="D175" s="20" t="n">
        <v>45657</v>
      </c>
      <c r="E175" t="n">
        <v>845.05</v>
      </c>
      <c r="F175" t="n">
        <v>874.8</v>
      </c>
      <c r="G175" t="n">
        <v>845</v>
      </c>
      <c r="H175" t="n">
        <v>866.5</v>
      </c>
      <c r="I175" t="n">
        <v>47393</v>
      </c>
      <c r="J175" t="n">
        <v>71347.14999999999</v>
      </c>
      <c r="L175" t="inlineStr">
        <is>
          <t>Bear</t>
        </is>
      </c>
      <c r="M175" t="n">
        <v>60</v>
      </c>
      <c r="N175" s="20" t="n">
        <v>45568</v>
      </c>
      <c r="O175" t="inlineStr">
        <is>
          <t>True</t>
        </is>
      </c>
    </row>
    <row r="176">
      <c r="A176" t="inlineStr">
        <is>
          <t>KAYNES</t>
        </is>
      </c>
      <c r="B176" t="n">
        <v>-13.48653107729186</v>
      </c>
      <c r="C176" t="n">
        <v>3.031650009376237</v>
      </c>
      <c r="D176" s="20" t="n">
        <v>45657</v>
      </c>
      <c r="E176" t="n">
        <v>7173</v>
      </c>
      <c r="F176" t="n">
        <v>7440</v>
      </c>
      <c r="G176" t="n">
        <v>7079.45</v>
      </c>
      <c r="H176" t="n">
        <v>7417.3</v>
      </c>
      <c r="I176" t="n">
        <v>584671</v>
      </c>
      <c r="J176" t="n">
        <v>675815</v>
      </c>
      <c r="L176" t="inlineStr">
        <is>
          <t>Bull</t>
        </is>
      </c>
      <c r="M176" t="n">
        <v>154</v>
      </c>
      <c r="N176" s="20" t="n">
        <v>45430</v>
      </c>
      <c r="O176" t="inlineStr">
        <is>
          <t>True</t>
        </is>
      </c>
    </row>
    <row r="177">
      <c r="A177" t="inlineStr">
        <is>
          <t>KDDL</t>
        </is>
      </c>
      <c r="B177" t="n">
        <v>55.8466049993871</v>
      </c>
      <c r="C177" t="n">
        <v>1.782007796284115</v>
      </c>
      <c r="D177" s="20" t="n">
        <v>45657</v>
      </c>
      <c r="E177" t="n">
        <v>2967.9</v>
      </c>
      <c r="F177" t="n">
        <v>3120.1</v>
      </c>
      <c r="G177" t="n">
        <v>2929.65</v>
      </c>
      <c r="H177" t="n">
        <v>3015.75</v>
      </c>
      <c r="I177" t="n">
        <v>16528</v>
      </c>
      <c r="J177" t="n">
        <v>10605.3</v>
      </c>
      <c r="L177" t="inlineStr">
        <is>
          <t>Bull</t>
        </is>
      </c>
      <c r="M177" t="n">
        <v>14</v>
      </c>
      <c r="N177" s="20" t="n">
        <v>45636</v>
      </c>
      <c r="O177" t="inlineStr">
        <is>
          <t>True</t>
        </is>
      </c>
    </row>
    <row r="178">
      <c r="A178" t="inlineStr">
        <is>
          <t>KEI</t>
        </is>
      </c>
      <c r="B178" t="n">
        <v>-5.998671665356984</v>
      </c>
      <c r="C178" t="n">
        <v>1.924004686530819</v>
      </c>
      <c r="D178" s="20" t="n">
        <v>45657</v>
      </c>
      <c r="E178" t="n">
        <v>4373.85</v>
      </c>
      <c r="F178" t="n">
        <v>4465</v>
      </c>
      <c r="G178" t="n">
        <v>4310</v>
      </c>
      <c r="H178" t="n">
        <v>4436.65</v>
      </c>
      <c r="I178" t="n">
        <v>289788</v>
      </c>
      <c r="J178" t="n">
        <v>308280.75</v>
      </c>
      <c r="L178" t="inlineStr">
        <is>
          <t>Bull</t>
        </is>
      </c>
      <c r="M178" t="n">
        <v>18</v>
      </c>
      <c r="N178" s="20" t="n">
        <v>45630</v>
      </c>
      <c r="O178" t="inlineStr">
        <is>
          <t>True</t>
        </is>
      </c>
    </row>
    <row r="179">
      <c r="A179" t="inlineStr">
        <is>
          <t>KKCL</t>
        </is>
      </c>
      <c r="B179" t="n">
        <v>-32.06862526657542</v>
      </c>
      <c r="C179" t="n">
        <v>0.9511456982274102</v>
      </c>
      <c r="D179" s="20" t="n">
        <v>45657</v>
      </c>
      <c r="E179" t="n">
        <v>578.25</v>
      </c>
      <c r="F179" t="n">
        <v>595</v>
      </c>
      <c r="G179" t="n">
        <v>563.85</v>
      </c>
      <c r="H179" t="n">
        <v>583.75</v>
      </c>
      <c r="I179" t="n">
        <v>42684</v>
      </c>
      <c r="J179" t="n">
        <v>62834</v>
      </c>
      <c r="L179" t="inlineStr">
        <is>
          <t>Bear</t>
        </is>
      </c>
      <c r="M179" t="n">
        <v>46</v>
      </c>
      <c r="N179" s="20" t="n">
        <v>45588</v>
      </c>
      <c r="O179" t="inlineStr">
        <is>
          <t>False</t>
        </is>
      </c>
    </row>
    <row r="180">
      <c r="A180" t="inlineStr">
        <is>
          <t>KFINTECH</t>
        </is>
      </c>
      <c r="B180" t="n">
        <v>-53.17283427705954</v>
      </c>
      <c r="C180" t="n">
        <v>-2.877811473338385</v>
      </c>
      <c r="D180" s="20" t="n">
        <v>45657</v>
      </c>
      <c r="E180" t="n">
        <v>1580</v>
      </c>
      <c r="F180" t="n">
        <v>1580</v>
      </c>
      <c r="G180" t="n">
        <v>1506.35</v>
      </c>
      <c r="H180" t="n">
        <v>1537.25</v>
      </c>
      <c r="I180" t="n">
        <v>1043931</v>
      </c>
      <c r="J180" t="n">
        <v>2229327.75</v>
      </c>
      <c r="L180" t="inlineStr">
        <is>
          <t>Bull</t>
        </is>
      </c>
      <c r="M180" t="n">
        <v>419</v>
      </c>
      <c r="N180" s="20" t="n">
        <v>45041</v>
      </c>
    </row>
    <row r="181">
      <c r="A181" t="inlineStr">
        <is>
          <t>KIRIINDUS</t>
        </is>
      </c>
      <c r="B181" t="n">
        <v>-57.66445291417812</v>
      </c>
      <c r="C181" t="n">
        <v>1.319347701384916</v>
      </c>
      <c r="D181" s="20" t="n">
        <v>45657</v>
      </c>
      <c r="E181" t="n">
        <v>607.9</v>
      </c>
      <c r="F181" t="n">
        <v>624.4</v>
      </c>
      <c r="G181" t="n">
        <v>602.2</v>
      </c>
      <c r="H181" t="n">
        <v>618.2</v>
      </c>
      <c r="I181" t="n">
        <v>293609</v>
      </c>
      <c r="J181" t="n">
        <v>693528.3</v>
      </c>
      <c r="L181" t="inlineStr">
        <is>
          <t>Bull</t>
        </is>
      </c>
      <c r="M181" t="n">
        <v>50</v>
      </c>
      <c r="N181" s="20" t="n">
        <v>45582</v>
      </c>
      <c r="O181" t="inlineStr">
        <is>
          <t>True</t>
        </is>
      </c>
    </row>
    <row r="182">
      <c r="A182" t="inlineStr">
        <is>
          <t>KIRLPNU</t>
        </is>
      </c>
      <c r="B182" t="n">
        <v>-45.9536384373523</v>
      </c>
      <c r="C182" t="n">
        <v>2.521344717182494</v>
      </c>
      <c r="D182" s="20" t="n">
        <v>45657</v>
      </c>
      <c r="E182" t="n">
        <v>1498</v>
      </c>
      <c r="F182" t="n">
        <v>1576</v>
      </c>
      <c r="G182" t="n">
        <v>1489.65</v>
      </c>
      <c r="H182" t="n">
        <v>1537</v>
      </c>
      <c r="I182" t="n">
        <v>52599</v>
      </c>
      <c r="J182" t="n">
        <v>97322</v>
      </c>
      <c r="L182" t="inlineStr">
        <is>
          <t>Bull</t>
        </is>
      </c>
      <c r="M182" t="n">
        <v>54</v>
      </c>
      <c r="N182" s="20" t="n">
        <v>45576</v>
      </c>
      <c r="O182" t="inlineStr">
        <is>
          <t>True</t>
        </is>
      </c>
    </row>
    <row r="183">
      <c r="A183" t="inlineStr">
        <is>
          <t>KMEW</t>
        </is>
      </c>
      <c r="B183" t="n">
        <v>-72.41523713676375</v>
      </c>
      <c r="C183" t="n">
        <v>-2.077601334517638</v>
      </c>
      <c r="D183" s="20" t="n">
        <v>45657</v>
      </c>
      <c r="E183" t="n">
        <v>2324</v>
      </c>
      <c r="F183" t="n">
        <v>2324</v>
      </c>
      <c r="G183" t="n">
        <v>2238.1</v>
      </c>
      <c r="H183" t="n">
        <v>2260</v>
      </c>
      <c r="I183" t="n">
        <v>8168</v>
      </c>
      <c r="J183" t="n">
        <v>29610.55</v>
      </c>
      <c r="L183" t="inlineStr">
        <is>
          <t>No Signal</t>
        </is>
      </c>
      <c r="M183" t="n">
        <v>0</v>
      </c>
      <c r="N183" s="20" t="n">
        <v>45657.73529763889</v>
      </c>
    </row>
    <row r="184">
      <c r="A184" t="inlineStr">
        <is>
          <t>KNRCON</t>
        </is>
      </c>
      <c r="B184" t="n">
        <v>121.1408212677297</v>
      </c>
      <c r="C184" t="n">
        <v>1.480504250952786</v>
      </c>
      <c r="D184" s="20" t="n">
        <v>45657</v>
      </c>
      <c r="E184" t="n">
        <v>338</v>
      </c>
      <c r="F184" t="n">
        <v>352</v>
      </c>
      <c r="G184" t="n">
        <v>336</v>
      </c>
      <c r="H184" t="n">
        <v>346.15</v>
      </c>
      <c r="I184" t="n">
        <v>2241058</v>
      </c>
      <c r="J184" t="n">
        <v>1013407.65</v>
      </c>
      <c r="L184" t="inlineStr">
        <is>
          <t>Bull</t>
        </is>
      </c>
      <c r="M184" t="n">
        <v>18</v>
      </c>
      <c r="N184" s="20" t="n">
        <v>45630</v>
      </c>
      <c r="O184" t="inlineStr">
        <is>
          <t>True</t>
        </is>
      </c>
    </row>
    <row r="185">
      <c r="A185" t="inlineStr">
        <is>
          <t>KOTAKBANK</t>
        </is>
      </c>
      <c r="B185" t="n">
        <v>21.46959038568954</v>
      </c>
      <c r="C185" t="n">
        <v>2.605273740449239</v>
      </c>
      <c r="D185" s="20" t="n">
        <v>45657</v>
      </c>
      <c r="E185" t="n">
        <v>1735.05</v>
      </c>
      <c r="F185" t="n">
        <v>1796.6</v>
      </c>
      <c r="G185" t="n">
        <v>1735.05</v>
      </c>
      <c r="H185" t="n">
        <v>1786.05</v>
      </c>
      <c r="I185" t="n">
        <v>4731698</v>
      </c>
      <c r="J185" t="n">
        <v>3895376.6</v>
      </c>
      <c r="L185" t="inlineStr">
        <is>
          <t>Bear</t>
        </is>
      </c>
      <c r="M185" t="n">
        <v>44</v>
      </c>
      <c r="N185" s="20" t="n">
        <v>45590</v>
      </c>
      <c r="O185" t="inlineStr">
        <is>
          <t>False</t>
        </is>
      </c>
    </row>
    <row r="186">
      <c r="A186" t="inlineStr">
        <is>
          <t>KRBL</t>
        </is>
      </c>
      <c r="B186" t="n">
        <v>-1.885682557627763</v>
      </c>
      <c r="C186" t="n">
        <v>3.49397590361445</v>
      </c>
      <c r="D186" s="20" t="n">
        <v>45657</v>
      </c>
      <c r="E186" t="n">
        <v>291.45</v>
      </c>
      <c r="F186" t="n">
        <v>303.5</v>
      </c>
      <c r="G186" t="n">
        <v>290.1</v>
      </c>
      <c r="H186" t="n">
        <v>300.65</v>
      </c>
      <c r="I186" t="n">
        <v>557418</v>
      </c>
      <c r="J186" t="n">
        <v>568131.15</v>
      </c>
      <c r="L186" t="inlineStr">
        <is>
          <t>Bull</t>
        </is>
      </c>
      <c r="M186" t="n">
        <v>22</v>
      </c>
      <c r="N186" s="20" t="n">
        <v>45624</v>
      </c>
      <c r="O186" t="inlineStr">
        <is>
          <t>True</t>
        </is>
      </c>
    </row>
    <row r="187">
      <c r="A187" t="inlineStr">
        <is>
          <t>KIMS</t>
        </is>
      </c>
      <c r="B187" t="n">
        <v>59.40981636126145</v>
      </c>
      <c r="C187" t="n">
        <v>-0.7551240560949224</v>
      </c>
      <c r="D187" s="20" t="n">
        <v>45657</v>
      </c>
      <c r="E187" t="n">
        <v>589</v>
      </c>
      <c r="F187" t="n">
        <v>608.7</v>
      </c>
      <c r="G187" t="n">
        <v>589</v>
      </c>
      <c r="H187" t="n">
        <v>598</v>
      </c>
      <c r="I187" t="n">
        <v>822007</v>
      </c>
      <c r="J187" t="n">
        <v>515656.45</v>
      </c>
      <c r="L187" t="inlineStr">
        <is>
          <t>Bull</t>
        </is>
      </c>
      <c r="M187" t="n">
        <v>131</v>
      </c>
      <c r="N187" s="20" t="n">
        <v>45464</v>
      </c>
      <c r="O187" t="inlineStr">
        <is>
          <t>True</t>
        </is>
      </c>
    </row>
    <row r="188">
      <c r="A188" t="inlineStr">
        <is>
          <t>KSB</t>
        </is>
      </c>
      <c r="B188" t="n">
        <v>96.14535020748238</v>
      </c>
      <c r="C188" t="n">
        <v>5.383718537823195</v>
      </c>
      <c r="D188" s="20" t="n">
        <v>45657</v>
      </c>
      <c r="E188" t="n">
        <v>732.9</v>
      </c>
      <c r="F188" t="n">
        <v>774.95</v>
      </c>
      <c r="G188" t="n">
        <v>728</v>
      </c>
      <c r="H188" t="n">
        <v>768.3</v>
      </c>
      <c r="I188" t="n">
        <v>277132</v>
      </c>
      <c r="J188" t="n">
        <v>141289.1</v>
      </c>
      <c r="L188" t="inlineStr">
        <is>
          <t>Bear</t>
        </is>
      </c>
      <c r="M188" t="n">
        <v>94</v>
      </c>
      <c r="N188" s="20" t="n">
        <v>45518</v>
      </c>
      <c r="O188" t="inlineStr">
        <is>
          <t>True</t>
        </is>
      </c>
    </row>
    <row r="189">
      <c r="A189" t="inlineStr">
        <is>
          <t>LTFOODS</t>
        </is>
      </c>
      <c r="B189" t="n">
        <v>-36.46591007160357</v>
      </c>
      <c r="C189" t="n">
        <v>-0.6636643754444074</v>
      </c>
      <c r="D189" s="20" t="n">
        <v>45657</v>
      </c>
      <c r="E189" t="n">
        <v>422</v>
      </c>
      <c r="F189" t="n">
        <v>424.75</v>
      </c>
      <c r="G189" t="n">
        <v>411.65</v>
      </c>
      <c r="H189" t="n">
        <v>419.1</v>
      </c>
      <c r="I189" t="n">
        <v>385764</v>
      </c>
      <c r="J189" t="n">
        <v>607176.4</v>
      </c>
      <c r="L189" t="inlineStr">
        <is>
          <t>Bull</t>
        </is>
      </c>
      <c r="M189" t="n">
        <v>18</v>
      </c>
      <c r="N189" s="20" t="n">
        <v>45630</v>
      </c>
      <c r="O189" t="inlineStr">
        <is>
          <t>True</t>
        </is>
      </c>
    </row>
    <row r="190">
      <c r="A190" t="inlineStr">
        <is>
          <t>LTF</t>
        </is>
      </c>
      <c r="B190" t="n">
        <v>-46.33551846065291</v>
      </c>
      <c r="C190" t="n">
        <v>-0.4915627292736727</v>
      </c>
      <c r="D190" s="20" t="n">
        <v>45657</v>
      </c>
      <c r="E190" t="n">
        <v>136</v>
      </c>
      <c r="F190" t="n">
        <v>136.19</v>
      </c>
      <c r="G190" t="n">
        <v>134.65</v>
      </c>
      <c r="H190" t="n">
        <v>135.63</v>
      </c>
      <c r="I190" t="n">
        <v>3059127</v>
      </c>
      <c r="J190" t="n">
        <v>5700468.75</v>
      </c>
      <c r="L190" t="inlineStr">
        <is>
          <t>Bear</t>
        </is>
      </c>
      <c r="M190" t="n">
        <v>53</v>
      </c>
      <c r="N190" s="20" t="n">
        <v>45579</v>
      </c>
      <c r="O190" t="inlineStr">
        <is>
          <t>False</t>
        </is>
      </c>
    </row>
    <row r="191">
      <c r="A191" t="inlineStr">
        <is>
          <t>LT</t>
        </is>
      </c>
      <c r="B191" t="n">
        <v>-31.89243013386071</v>
      </c>
      <c r="C191" t="n">
        <v>0.8019111750653202</v>
      </c>
      <c r="D191" s="20" t="n">
        <v>45657</v>
      </c>
      <c r="E191" t="n">
        <v>3562.55</v>
      </c>
      <c r="F191" t="n">
        <v>3620.6</v>
      </c>
      <c r="G191" t="n">
        <v>3550</v>
      </c>
      <c r="H191" t="n">
        <v>3607.65</v>
      </c>
      <c r="I191" t="n">
        <v>1267628</v>
      </c>
      <c r="J191" t="n">
        <v>1861214.55</v>
      </c>
      <c r="L191" t="inlineStr">
        <is>
          <t>Bull</t>
        </is>
      </c>
      <c r="M191" t="n">
        <v>24</v>
      </c>
      <c r="N191" s="20" t="n">
        <v>45622</v>
      </c>
      <c r="O191" t="inlineStr">
        <is>
          <t>True</t>
        </is>
      </c>
    </row>
    <row r="192">
      <c r="A192" t="inlineStr">
        <is>
          <t>LATENTVIEW</t>
        </is>
      </c>
      <c r="B192" t="n">
        <v>89.3631240876956</v>
      </c>
      <c r="C192" t="n">
        <v>5.609492988133765</v>
      </c>
      <c r="D192" s="20" t="n">
        <v>45657</v>
      </c>
      <c r="E192" t="n">
        <v>465.5</v>
      </c>
      <c r="F192" t="n">
        <v>495.4</v>
      </c>
      <c r="G192" t="n">
        <v>463.5</v>
      </c>
      <c r="H192" t="n">
        <v>489.5</v>
      </c>
      <c r="I192" t="n">
        <v>1112682</v>
      </c>
      <c r="J192" t="n">
        <v>587591.7</v>
      </c>
      <c r="L192" t="inlineStr">
        <is>
          <t>Bull</t>
        </is>
      </c>
      <c r="M192" t="n">
        <v>14</v>
      </c>
      <c r="N192" s="20" t="n">
        <v>45636</v>
      </c>
      <c r="O192" t="inlineStr">
        <is>
          <t>True</t>
        </is>
      </c>
    </row>
    <row r="193">
      <c r="A193" t="inlineStr">
        <is>
          <t>LEMONTREE</t>
        </is>
      </c>
      <c r="B193" t="n">
        <v>-71.23374262805837</v>
      </c>
      <c r="C193" t="n">
        <v>0.03269897325224731</v>
      </c>
      <c r="D193" s="20" t="n">
        <v>45657</v>
      </c>
      <c r="E193" t="n">
        <v>152.5</v>
      </c>
      <c r="F193" t="n">
        <v>153.4</v>
      </c>
      <c r="G193" t="n">
        <v>149.6</v>
      </c>
      <c r="H193" t="n">
        <v>152.96</v>
      </c>
      <c r="I193" t="n">
        <v>1786655</v>
      </c>
      <c r="J193" t="n">
        <v>6210940.05</v>
      </c>
      <c r="L193" t="inlineStr">
        <is>
          <t>Bull</t>
        </is>
      </c>
      <c r="M193" t="n">
        <v>22</v>
      </c>
      <c r="N193" s="20" t="n">
        <v>45624</v>
      </c>
      <c r="O193" t="inlineStr">
        <is>
          <t>False</t>
        </is>
      </c>
    </row>
    <row r="194">
      <c r="A194" t="inlineStr">
        <is>
          <t>LICHSGFIN</t>
        </is>
      </c>
      <c r="B194" t="n">
        <v>-46.82783031684864</v>
      </c>
      <c r="C194" t="n">
        <v>1.227149627623561</v>
      </c>
      <c r="D194" s="20" t="n">
        <v>45657</v>
      </c>
      <c r="E194" t="n">
        <v>590</v>
      </c>
      <c r="F194" t="n">
        <v>599.4</v>
      </c>
      <c r="G194" t="n">
        <v>585.75</v>
      </c>
      <c r="H194" t="n">
        <v>598.05</v>
      </c>
      <c r="I194" t="n">
        <v>660447</v>
      </c>
      <c r="J194" t="n">
        <v>1242091.5</v>
      </c>
      <c r="L194" t="inlineStr">
        <is>
          <t>Bear</t>
        </is>
      </c>
      <c r="M194" t="n">
        <v>98</v>
      </c>
      <c r="N194" s="20" t="n">
        <v>45512</v>
      </c>
      <c r="O194" t="inlineStr">
        <is>
          <t>True</t>
        </is>
      </c>
    </row>
    <row r="195">
      <c r="A195" t="inlineStr">
        <is>
          <t>LIKHITHA</t>
        </is>
      </c>
      <c r="B195" t="n">
        <v>-80.9870944860793</v>
      </c>
      <c r="C195" t="n">
        <v>0.7845934379457917</v>
      </c>
      <c r="D195" s="20" t="n">
        <v>45657</v>
      </c>
      <c r="E195" t="n">
        <v>349</v>
      </c>
      <c r="F195" t="n">
        <v>353.5</v>
      </c>
      <c r="G195" t="n">
        <v>345.05</v>
      </c>
      <c r="H195" t="n">
        <v>353.25</v>
      </c>
      <c r="I195" t="n">
        <v>24553</v>
      </c>
      <c r="J195" t="n">
        <v>129138.6</v>
      </c>
      <c r="L195" t="inlineStr">
        <is>
          <t>Bear</t>
        </is>
      </c>
      <c r="M195" t="n">
        <v>3</v>
      </c>
      <c r="N195" s="20" t="n">
        <v>45652</v>
      </c>
      <c r="O195" t="inlineStr">
        <is>
          <t>False</t>
        </is>
      </c>
    </row>
    <row r="196">
      <c r="A196" t="inlineStr">
        <is>
          <t>LINCOLN</t>
        </is>
      </c>
      <c r="B196" t="n">
        <v>-90.2785905911938</v>
      </c>
      <c r="C196" t="n">
        <v>-0.2721691246281525</v>
      </c>
      <c r="D196" s="20" t="n">
        <v>45657</v>
      </c>
      <c r="E196" t="n">
        <v>796.95</v>
      </c>
      <c r="F196" t="n">
        <v>799</v>
      </c>
      <c r="G196" t="n">
        <v>777.05</v>
      </c>
      <c r="H196" t="n">
        <v>787.8</v>
      </c>
      <c r="I196" t="n">
        <v>40266</v>
      </c>
      <c r="J196" t="n">
        <v>414199.2</v>
      </c>
      <c r="L196" t="inlineStr">
        <is>
          <t>Bull</t>
        </is>
      </c>
      <c r="M196" t="n">
        <v>18</v>
      </c>
      <c r="N196" s="20" t="n">
        <v>45630</v>
      </c>
      <c r="O196" t="inlineStr">
        <is>
          <t>True</t>
        </is>
      </c>
    </row>
    <row r="197">
      <c r="A197" t="inlineStr">
        <is>
          <t>LUPIN</t>
        </is>
      </c>
      <c r="B197" t="n">
        <v>217.2537987120517</v>
      </c>
      <c r="C197" t="n">
        <v>1.918792047937349</v>
      </c>
      <c r="D197" s="20" t="n">
        <v>45657</v>
      </c>
      <c r="E197" t="n">
        <v>2310.25</v>
      </c>
      <c r="F197" t="n">
        <v>2373.9</v>
      </c>
      <c r="G197" t="n">
        <v>2296.8</v>
      </c>
      <c r="H197" t="n">
        <v>2355.7</v>
      </c>
      <c r="I197" t="n">
        <v>3424089</v>
      </c>
      <c r="J197" t="n">
        <v>1079290.15</v>
      </c>
      <c r="L197" t="inlineStr">
        <is>
          <t>Bull</t>
        </is>
      </c>
      <c r="M197" t="n">
        <v>4</v>
      </c>
      <c r="N197" s="20" t="n">
        <v>45650</v>
      </c>
      <c r="O197" t="inlineStr">
        <is>
          <t>True</t>
        </is>
      </c>
    </row>
    <row r="198">
      <c r="A198" t="inlineStr">
        <is>
          <t>M&amp;M</t>
        </is>
      </c>
      <c r="B198" t="n">
        <v>-41.53716357045557</v>
      </c>
      <c r="C198" t="n">
        <v>0.1398647973625435</v>
      </c>
      <c r="D198" s="20" t="n">
        <v>45657</v>
      </c>
      <c r="E198" t="n">
        <v>2994.4</v>
      </c>
      <c r="F198" t="n">
        <v>3018.9</v>
      </c>
      <c r="G198" t="n">
        <v>2971.2</v>
      </c>
      <c r="H198" t="n">
        <v>3007.1</v>
      </c>
      <c r="I198" t="n">
        <v>1536411</v>
      </c>
      <c r="J198" t="n">
        <v>2628013.1</v>
      </c>
      <c r="L198" t="inlineStr">
        <is>
          <t>Bull</t>
        </is>
      </c>
      <c r="M198" t="n">
        <v>25</v>
      </c>
      <c r="N198" s="20" t="n">
        <v>45621</v>
      </c>
      <c r="O198" t="inlineStr">
        <is>
          <t>True</t>
        </is>
      </c>
    </row>
    <row r="199">
      <c r="A199" t="inlineStr">
        <is>
          <t>MMFL</t>
        </is>
      </c>
      <c r="B199" t="n">
        <v>-60.50054500540706</v>
      </c>
      <c r="C199" t="n">
        <v>0.8564614050303532</v>
      </c>
      <c r="D199" s="20" t="n">
        <v>45657</v>
      </c>
      <c r="E199" t="n">
        <v>463.6</v>
      </c>
      <c r="F199" t="n">
        <v>468.7</v>
      </c>
      <c r="G199" t="n">
        <v>452.8</v>
      </c>
      <c r="H199" t="n">
        <v>465.15</v>
      </c>
      <c r="I199" t="n">
        <v>36745</v>
      </c>
      <c r="J199" t="n">
        <v>93026.60000000001</v>
      </c>
      <c r="L199" t="inlineStr">
        <is>
          <t>Bear</t>
        </is>
      </c>
      <c r="M199" t="n">
        <v>3</v>
      </c>
      <c r="N199" s="20" t="n">
        <v>45652</v>
      </c>
      <c r="O199" t="inlineStr">
        <is>
          <t>False</t>
        </is>
      </c>
    </row>
    <row r="200">
      <c r="A200" t="inlineStr">
        <is>
          <t>MAHSEAMLES</t>
        </is>
      </c>
      <c r="B200" t="n">
        <v>-88.61825255635326</v>
      </c>
      <c r="C200" t="n">
        <v>0.2287838707371163</v>
      </c>
      <c r="D200" s="20" t="n">
        <v>45657</v>
      </c>
      <c r="E200" t="n">
        <v>692</v>
      </c>
      <c r="F200" t="n">
        <v>705</v>
      </c>
      <c r="G200" t="n">
        <v>688.3</v>
      </c>
      <c r="H200" t="n">
        <v>700.95</v>
      </c>
      <c r="I200" t="n">
        <v>185333</v>
      </c>
      <c r="J200" t="n">
        <v>1628335.2</v>
      </c>
      <c r="L200" t="inlineStr">
        <is>
          <t>Bull</t>
        </is>
      </c>
      <c r="M200" t="n">
        <v>23</v>
      </c>
      <c r="N200" s="20" t="n">
        <v>45623</v>
      </c>
      <c r="O200" t="inlineStr">
        <is>
          <t>False</t>
        </is>
      </c>
    </row>
    <row r="201">
      <c r="A201" t="inlineStr">
        <is>
          <t>MAITHANALL</t>
        </is>
      </c>
      <c r="B201" t="n">
        <v>-35.80107284088427</v>
      </c>
      <c r="C201" t="n">
        <v>1.225578871201174</v>
      </c>
      <c r="D201" s="20" t="n">
        <v>45657</v>
      </c>
      <c r="E201" t="n">
        <v>1114.8</v>
      </c>
      <c r="F201" t="n">
        <v>1127</v>
      </c>
      <c r="G201" t="n">
        <v>1093.25</v>
      </c>
      <c r="H201" t="n">
        <v>1119.15</v>
      </c>
      <c r="I201" t="n">
        <v>47908</v>
      </c>
      <c r="J201" t="n">
        <v>74624.3</v>
      </c>
      <c r="L201" t="inlineStr">
        <is>
          <t>Bull</t>
        </is>
      </c>
      <c r="M201" t="n">
        <v>18</v>
      </c>
      <c r="N201" s="20" t="n">
        <v>45630</v>
      </c>
      <c r="O201" t="inlineStr">
        <is>
          <t>True</t>
        </is>
      </c>
    </row>
    <row r="202">
      <c r="A202" t="inlineStr">
        <is>
          <t>MANINFRA</t>
        </is>
      </c>
      <c r="B202" t="n">
        <v>-50.34252229806199</v>
      </c>
      <c r="C202" t="n">
        <v>-0.1056009097924615</v>
      </c>
      <c r="D202" s="20" t="n">
        <v>45657</v>
      </c>
      <c r="E202" t="n">
        <v>245</v>
      </c>
      <c r="F202" t="n">
        <v>247.99</v>
      </c>
      <c r="G202" t="n">
        <v>241.1</v>
      </c>
      <c r="H202" t="n">
        <v>245.95</v>
      </c>
      <c r="I202" t="n">
        <v>1178201</v>
      </c>
      <c r="J202" t="n">
        <v>2372655.75</v>
      </c>
      <c r="L202" t="inlineStr">
        <is>
          <t>Bull</t>
        </is>
      </c>
      <c r="M202" t="n">
        <v>22</v>
      </c>
      <c r="N202" s="20" t="n">
        <v>45624</v>
      </c>
      <c r="O202" t="inlineStr">
        <is>
          <t>True</t>
        </is>
      </c>
    </row>
    <row r="203">
      <c r="A203" t="inlineStr">
        <is>
          <t>MANAPPURAM</t>
        </is>
      </c>
      <c r="B203" t="n">
        <v>-50.6341326116498</v>
      </c>
      <c r="C203" t="n">
        <v>-0.3331922995557562</v>
      </c>
      <c r="D203" s="20" t="n">
        <v>45657</v>
      </c>
      <c r="E203" t="n">
        <v>188.8</v>
      </c>
      <c r="F203" t="n">
        <v>189.9</v>
      </c>
      <c r="G203" t="n">
        <v>185.31</v>
      </c>
      <c r="H203" t="n">
        <v>188.45</v>
      </c>
      <c r="I203" t="n">
        <v>6864819</v>
      </c>
      <c r="J203" t="n">
        <v>13906003</v>
      </c>
      <c r="L203" t="inlineStr">
        <is>
          <t>Bull</t>
        </is>
      </c>
      <c r="M203" t="n">
        <v>9</v>
      </c>
      <c r="N203" s="20" t="n">
        <v>45643</v>
      </c>
      <c r="O203" t="inlineStr">
        <is>
          <t>False</t>
        </is>
      </c>
    </row>
    <row r="204">
      <c r="A204" t="inlineStr">
        <is>
          <t>MARATHON</t>
        </is>
      </c>
      <c r="B204" t="n">
        <v>-22.2303724715528</v>
      </c>
      <c r="C204" t="n">
        <v>-0.7717750826901798</v>
      </c>
      <c r="D204" s="20" t="n">
        <v>45657</v>
      </c>
      <c r="E204" t="n">
        <v>590</v>
      </c>
      <c r="F204" t="n">
        <v>592.3</v>
      </c>
      <c r="G204" t="n">
        <v>574</v>
      </c>
      <c r="H204" t="n">
        <v>585</v>
      </c>
      <c r="I204" t="n">
        <v>33503</v>
      </c>
      <c r="J204" t="n">
        <v>43079.8</v>
      </c>
      <c r="L204" t="inlineStr">
        <is>
          <t>Bull</t>
        </is>
      </c>
      <c r="M204" t="n">
        <v>10</v>
      </c>
      <c r="N204" s="20" t="n">
        <v>45642</v>
      </c>
      <c r="O204" t="inlineStr">
        <is>
          <t>True</t>
        </is>
      </c>
    </row>
    <row r="205">
      <c r="A205" t="inlineStr">
        <is>
          <t>MARICO</t>
        </is>
      </c>
      <c r="B205" t="n">
        <v>-28.57224900412245</v>
      </c>
      <c r="C205" t="n">
        <v>-0.3036437246963634</v>
      </c>
      <c r="D205" s="20" t="n">
        <v>45657</v>
      </c>
      <c r="E205" t="n">
        <v>641.15</v>
      </c>
      <c r="F205" t="n">
        <v>642.1</v>
      </c>
      <c r="G205" t="n">
        <v>634.25</v>
      </c>
      <c r="H205" t="n">
        <v>640.25</v>
      </c>
      <c r="I205" t="n">
        <v>1228183</v>
      </c>
      <c r="J205" t="n">
        <v>1719475.95</v>
      </c>
      <c r="L205" t="inlineStr">
        <is>
          <t>Bear</t>
        </is>
      </c>
      <c r="M205" t="n">
        <v>45</v>
      </c>
      <c r="N205" s="20" t="n">
        <v>45589</v>
      </c>
      <c r="O205" t="inlineStr">
        <is>
          <t>True</t>
        </is>
      </c>
    </row>
    <row r="206">
      <c r="A206" t="inlineStr">
        <is>
          <t>MATRIMONY</t>
        </is>
      </c>
      <c r="B206" t="n">
        <v>-70.4505453100241</v>
      </c>
      <c r="C206" t="n">
        <v>0.3829116300022456</v>
      </c>
      <c r="D206" s="20" t="n">
        <v>45657</v>
      </c>
      <c r="E206" t="n">
        <v>651.05</v>
      </c>
      <c r="F206" t="n">
        <v>668.95</v>
      </c>
      <c r="G206" t="n">
        <v>651.05</v>
      </c>
      <c r="H206" t="n">
        <v>668.5</v>
      </c>
      <c r="I206" t="n">
        <v>5725</v>
      </c>
      <c r="J206" t="n">
        <v>19374.3</v>
      </c>
      <c r="L206" t="inlineStr">
        <is>
          <t>Bear</t>
        </is>
      </c>
      <c r="M206" t="n">
        <v>30</v>
      </c>
      <c r="N206" s="20" t="n">
        <v>45610</v>
      </c>
      <c r="O206" t="inlineStr">
        <is>
          <t>True</t>
        </is>
      </c>
    </row>
    <row r="207">
      <c r="A207" t="inlineStr">
        <is>
          <t>MAXHEALTH</t>
        </is>
      </c>
      <c r="B207" t="n">
        <v>-53.16718623359134</v>
      </c>
      <c r="C207" t="n">
        <v>-2.921435332587542</v>
      </c>
      <c r="D207" s="20" t="n">
        <v>45657</v>
      </c>
      <c r="E207" t="n">
        <v>1143.7</v>
      </c>
      <c r="F207" t="n">
        <v>1155.1</v>
      </c>
      <c r="G207" t="n">
        <v>1125.95</v>
      </c>
      <c r="H207" t="n">
        <v>1128.15</v>
      </c>
      <c r="I207" t="n">
        <v>1024195</v>
      </c>
      <c r="J207" t="n">
        <v>2186917.5</v>
      </c>
      <c r="L207" t="inlineStr">
        <is>
          <t>Bull</t>
        </is>
      </c>
      <c r="M207" t="n">
        <v>73</v>
      </c>
      <c r="N207" s="20" t="n">
        <v>45548</v>
      </c>
      <c r="O207" t="inlineStr">
        <is>
          <t>True</t>
        </is>
      </c>
    </row>
    <row r="208">
      <c r="A208" t="inlineStr">
        <is>
          <t>MAYURUNIQ</t>
        </is>
      </c>
      <c r="B208" t="n">
        <v>-50.2468713531581</v>
      </c>
      <c r="C208" t="n">
        <v>2.205387205387209</v>
      </c>
      <c r="D208" s="20" t="n">
        <v>45657</v>
      </c>
      <c r="E208" t="n">
        <v>594</v>
      </c>
      <c r="F208" t="n">
        <v>612</v>
      </c>
      <c r="G208" t="n">
        <v>584.15</v>
      </c>
      <c r="H208" t="n">
        <v>607.1</v>
      </c>
      <c r="I208" t="n">
        <v>46620</v>
      </c>
      <c r="J208" t="n">
        <v>93702.64999999999</v>
      </c>
      <c r="L208" t="inlineStr">
        <is>
          <t>Bull</t>
        </is>
      </c>
      <c r="M208" t="n">
        <v>9</v>
      </c>
      <c r="N208" s="20" t="n">
        <v>45643</v>
      </c>
      <c r="O208" t="inlineStr">
        <is>
          <t>True</t>
        </is>
      </c>
    </row>
    <row r="209">
      <c r="A209" t="inlineStr">
        <is>
          <t>METROBRAND</t>
        </is>
      </c>
      <c r="B209" t="n">
        <v>-61.48542062791768</v>
      </c>
      <c r="C209" t="n">
        <v>-1.45766692310807</v>
      </c>
      <c r="D209" s="20" t="n">
        <v>45657</v>
      </c>
      <c r="E209" t="n">
        <v>1225.3</v>
      </c>
      <c r="F209" t="n">
        <v>1240</v>
      </c>
      <c r="G209" t="n">
        <v>1207.5</v>
      </c>
      <c r="H209" t="n">
        <v>1216.85</v>
      </c>
      <c r="I209" t="n">
        <v>57071</v>
      </c>
      <c r="J209" t="n">
        <v>148180.25</v>
      </c>
      <c r="L209" t="inlineStr">
        <is>
          <t>Bull</t>
        </is>
      </c>
      <c r="M209" t="n">
        <v>16</v>
      </c>
      <c r="N209" s="20" t="n">
        <v>45632</v>
      </c>
      <c r="O209" t="inlineStr">
        <is>
          <t>True</t>
        </is>
      </c>
    </row>
    <row r="210">
      <c r="A210" t="inlineStr">
        <is>
          <t>METROPOLIS</t>
        </is>
      </c>
      <c r="B210" t="n">
        <v>-68.29031814517099</v>
      </c>
      <c r="C210" t="n">
        <v>0.6114643474871584</v>
      </c>
      <c r="D210" s="20" t="n">
        <v>45657</v>
      </c>
      <c r="E210" t="n">
        <v>2052.45</v>
      </c>
      <c r="F210" t="n">
        <v>2088.6</v>
      </c>
      <c r="G210" t="n">
        <v>2048.3</v>
      </c>
      <c r="H210" t="n">
        <v>2065</v>
      </c>
      <c r="I210" t="n">
        <v>71837</v>
      </c>
      <c r="J210" t="n">
        <v>226545.95</v>
      </c>
      <c r="L210" t="inlineStr">
        <is>
          <t>Bear</t>
        </is>
      </c>
      <c r="M210" t="n">
        <v>5</v>
      </c>
      <c r="N210" s="20" t="n">
        <v>45649</v>
      </c>
      <c r="O210" t="inlineStr">
        <is>
          <t>True</t>
        </is>
      </c>
    </row>
    <row r="211">
      <c r="A211" t="inlineStr">
        <is>
          <t>MOIL</t>
        </is>
      </c>
      <c r="B211" t="n">
        <v>-40.86559259259408</v>
      </c>
      <c r="C211" t="n">
        <v>4.265029902423674</v>
      </c>
      <c r="D211" s="20" t="n">
        <v>45657</v>
      </c>
      <c r="E211" t="n">
        <v>319.35</v>
      </c>
      <c r="F211" t="n">
        <v>332.8</v>
      </c>
      <c r="G211" t="n">
        <v>318.9</v>
      </c>
      <c r="H211" t="n">
        <v>331.25</v>
      </c>
      <c r="I211" t="n">
        <v>735912</v>
      </c>
      <c r="J211" t="n">
        <v>1244473.45</v>
      </c>
      <c r="L211" t="inlineStr">
        <is>
          <t>Bear</t>
        </is>
      </c>
      <c r="M211" t="n">
        <v>1</v>
      </c>
      <c r="N211" s="20" t="n">
        <v>45656</v>
      </c>
      <c r="O211" t="inlineStr">
        <is>
          <t>False</t>
        </is>
      </c>
    </row>
    <row r="212">
      <c r="A212" t="inlineStr">
        <is>
          <t>MOLDTECH</t>
        </is>
      </c>
      <c r="B212" t="n">
        <v>-35.67388851352511</v>
      </c>
      <c r="C212" t="n">
        <v>-0.9615384615384599</v>
      </c>
      <c r="D212" s="20" t="n">
        <v>45657</v>
      </c>
      <c r="E212" t="n">
        <v>198.64</v>
      </c>
      <c r="F212" t="n">
        <v>198.95</v>
      </c>
      <c r="G212" t="n">
        <v>195.9</v>
      </c>
      <c r="H212" t="n">
        <v>196.73</v>
      </c>
      <c r="I212" t="n">
        <v>37511</v>
      </c>
      <c r="J212" t="n">
        <v>58313.8</v>
      </c>
      <c r="L212" t="inlineStr">
        <is>
          <t>Bear</t>
        </is>
      </c>
      <c r="M212" t="n">
        <v>99</v>
      </c>
      <c r="N212" s="20" t="n">
        <v>45511</v>
      </c>
      <c r="O212" t="inlineStr">
        <is>
          <t>False</t>
        </is>
      </c>
    </row>
    <row r="213">
      <c r="A213" t="inlineStr">
        <is>
          <t>MPSLTD</t>
        </is>
      </c>
      <c r="B213" t="n">
        <v>-64.99987220011758</v>
      </c>
      <c r="C213" t="n">
        <v>-1.093114377698475</v>
      </c>
      <c r="D213" s="20" t="n">
        <v>45657</v>
      </c>
      <c r="E213" t="n">
        <v>1995.1</v>
      </c>
      <c r="F213" t="n">
        <v>2024.05</v>
      </c>
      <c r="G213" t="n">
        <v>1971</v>
      </c>
      <c r="H213" t="n">
        <v>1981.55</v>
      </c>
      <c r="I213" t="n">
        <v>6162</v>
      </c>
      <c r="J213" t="n">
        <v>17605.65</v>
      </c>
      <c r="L213" t="inlineStr">
        <is>
          <t>Bear</t>
        </is>
      </c>
      <c r="M213" t="n">
        <v>10</v>
      </c>
      <c r="N213" s="20" t="n">
        <v>45642</v>
      </c>
      <c r="O213" t="inlineStr">
        <is>
          <t>True</t>
        </is>
      </c>
    </row>
    <row r="214">
      <c r="A214" t="inlineStr">
        <is>
          <t>MRF</t>
        </is>
      </c>
      <c r="B214" t="n">
        <v>-35.34854168661276</v>
      </c>
      <c r="C214" t="n">
        <v>-0.6418627172506086</v>
      </c>
      <c r="D214" s="20" t="n">
        <v>45657</v>
      </c>
      <c r="E214" t="n">
        <v>130990</v>
      </c>
      <c r="F214" t="n">
        <v>131400</v>
      </c>
      <c r="G214" t="n">
        <v>129552</v>
      </c>
      <c r="H214" t="n">
        <v>130300</v>
      </c>
      <c r="I214" t="n">
        <v>3714</v>
      </c>
      <c r="J214" t="n">
        <v>5744.65</v>
      </c>
      <c r="L214" t="inlineStr">
        <is>
          <t>Bull</t>
        </is>
      </c>
      <c r="M214" t="n">
        <v>12</v>
      </c>
      <c r="N214" s="20" t="n">
        <v>45638</v>
      </c>
      <c r="O214" t="inlineStr">
        <is>
          <t>False</t>
        </is>
      </c>
    </row>
    <row r="215">
      <c r="A215" t="inlineStr">
        <is>
          <t>MSTCLTD</t>
        </is>
      </c>
      <c r="B215" t="n">
        <v>-66.49364181268807</v>
      </c>
      <c r="C215" t="n">
        <v>2.734848484848478</v>
      </c>
      <c r="D215" s="20" t="n">
        <v>45657</v>
      </c>
      <c r="E215" t="n">
        <v>656</v>
      </c>
      <c r="F215" t="n">
        <v>681.85</v>
      </c>
      <c r="G215" t="n">
        <v>655.95</v>
      </c>
      <c r="H215" t="n">
        <v>678.05</v>
      </c>
      <c r="I215" t="n">
        <v>117888</v>
      </c>
      <c r="J215" t="n">
        <v>351837.7</v>
      </c>
      <c r="L215" t="inlineStr">
        <is>
          <t>Bull</t>
        </is>
      </c>
      <c r="M215" t="n">
        <v>17</v>
      </c>
      <c r="N215" s="20" t="n">
        <v>45631</v>
      </c>
      <c r="O215" t="inlineStr">
        <is>
          <t>False</t>
        </is>
      </c>
    </row>
    <row r="216">
      <c r="A216" t="inlineStr">
        <is>
          <t>MUTHOOTFIN</t>
        </is>
      </c>
      <c r="B216" t="n">
        <v>76.62651176792409</v>
      </c>
      <c r="C216" t="n">
        <v>1.648822269807285</v>
      </c>
      <c r="D216" s="20" t="n">
        <v>45657</v>
      </c>
      <c r="E216" t="n">
        <v>2107</v>
      </c>
      <c r="F216" t="n">
        <v>2161.75</v>
      </c>
      <c r="G216" t="n">
        <v>2096.9</v>
      </c>
      <c r="H216" t="n">
        <v>2136.15</v>
      </c>
      <c r="I216" t="n">
        <v>918815</v>
      </c>
      <c r="J216" t="n">
        <v>520202.2</v>
      </c>
      <c r="L216" t="inlineStr">
        <is>
          <t>Bull</t>
        </is>
      </c>
      <c r="M216" t="n">
        <v>16</v>
      </c>
      <c r="N216" s="20" t="n">
        <v>45632</v>
      </c>
      <c r="O216" t="inlineStr">
        <is>
          <t>True</t>
        </is>
      </c>
    </row>
    <row r="217">
      <c r="A217" t="inlineStr">
        <is>
          <t>NH</t>
        </is>
      </c>
      <c r="B217" t="n">
        <v>-46.3326261283643</v>
      </c>
      <c r="C217" t="n">
        <v>-0.3846455765758765</v>
      </c>
      <c r="D217" s="20" t="n">
        <v>45657</v>
      </c>
      <c r="E217" t="n">
        <v>1274.95</v>
      </c>
      <c r="F217" t="n">
        <v>1282.4</v>
      </c>
      <c r="G217" t="n">
        <v>1263</v>
      </c>
      <c r="H217" t="n">
        <v>1269</v>
      </c>
      <c r="I217" t="n">
        <v>174868</v>
      </c>
      <c r="J217" t="n">
        <v>325836.7</v>
      </c>
      <c r="L217" t="inlineStr">
        <is>
          <t>Bull</t>
        </is>
      </c>
      <c r="M217" t="n">
        <v>33</v>
      </c>
      <c r="N217" s="20" t="n">
        <v>45607</v>
      </c>
      <c r="O217" t="inlineStr">
        <is>
          <t>True</t>
        </is>
      </c>
    </row>
    <row r="218">
      <c r="A218" t="inlineStr">
        <is>
          <t>NATCOPHARM</t>
        </is>
      </c>
      <c r="B218" t="n">
        <v>-44.09994972333831</v>
      </c>
      <c r="C218" t="n">
        <v>-0.7192185207714571</v>
      </c>
      <c r="D218" s="20" t="n">
        <v>45657</v>
      </c>
      <c r="E218" t="n">
        <v>1398</v>
      </c>
      <c r="F218" t="n">
        <v>1405</v>
      </c>
      <c r="G218" t="n">
        <v>1384.55</v>
      </c>
      <c r="H218" t="n">
        <v>1387.3</v>
      </c>
      <c r="I218" t="n">
        <v>319323</v>
      </c>
      <c r="J218" t="n">
        <v>571239.2</v>
      </c>
      <c r="L218" t="inlineStr">
        <is>
          <t>Bull</t>
        </is>
      </c>
      <c r="M218" t="n">
        <v>15</v>
      </c>
      <c r="N218" s="20" t="n">
        <v>45635</v>
      </c>
      <c r="O218" t="inlineStr">
        <is>
          <t>True</t>
        </is>
      </c>
    </row>
    <row r="219">
      <c r="A219" t="inlineStr">
        <is>
          <t>NATIONALUM</t>
        </is>
      </c>
      <c r="B219" t="n">
        <v>-61.27649356482896</v>
      </c>
      <c r="C219" t="n">
        <v>0.9730039110941486</v>
      </c>
      <c r="D219" s="20" t="n">
        <v>45657</v>
      </c>
      <c r="E219" t="n">
        <v>208.8</v>
      </c>
      <c r="F219" t="n">
        <v>212.91</v>
      </c>
      <c r="G219" t="n">
        <v>208.2</v>
      </c>
      <c r="H219" t="n">
        <v>211.7</v>
      </c>
      <c r="I219" t="n">
        <v>5957068</v>
      </c>
      <c r="J219" t="n">
        <v>15383596.55</v>
      </c>
      <c r="L219" t="inlineStr">
        <is>
          <t>Bear</t>
        </is>
      </c>
      <c r="M219" t="n">
        <v>2</v>
      </c>
      <c r="N219" s="20" t="n">
        <v>45653</v>
      </c>
      <c r="O219" t="inlineStr">
        <is>
          <t>True</t>
        </is>
      </c>
    </row>
    <row r="220">
      <c r="A220" t="inlineStr">
        <is>
          <t>NAVA</t>
        </is>
      </c>
      <c r="B220" t="n">
        <v>-47.71228589082585</v>
      </c>
      <c r="C220" t="n">
        <v>0.8820845584507803</v>
      </c>
      <c r="D220" s="20" t="n">
        <v>45657</v>
      </c>
      <c r="E220" t="n">
        <v>983.6</v>
      </c>
      <c r="F220" t="n">
        <v>995</v>
      </c>
      <c r="G220" t="n">
        <v>981.75</v>
      </c>
      <c r="H220" t="n">
        <v>995</v>
      </c>
      <c r="I220" t="n">
        <v>61944</v>
      </c>
      <c r="J220" t="n">
        <v>118467.6</v>
      </c>
      <c r="L220" t="inlineStr">
        <is>
          <t>Bull</t>
        </is>
      </c>
      <c r="M220" t="n">
        <v>21</v>
      </c>
      <c r="N220" s="20" t="n">
        <v>45625</v>
      </c>
      <c r="O220" t="inlineStr">
        <is>
          <t>True</t>
        </is>
      </c>
    </row>
    <row r="221">
      <c r="A221" t="inlineStr">
        <is>
          <t>NAVNETEDUL</t>
        </is>
      </c>
      <c r="B221" t="n">
        <v>-16.50549379531342</v>
      </c>
      <c r="C221" t="n">
        <v>1.212455221824188</v>
      </c>
      <c r="D221" s="20" t="n">
        <v>45657</v>
      </c>
      <c r="E221" t="n">
        <v>143</v>
      </c>
      <c r="F221" t="n">
        <v>147.78</v>
      </c>
      <c r="G221" t="n">
        <v>141.4</v>
      </c>
      <c r="H221" t="n">
        <v>146.92</v>
      </c>
      <c r="I221" t="n">
        <v>114984</v>
      </c>
      <c r="J221" t="n">
        <v>137714.45</v>
      </c>
      <c r="L221" t="inlineStr">
        <is>
          <t>Bear</t>
        </is>
      </c>
      <c r="M221" t="n">
        <v>77</v>
      </c>
      <c r="N221" s="20" t="n">
        <v>45544</v>
      </c>
      <c r="O221" t="inlineStr">
        <is>
          <t>True</t>
        </is>
      </c>
    </row>
    <row r="222">
      <c r="A222" t="inlineStr">
        <is>
          <t>NCC</t>
        </is>
      </c>
      <c r="B222" t="n">
        <v>-9.825283190476906</v>
      </c>
      <c r="C222" t="n">
        <v>1.331853496115414</v>
      </c>
      <c r="D222" s="20" t="n">
        <v>45657</v>
      </c>
      <c r="E222" t="n">
        <v>269.55</v>
      </c>
      <c r="F222" t="n">
        <v>275</v>
      </c>
      <c r="G222" t="n">
        <v>267.6</v>
      </c>
      <c r="H222" t="n">
        <v>273.9</v>
      </c>
      <c r="I222" t="n">
        <v>2595902</v>
      </c>
      <c r="J222" t="n">
        <v>2878747.05</v>
      </c>
      <c r="L222" t="inlineStr">
        <is>
          <t>Bear</t>
        </is>
      </c>
      <c r="M222" t="n">
        <v>5</v>
      </c>
      <c r="N222" s="20" t="n">
        <v>45649</v>
      </c>
      <c r="O222" t="inlineStr">
        <is>
          <t>False</t>
        </is>
      </c>
    </row>
    <row r="223">
      <c r="A223" t="inlineStr">
        <is>
          <t>NELCO</t>
        </is>
      </c>
      <c r="B223" t="n">
        <v>-72.36345449003994</v>
      </c>
      <c r="C223" t="n">
        <v>0.6378313733306757</v>
      </c>
      <c r="D223" s="20" t="n">
        <v>45657</v>
      </c>
      <c r="E223" t="n">
        <v>1253.55</v>
      </c>
      <c r="F223" t="n">
        <v>1283.8</v>
      </c>
      <c r="G223" t="n">
        <v>1229.3</v>
      </c>
      <c r="H223" t="n">
        <v>1262.25</v>
      </c>
      <c r="I223" t="n">
        <v>79569</v>
      </c>
      <c r="J223" t="n">
        <v>287912.25</v>
      </c>
      <c r="L223" t="inlineStr">
        <is>
          <t>Bull</t>
        </is>
      </c>
      <c r="M223" t="n">
        <v>20</v>
      </c>
      <c r="N223" s="20" t="n">
        <v>45628</v>
      </c>
      <c r="O223" t="inlineStr">
        <is>
          <t>True</t>
        </is>
      </c>
    </row>
    <row r="224">
      <c r="A224" t="inlineStr">
        <is>
          <t>NESCO</t>
        </is>
      </c>
      <c r="B224" t="n">
        <v>-15.34555071176215</v>
      </c>
      <c r="C224" t="n">
        <v>1.816267438799684</v>
      </c>
      <c r="D224" s="20" t="n">
        <v>45657</v>
      </c>
      <c r="E224" t="n">
        <v>944.4</v>
      </c>
      <c r="F224" t="n">
        <v>977.2</v>
      </c>
      <c r="G224" t="n">
        <v>941</v>
      </c>
      <c r="H224" t="n">
        <v>967</v>
      </c>
      <c r="I224" t="n">
        <v>51217</v>
      </c>
      <c r="J224" t="n">
        <v>60501.25</v>
      </c>
      <c r="L224" t="inlineStr">
        <is>
          <t>Bear</t>
        </is>
      </c>
      <c r="M224" t="n">
        <v>2</v>
      </c>
      <c r="N224" s="20" t="n">
        <v>45653</v>
      </c>
      <c r="O224" t="inlineStr">
        <is>
          <t>True</t>
        </is>
      </c>
    </row>
    <row r="225">
      <c r="A225" t="inlineStr">
        <is>
          <t>NEULANDLAB</t>
        </is>
      </c>
      <c r="B225" t="n">
        <v>-86.80746505973079</v>
      </c>
      <c r="C225" t="n">
        <v>-0.8710348413936584</v>
      </c>
      <c r="D225" s="20" t="n">
        <v>45657</v>
      </c>
      <c r="E225" t="n">
        <v>13799.9</v>
      </c>
      <c r="F225" t="n">
        <v>13922.95</v>
      </c>
      <c r="G225" t="n">
        <v>13652.25</v>
      </c>
      <c r="H225" t="n">
        <v>13725</v>
      </c>
      <c r="I225" t="n">
        <v>12400</v>
      </c>
      <c r="J225" t="n">
        <v>93992.55</v>
      </c>
      <c r="L225" t="inlineStr">
        <is>
          <t>Bear</t>
        </is>
      </c>
      <c r="M225" t="n">
        <v>0</v>
      </c>
      <c r="N225" s="20" t="n">
        <v>45657</v>
      </c>
      <c r="O225" t="inlineStr">
        <is>
          <t>True</t>
        </is>
      </c>
    </row>
    <row r="226">
      <c r="A226" t="inlineStr">
        <is>
          <t>NGLFINE</t>
        </is>
      </c>
      <c r="B226" t="n">
        <v>-54.37312066936855</v>
      </c>
      <c r="C226" t="n">
        <v>2.194949922415014</v>
      </c>
      <c r="D226" s="20" t="n">
        <v>45657</v>
      </c>
      <c r="E226" t="n">
        <v>1781.6</v>
      </c>
      <c r="F226" t="n">
        <v>1829</v>
      </c>
      <c r="G226" t="n">
        <v>1770.5</v>
      </c>
      <c r="H226" t="n">
        <v>1811.15</v>
      </c>
      <c r="I226" t="n">
        <v>1396</v>
      </c>
      <c r="J226" t="n">
        <v>3059.6</v>
      </c>
      <c r="L226" t="inlineStr">
        <is>
          <t>Bear</t>
        </is>
      </c>
      <c r="M226" t="n">
        <v>89</v>
      </c>
      <c r="N226" s="20" t="n">
        <v>45526</v>
      </c>
      <c r="O226" t="inlineStr">
        <is>
          <t>True</t>
        </is>
      </c>
    </row>
    <row r="227">
      <c r="A227" t="inlineStr">
        <is>
          <t>NHPC</t>
        </is>
      </c>
      <c r="B227" t="n">
        <v>3.174605591053382</v>
      </c>
      <c r="C227" t="n">
        <v>1.178683385579935</v>
      </c>
      <c r="D227" s="20" t="n">
        <v>45657</v>
      </c>
      <c r="E227" t="n">
        <v>79.73999999999999</v>
      </c>
      <c r="F227" t="n">
        <v>81.05</v>
      </c>
      <c r="G227" t="n">
        <v>78.37</v>
      </c>
      <c r="H227" t="n">
        <v>80.69</v>
      </c>
      <c r="I227" t="n">
        <v>24906446</v>
      </c>
      <c r="J227" t="n">
        <v>24140093.25</v>
      </c>
      <c r="L227" t="inlineStr">
        <is>
          <t>Bear</t>
        </is>
      </c>
      <c r="M227" t="n">
        <v>96</v>
      </c>
      <c r="N227" s="20" t="n">
        <v>45516</v>
      </c>
      <c r="O227" t="inlineStr">
        <is>
          <t>True</t>
        </is>
      </c>
    </row>
    <row r="228">
      <c r="A228" t="inlineStr">
        <is>
          <t>NAM-INDIA</t>
        </is>
      </c>
      <c r="B228" t="n">
        <v>-61.03978504507365</v>
      </c>
      <c r="C228" t="n">
        <v>1.401771392705203</v>
      </c>
      <c r="D228" s="20" t="n">
        <v>45657</v>
      </c>
      <c r="E228" t="n">
        <v>720.6</v>
      </c>
      <c r="F228" t="n">
        <v>730.8</v>
      </c>
      <c r="G228" t="n">
        <v>705.4</v>
      </c>
      <c r="H228" t="n">
        <v>727</v>
      </c>
      <c r="I228" t="n">
        <v>559702</v>
      </c>
      <c r="J228" t="n">
        <v>1436598.85</v>
      </c>
      <c r="L228" t="inlineStr">
        <is>
          <t>Bull</t>
        </is>
      </c>
      <c r="M228" t="n">
        <v>52</v>
      </c>
      <c r="N228" s="20" t="n">
        <v>45580</v>
      </c>
      <c r="O228" t="inlineStr">
        <is>
          <t>True</t>
        </is>
      </c>
    </row>
    <row r="229">
      <c r="A229" t="inlineStr">
        <is>
          <t>NMDC</t>
        </is>
      </c>
      <c r="B229" t="n">
        <v>2.041935411525093</v>
      </c>
      <c r="C229" t="n">
        <v>-1.435406698564584</v>
      </c>
      <c r="D229" s="20" t="n">
        <v>45657</v>
      </c>
      <c r="E229" t="n">
        <v>66.84999999999999</v>
      </c>
      <c r="F229" t="n">
        <v>67.81999999999999</v>
      </c>
      <c r="G229" t="n">
        <v>65.55</v>
      </c>
      <c r="H229" t="n">
        <v>65.92</v>
      </c>
      <c r="I229" t="n">
        <v>38155586</v>
      </c>
      <c r="J229" t="n">
        <v>37392064.2</v>
      </c>
      <c r="L229" t="inlineStr">
        <is>
          <t>Bear</t>
        </is>
      </c>
      <c r="M229" t="n">
        <v>6</v>
      </c>
      <c r="N229" s="20" t="n">
        <v>45646</v>
      </c>
      <c r="O229" t="inlineStr">
        <is>
          <t>False</t>
        </is>
      </c>
    </row>
    <row r="230">
      <c r="A230" t="inlineStr">
        <is>
          <t>NRBBEARING</t>
        </is>
      </c>
      <c r="B230" t="n">
        <v>-53.15715812349213</v>
      </c>
      <c r="C230" t="n">
        <v>0.6839452843772416</v>
      </c>
      <c r="D230" s="20" t="n">
        <v>45657</v>
      </c>
      <c r="E230" t="n">
        <v>277.7</v>
      </c>
      <c r="F230" t="n">
        <v>282.5</v>
      </c>
      <c r="G230" t="n">
        <v>276.35</v>
      </c>
      <c r="H230" t="n">
        <v>279.7</v>
      </c>
      <c r="I230" t="n">
        <v>85498</v>
      </c>
      <c r="J230" t="n">
        <v>182520.95</v>
      </c>
      <c r="L230" t="inlineStr">
        <is>
          <t>Bear</t>
        </is>
      </c>
      <c r="M230" t="n">
        <v>2</v>
      </c>
      <c r="N230" s="20" t="n">
        <v>45653</v>
      </c>
      <c r="O230" t="inlineStr">
        <is>
          <t>False</t>
        </is>
      </c>
    </row>
    <row r="231">
      <c r="A231" t="inlineStr">
        <is>
          <t>NTPC</t>
        </is>
      </c>
      <c r="B231" t="n">
        <v>-40.34951542589801</v>
      </c>
      <c r="C231" t="n">
        <v>0.5884127942064108</v>
      </c>
      <c r="D231" s="20" t="n">
        <v>45657</v>
      </c>
      <c r="E231" t="n">
        <v>330.1</v>
      </c>
      <c r="F231" t="n">
        <v>334.6</v>
      </c>
      <c r="G231" t="n">
        <v>326.2</v>
      </c>
      <c r="H231" t="n">
        <v>333.35</v>
      </c>
      <c r="I231" t="n">
        <v>8580998</v>
      </c>
      <c r="J231" t="n">
        <v>14385462.35</v>
      </c>
      <c r="L231" t="inlineStr">
        <is>
          <t>Bear</t>
        </is>
      </c>
      <c r="M231" t="n">
        <v>37</v>
      </c>
      <c r="N231" s="20" t="n">
        <v>45601</v>
      </c>
      <c r="O231" t="inlineStr">
        <is>
          <t>True</t>
        </is>
      </c>
    </row>
    <row r="232">
      <c r="A232" t="inlineStr">
        <is>
          <t>ONGC</t>
        </is>
      </c>
      <c r="B232" t="n">
        <v>22.58605739135666</v>
      </c>
      <c r="C232" t="n">
        <v>2.836879432624111</v>
      </c>
      <c r="D232" s="20" t="n">
        <v>45657</v>
      </c>
      <c r="E232" t="n">
        <v>232.65</v>
      </c>
      <c r="F232" t="n">
        <v>239.9</v>
      </c>
      <c r="G232" t="n">
        <v>232.35</v>
      </c>
      <c r="H232" t="n">
        <v>239.25</v>
      </c>
      <c r="I232" t="n">
        <v>12004845</v>
      </c>
      <c r="J232" t="n">
        <v>9792993.800000001</v>
      </c>
      <c r="L232" t="inlineStr">
        <is>
          <t>Bear</t>
        </is>
      </c>
      <c r="M232" t="n">
        <v>73</v>
      </c>
      <c r="N232" s="20" t="n">
        <v>45548</v>
      </c>
      <c r="O232" t="inlineStr">
        <is>
          <t>True</t>
        </is>
      </c>
    </row>
    <row r="233">
      <c r="A233" t="inlineStr">
        <is>
          <t>OBEROIRLTY</t>
        </is>
      </c>
      <c r="B233" t="n">
        <v>-46.93123462382007</v>
      </c>
      <c r="C233" t="n">
        <v>2.03270873336424</v>
      </c>
      <c r="D233" s="20" t="n">
        <v>45657</v>
      </c>
      <c r="E233" t="n">
        <v>2272.6</v>
      </c>
      <c r="F233" t="n">
        <v>2316</v>
      </c>
      <c r="G233" t="n">
        <v>2260</v>
      </c>
      <c r="H233" t="n">
        <v>2311.5</v>
      </c>
      <c r="I233" t="n">
        <v>586408</v>
      </c>
      <c r="J233" t="n">
        <v>1104996.5</v>
      </c>
      <c r="L233" t="inlineStr">
        <is>
          <t>Bull</t>
        </is>
      </c>
      <c r="M233" t="n">
        <v>73</v>
      </c>
      <c r="N233" s="20" t="n">
        <v>45548</v>
      </c>
      <c r="O233" t="inlineStr">
        <is>
          <t>True</t>
        </is>
      </c>
    </row>
    <row r="234">
      <c r="A234" t="inlineStr">
        <is>
          <t>OIL</t>
        </is>
      </c>
      <c r="B234" t="n">
        <v>27.45317613666777</v>
      </c>
      <c r="C234" t="n">
        <v>2.243057203892711</v>
      </c>
      <c r="D234" s="20" t="n">
        <v>45657</v>
      </c>
      <c r="E234" t="n">
        <v>420.75</v>
      </c>
      <c r="F234" t="n">
        <v>437.15</v>
      </c>
      <c r="G234" t="n">
        <v>417.9</v>
      </c>
      <c r="H234" t="n">
        <v>430.75</v>
      </c>
      <c r="I234" t="n">
        <v>3137020</v>
      </c>
      <c r="J234" t="n">
        <v>2461311.75</v>
      </c>
      <c r="L234" t="inlineStr">
        <is>
          <t>Bear</t>
        </is>
      </c>
      <c r="M234" t="n">
        <v>64</v>
      </c>
      <c r="N234" s="20" t="n">
        <v>45561</v>
      </c>
      <c r="O234" t="inlineStr">
        <is>
          <t>True</t>
        </is>
      </c>
    </row>
    <row r="235">
      <c r="A235" t="inlineStr">
        <is>
          <t>PIIND</t>
        </is>
      </c>
      <c r="B235" t="n">
        <v>29.4207123460913</v>
      </c>
      <c r="C235" t="n">
        <v>-1.351658793142674</v>
      </c>
      <c r="D235" s="20" t="n">
        <v>45657</v>
      </c>
      <c r="E235" t="n">
        <v>3722.1</v>
      </c>
      <c r="F235" t="n">
        <v>3732.85</v>
      </c>
      <c r="G235" t="n">
        <v>3676.35</v>
      </c>
      <c r="H235" t="n">
        <v>3685.65</v>
      </c>
      <c r="I235" t="n">
        <v>428992</v>
      </c>
      <c r="J235" t="n">
        <v>331470.9</v>
      </c>
      <c r="L235" t="inlineStr">
        <is>
          <t>Bear</t>
        </is>
      </c>
      <c r="M235" t="n">
        <v>29</v>
      </c>
      <c r="N235" s="20" t="n">
        <v>45614</v>
      </c>
      <c r="O235" t="inlineStr">
        <is>
          <t>True</t>
        </is>
      </c>
    </row>
    <row r="236">
      <c r="A236" t="inlineStr">
        <is>
          <t>PAISALO</t>
        </is>
      </c>
      <c r="B236" t="n">
        <v>-65.82100867776433</v>
      </c>
      <c r="C236" t="n">
        <v>-0.1001001001001086</v>
      </c>
      <c r="D236" s="20" t="n">
        <v>45657</v>
      </c>
      <c r="E236" t="n">
        <v>49.5</v>
      </c>
      <c r="F236" t="n">
        <v>50.75</v>
      </c>
      <c r="G236" t="n">
        <v>49.4</v>
      </c>
      <c r="H236" t="n">
        <v>49.9</v>
      </c>
      <c r="I236" t="n">
        <v>854947</v>
      </c>
      <c r="J236" t="n">
        <v>2501381.6</v>
      </c>
      <c r="L236" t="inlineStr">
        <is>
          <t>Bull</t>
        </is>
      </c>
      <c r="M236" t="n">
        <v>17</v>
      </c>
      <c r="N236" s="20" t="n">
        <v>45631</v>
      </c>
      <c r="O236" t="inlineStr">
        <is>
          <t>False</t>
        </is>
      </c>
    </row>
    <row r="237">
      <c r="A237" t="inlineStr">
        <is>
          <t>PANAMAPET</t>
        </is>
      </c>
      <c r="B237" t="n">
        <v>-75.23176753168248</v>
      </c>
      <c r="C237" t="n">
        <v>0.684931506849315</v>
      </c>
      <c r="D237" s="20" t="n">
        <v>45657</v>
      </c>
      <c r="E237" t="n">
        <v>364.3</v>
      </c>
      <c r="F237" t="n">
        <v>368</v>
      </c>
      <c r="G237" t="n">
        <v>361.05</v>
      </c>
      <c r="H237" t="n">
        <v>367.5</v>
      </c>
      <c r="I237" t="n">
        <v>16205</v>
      </c>
      <c r="J237" t="n">
        <v>65426.55</v>
      </c>
      <c r="L237" t="inlineStr">
        <is>
          <t>Bull</t>
        </is>
      </c>
      <c r="M237" t="n">
        <v>12</v>
      </c>
      <c r="N237" s="20" t="n">
        <v>45638</v>
      </c>
      <c r="O237" t="inlineStr">
        <is>
          <t>True</t>
        </is>
      </c>
    </row>
    <row r="238">
      <c r="A238" t="inlineStr">
        <is>
          <t>PETRONET</t>
        </is>
      </c>
      <c r="B238" t="n">
        <v>-11.46804281638911</v>
      </c>
      <c r="C238" t="n">
        <v>0.4934687953555845</v>
      </c>
      <c r="D238" s="20" t="n">
        <v>45657</v>
      </c>
      <c r="E238" t="n">
        <v>345</v>
      </c>
      <c r="F238" t="n">
        <v>348.7</v>
      </c>
      <c r="G238" t="n">
        <v>341.55</v>
      </c>
      <c r="H238" t="n">
        <v>346.2</v>
      </c>
      <c r="I238" t="n">
        <v>2090465</v>
      </c>
      <c r="J238" t="n">
        <v>2361254.7</v>
      </c>
      <c r="L238" t="inlineStr">
        <is>
          <t>Bull</t>
        </is>
      </c>
      <c r="M238" t="n">
        <v>3</v>
      </c>
      <c r="N238" s="20" t="n">
        <v>45652</v>
      </c>
      <c r="O238" t="inlineStr">
        <is>
          <t>True</t>
        </is>
      </c>
    </row>
    <row r="239">
      <c r="A239" t="inlineStr">
        <is>
          <t>PFIZER</t>
        </is>
      </c>
      <c r="B239" t="n">
        <v>-30.5784090762847</v>
      </c>
      <c r="C239" t="n">
        <v>-1.896286632809952</v>
      </c>
      <c r="D239" s="20" t="n">
        <v>45657</v>
      </c>
      <c r="E239" t="n">
        <v>5290.05</v>
      </c>
      <c r="F239" t="n">
        <v>5299</v>
      </c>
      <c r="G239" t="n">
        <v>5180</v>
      </c>
      <c r="H239" t="n">
        <v>5264</v>
      </c>
      <c r="I239" t="n">
        <v>37760</v>
      </c>
      <c r="J239" t="n">
        <v>54392.3</v>
      </c>
      <c r="L239" t="inlineStr">
        <is>
          <t>Bear</t>
        </is>
      </c>
      <c r="M239" t="n">
        <v>46</v>
      </c>
      <c r="N239" s="20" t="n">
        <v>45588</v>
      </c>
      <c r="O239" t="inlineStr">
        <is>
          <t>True</t>
        </is>
      </c>
    </row>
    <row r="240">
      <c r="A240" t="inlineStr">
        <is>
          <t>PGEL</t>
        </is>
      </c>
      <c r="B240" t="n">
        <v>-48.28267017876653</v>
      </c>
      <c r="C240" t="n">
        <v>-2.756842522808405</v>
      </c>
      <c r="D240" s="20" t="n">
        <v>45657</v>
      </c>
      <c r="E240" t="n">
        <v>1008.4</v>
      </c>
      <c r="F240" t="n">
        <v>1028</v>
      </c>
      <c r="G240" t="n">
        <v>969</v>
      </c>
      <c r="H240" t="n">
        <v>980.6</v>
      </c>
      <c r="I240" t="n">
        <v>1030626</v>
      </c>
      <c r="J240" t="n">
        <v>1992805.9</v>
      </c>
      <c r="L240" t="inlineStr">
        <is>
          <t>Bull</t>
        </is>
      </c>
      <c r="M240" t="n">
        <v>172</v>
      </c>
      <c r="N240" s="20" t="n">
        <v>45405</v>
      </c>
      <c r="O240" t="inlineStr">
        <is>
          <t>True</t>
        </is>
      </c>
    </row>
    <row r="241">
      <c r="A241" t="inlineStr">
        <is>
          <t>PHOENIXLTD</t>
        </is>
      </c>
      <c r="B241" t="n">
        <v>-23.6282786226532</v>
      </c>
      <c r="C241" t="n">
        <v>-2.111726823423693</v>
      </c>
      <c r="D241" s="20" t="n">
        <v>45657</v>
      </c>
      <c r="E241" t="n">
        <v>1669.25</v>
      </c>
      <c r="F241" t="n">
        <v>1678</v>
      </c>
      <c r="G241" t="n">
        <v>1604.05</v>
      </c>
      <c r="H241" t="n">
        <v>1634</v>
      </c>
      <c r="I241" t="n">
        <v>459011</v>
      </c>
      <c r="J241" t="n">
        <v>601022.2</v>
      </c>
      <c r="L241" t="inlineStr">
        <is>
          <t>Bull</t>
        </is>
      </c>
      <c r="M241" t="n">
        <v>18</v>
      </c>
      <c r="N241" s="20" t="n">
        <v>45630</v>
      </c>
      <c r="O241" t="inlineStr">
        <is>
          <t>True</t>
        </is>
      </c>
    </row>
    <row r="242">
      <c r="A242" t="inlineStr">
        <is>
          <t>PIXTRANS</t>
        </is>
      </c>
      <c r="B242" t="n">
        <v>-6.414471799924387</v>
      </c>
      <c r="C242" t="n">
        <v>6.068936350179742</v>
      </c>
      <c r="D242" s="20" t="n">
        <v>45657</v>
      </c>
      <c r="E242" t="n">
        <v>2364.5</v>
      </c>
      <c r="F242" t="n">
        <v>2519.95</v>
      </c>
      <c r="G242" t="n">
        <v>2364.5</v>
      </c>
      <c r="H242" t="n">
        <v>2508</v>
      </c>
      <c r="I242" t="n">
        <v>40844</v>
      </c>
      <c r="J242" t="n">
        <v>43643.5</v>
      </c>
      <c r="L242" t="inlineStr">
        <is>
          <t>Bull</t>
        </is>
      </c>
      <c r="M242" t="n">
        <v>38</v>
      </c>
      <c r="N242" s="20" t="n">
        <v>45600</v>
      </c>
      <c r="O242" t="inlineStr">
        <is>
          <t>True</t>
        </is>
      </c>
    </row>
    <row r="243">
      <c r="A243" t="inlineStr">
        <is>
          <t>PNBHOUSING</t>
        </is>
      </c>
      <c r="B243" t="n">
        <v>-21.22483910659814</v>
      </c>
      <c r="C243" t="n">
        <v>0.9198574220995746</v>
      </c>
      <c r="D243" s="20" t="n">
        <v>45657</v>
      </c>
      <c r="E243" t="n">
        <v>864.9</v>
      </c>
      <c r="F243" t="n">
        <v>882.25</v>
      </c>
      <c r="G243" t="n">
        <v>847.1</v>
      </c>
      <c r="H243" t="n">
        <v>877.7</v>
      </c>
      <c r="I243" t="n">
        <v>872609</v>
      </c>
      <c r="J243" t="n">
        <v>1107721</v>
      </c>
      <c r="L243" t="inlineStr">
        <is>
          <t>Bear</t>
        </is>
      </c>
      <c r="M243" t="n">
        <v>29</v>
      </c>
      <c r="N243" s="20" t="n">
        <v>45614</v>
      </c>
      <c r="O243" t="inlineStr">
        <is>
          <t>True</t>
        </is>
      </c>
    </row>
    <row r="244">
      <c r="A244" t="inlineStr">
        <is>
          <t>POKARNA</t>
        </is>
      </c>
      <c r="B244" t="n">
        <v>-54.8765600894802</v>
      </c>
      <c r="C244" t="n">
        <v>4.887133689359584</v>
      </c>
      <c r="D244" s="20" t="n">
        <v>45657</v>
      </c>
      <c r="E244" t="n">
        <v>1120</v>
      </c>
      <c r="F244" t="n">
        <v>1175</v>
      </c>
      <c r="G244" t="n">
        <v>1097.1</v>
      </c>
      <c r="H244" t="n">
        <v>1168.6</v>
      </c>
      <c r="I244" t="n">
        <v>52970</v>
      </c>
      <c r="J244" t="n">
        <v>117389.1</v>
      </c>
      <c r="L244" t="inlineStr">
        <is>
          <t>Bull</t>
        </is>
      </c>
      <c r="M244" t="n">
        <v>156</v>
      </c>
      <c r="N244" s="20" t="n">
        <v>45428</v>
      </c>
      <c r="O244" t="inlineStr">
        <is>
          <t>True</t>
        </is>
      </c>
    </row>
    <row r="245">
      <c r="A245" t="inlineStr">
        <is>
          <t>POLYMED</t>
        </is>
      </c>
      <c r="B245" t="n">
        <v>-8.926312149324783</v>
      </c>
      <c r="C245" t="n">
        <v>-0.1736773799526751</v>
      </c>
      <c r="D245" s="20" t="n">
        <v>45657</v>
      </c>
      <c r="E245" t="n">
        <v>2674.4</v>
      </c>
      <c r="F245" t="n">
        <v>2697.55</v>
      </c>
      <c r="G245" t="n">
        <v>2575</v>
      </c>
      <c r="H245" t="n">
        <v>2615.25</v>
      </c>
      <c r="I245" t="n">
        <v>146955</v>
      </c>
      <c r="J245" t="n">
        <v>161358.35</v>
      </c>
      <c r="L245" t="inlineStr">
        <is>
          <t>Bull</t>
        </is>
      </c>
      <c r="M245" t="n">
        <v>187</v>
      </c>
      <c r="N245" s="20" t="n">
        <v>45379</v>
      </c>
      <c r="O245" t="inlineStr">
        <is>
          <t>True</t>
        </is>
      </c>
    </row>
    <row r="246">
      <c r="A246" t="inlineStr">
        <is>
          <t>POLYCAB</t>
        </is>
      </c>
      <c r="B246" t="n">
        <v>-23.06949419660895</v>
      </c>
      <c r="C246" t="n">
        <v>-0.1551419961145754</v>
      </c>
      <c r="D246" s="20" t="n">
        <v>45657</v>
      </c>
      <c r="E246" t="n">
        <v>7290</v>
      </c>
      <c r="F246" t="n">
        <v>7362.7</v>
      </c>
      <c r="G246" t="n">
        <v>7182.05</v>
      </c>
      <c r="H246" t="n">
        <v>7272.35</v>
      </c>
      <c r="I246" t="n">
        <v>164893</v>
      </c>
      <c r="J246" t="n">
        <v>214340.2</v>
      </c>
      <c r="L246" t="inlineStr">
        <is>
          <t>Bull</t>
        </is>
      </c>
      <c r="M246" t="n">
        <v>21</v>
      </c>
      <c r="N246" s="20" t="n">
        <v>45625</v>
      </c>
      <c r="O246" t="inlineStr">
        <is>
          <t>True</t>
        </is>
      </c>
    </row>
    <row r="247">
      <c r="A247" t="inlineStr">
        <is>
          <t>POWERGRID</t>
        </is>
      </c>
      <c r="B247" t="n">
        <v>-27.92956328367884</v>
      </c>
      <c r="C247" t="n">
        <v>0.3739229393594464</v>
      </c>
      <c r="D247" s="20" t="n">
        <v>45657</v>
      </c>
      <c r="E247" t="n">
        <v>307.35</v>
      </c>
      <c r="F247" t="n">
        <v>309.75</v>
      </c>
      <c r="G247" t="n">
        <v>305.15</v>
      </c>
      <c r="H247" t="n">
        <v>308.7</v>
      </c>
      <c r="I247" t="n">
        <v>8402716</v>
      </c>
      <c r="J247" t="n">
        <v>11659033</v>
      </c>
      <c r="L247" t="inlineStr">
        <is>
          <t>Bear</t>
        </is>
      </c>
      <c r="M247" t="n">
        <v>6</v>
      </c>
      <c r="N247" s="20" t="n">
        <v>45646</v>
      </c>
      <c r="O247" t="inlineStr">
        <is>
          <t>False</t>
        </is>
      </c>
    </row>
    <row r="248">
      <c r="A248" t="inlineStr">
        <is>
          <t>PRAKASH</t>
        </is>
      </c>
      <c r="B248" t="n">
        <v>-40.73580453383322</v>
      </c>
      <c r="C248" t="n">
        <v>0.9951551656409464</v>
      </c>
      <c r="D248" s="20" t="n">
        <v>45657</v>
      </c>
      <c r="E248" t="n">
        <v>152</v>
      </c>
      <c r="F248" t="n">
        <v>155.26</v>
      </c>
      <c r="G248" t="n">
        <v>150.7</v>
      </c>
      <c r="H248" t="n">
        <v>154.26</v>
      </c>
      <c r="I248" t="n">
        <v>497316</v>
      </c>
      <c r="J248" t="n">
        <v>839150.85</v>
      </c>
      <c r="L248" t="inlineStr">
        <is>
          <t>Bear</t>
        </is>
      </c>
      <c r="M248" t="n">
        <v>67</v>
      </c>
      <c r="N248" s="20" t="n">
        <v>45558</v>
      </c>
      <c r="O248" t="inlineStr">
        <is>
          <t>False</t>
        </is>
      </c>
    </row>
    <row r="249">
      <c r="A249" t="inlineStr">
        <is>
          <t>PSPPROJECT</t>
        </is>
      </c>
      <c r="B249" t="n">
        <v>7.031128061401061</v>
      </c>
      <c r="C249" t="n">
        <v>-1.628911281157663</v>
      </c>
      <c r="D249" s="20" t="n">
        <v>45657</v>
      </c>
      <c r="E249" t="n">
        <v>648</v>
      </c>
      <c r="F249" t="n">
        <v>659</v>
      </c>
      <c r="G249" t="n">
        <v>634.3</v>
      </c>
      <c r="H249" t="n">
        <v>649.2</v>
      </c>
      <c r="I249" t="n">
        <v>205036</v>
      </c>
      <c r="J249" t="n">
        <v>191566.7</v>
      </c>
      <c r="L249" t="inlineStr">
        <is>
          <t>Bull</t>
        </is>
      </c>
      <c r="M249" t="n">
        <v>16</v>
      </c>
      <c r="N249" s="20" t="n">
        <v>45632</v>
      </c>
      <c r="O249" t="inlineStr">
        <is>
          <t>False</t>
        </is>
      </c>
    </row>
    <row r="250">
      <c r="A250" t="inlineStr">
        <is>
          <t>PUNJABCHEM</t>
        </is>
      </c>
      <c r="B250" t="n">
        <v>51.09204025081004</v>
      </c>
      <c r="C250" t="n">
        <v>8.213292898660601</v>
      </c>
      <c r="D250" s="20" t="n">
        <v>45657</v>
      </c>
      <c r="E250" t="n">
        <v>984.95</v>
      </c>
      <c r="F250" t="n">
        <v>1075</v>
      </c>
      <c r="G250" t="n">
        <v>984.95</v>
      </c>
      <c r="H250" t="n">
        <v>1070.5</v>
      </c>
      <c r="I250" t="n">
        <v>15458</v>
      </c>
      <c r="J250" t="n">
        <v>10230.85</v>
      </c>
      <c r="L250" t="inlineStr">
        <is>
          <t>Bear</t>
        </is>
      </c>
      <c r="M250" t="n">
        <v>74</v>
      </c>
      <c r="N250" s="20" t="n">
        <v>45547</v>
      </c>
      <c r="O250" t="inlineStr">
        <is>
          <t>True</t>
        </is>
      </c>
    </row>
    <row r="251">
      <c r="A251" t="inlineStr">
        <is>
          <t>RPEL</t>
        </is>
      </c>
      <c r="B251" t="n">
        <v>-19.41831730752426</v>
      </c>
      <c r="C251" t="n">
        <v>2.574732707833287</v>
      </c>
      <c r="D251" s="20" t="n">
        <v>45657</v>
      </c>
      <c r="E251" t="n">
        <v>688.05</v>
      </c>
      <c r="F251" t="n">
        <v>719.8</v>
      </c>
      <c r="G251" t="n">
        <v>675</v>
      </c>
      <c r="H251" t="n">
        <v>705.15</v>
      </c>
      <c r="I251" t="n">
        <v>46109</v>
      </c>
      <c r="J251" t="n">
        <v>57220.2</v>
      </c>
      <c r="L251" t="inlineStr">
        <is>
          <t>No Signal</t>
        </is>
      </c>
      <c r="M251" t="n">
        <v>0</v>
      </c>
      <c r="N251" s="20" t="n">
        <v>45657.73620270834</v>
      </c>
    </row>
    <row r="252">
      <c r="A252" t="inlineStr">
        <is>
          <t>RAILTEL</t>
        </is>
      </c>
      <c r="B252" t="n">
        <v>40.06910718858443</v>
      </c>
      <c r="C252" t="n">
        <v>2.837872232120141</v>
      </c>
      <c r="D252" s="20" t="n">
        <v>45657</v>
      </c>
      <c r="E252" t="n">
        <v>390.05</v>
      </c>
      <c r="F252" t="n">
        <v>412.9</v>
      </c>
      <c r="G252" t="n">
        <v>388.55</v>
      </c>
      <c r="H252" t="n">
        <v>404.05</v>
      </c>
      <c r="I252" t="n">
        <v>2911898</v>
      </c>
      <c r="J252" t="n">
        <v>2078900.95</v>
      </c>
      <c r="L252" t="inlineStr">
        <is>
          <t>Bear</t>
        </is>
      </c>
      <c r="M252" t="n">
        <v>2</v>
      </c>
      <c r="N252" s="20" t="n">
        <v>45653</v>
      </c>
      <c r="O252" t="inlineStr">
        <is>
          <t>False</t>
        </is>
      </c>
    </row>
    <row r="253">
      <c r="A253" t="inlineStr">
        <is>
          <t>RAINBOW</t>
        </is>
      </c>
      <c r="B253" t="n">
        <v>-31.71403352931523</v>
      </c>
      <c r="C253" t="n">
        <v>0.7389741694938027</v>
      </c>
      <c r="D253" s="20" t="n">
        <v>45657</v>
      </c>
      <c r="E253" t="n">
        <v>1488.6</v>
      </c>
      <c r="F253" t="n">
        <v>1514.35</v>
      </c>
      <c r="G253" t="n">
        <v>1478.1</v>
      </c>
      <c r="H253" t="n">
        <v>1499.55</v>
      </c>
      <c r="I253" t="n">
        <v>72607</v>
      </c>
      <c r="J253" t="n">
        <v>106327.85</v>
      </c>
      <c r="L253" t="inlineStr">
        <is>
          <t>Bull</t>
        </is>
      </c>
      <c r="M253" t="n">
        <v>81</v>
      </c>
      <c r="N253" s="20" t="n">
        <v>45538</v>
      </c>
      <c r="O253" t="inlineStr">
        <is>
          <t>True</t>
        </is>
      </c>
    </row>
    <row r="254">
      <c r="A254" t="inlineStr">
        <is>
          <t>RKFORGE</t>
        </is>
      </c>
      <c r="B254" t="n">
        <v>-47.15288541431075</v>
      </c>
      <c r="C254" t="n">
        <v>-0.8045721895461103</v>
      </c>
      <c r="D254" s="20" t="n">
        <v>45657</v>
      </c>
      <c r="E254" t="n">
        <v>898.05</v>
      </c>
      <c r="F254" t="n">
        <v>907.05</v>
      </c>
      <c r="G254" t="n">
        <v>889</v>
      </c>
      <c r="H254" t="n">
        <v>893.85</v>
      </c>
      <c r="I254" t="n">
        <v>154334</v>
      </c>
      <c r="J254" t="n">
        <v>292038.65</v>
      </c>
      <c r="L254" t="inlineStr">
        <is>
          <t>Bear</t>
        </is>
      </c>
      <c r="M254" t="n">
        <v>8</v>
      </c>
      <c r="N254" s="20" t="n">
        <v>45644</v>
      </c>
      <c r="O254" t="inlineStr">
        <is>
          <t>True</t>
        </is>
      </c>
    </row>
    <row r="255">
      <c r="A255" t="inlineStr">
        <is>
          <t>RAMKY</t>
        </is>
      </c>
      <c r="B255" t="n">
        <v>-1.952251636022097</v>
      </c>
      <c r="C255" t="n">
        <v>3.848673435964625</v>
      </c>
      <c r="D255" s="20" t="n">
        <v>45657</v>
      </c>
      <c r="E255" t="n">
        <v>608.2</v>
      </c>
      <c r="F255" t="n">
        <v>648.8</v>
      </c>
      <c r="G255" t="n">
        <v>598.9</v>
      </c>
      <c r="H255" t="n">
        <v>634.1</v>
      </c>
      <c r="I255" t="n">
        <v>76831</v>
      </c>
      <c r="J255" t="n">
        <v>78360.8</v>
      </c>
      <c r="L255" t="inlineStr">
        <is>
          <t>Bull</t>
        </is>
      </c>
      <c r="M255" t="n">
        <v>14</v>
      </c>
      <c r="N255" s="20" t="n">
        <v>45636</v>
      </c>
      <c r="O255" t="inlineStr">
        <is>
          <t>True</t>
        </is>
      </c>
    </row>
    <row r="256">
      <c r="A256" t="inlineStr">
        <is>
          <t>RATNAMANI</t>
        </is>
      </c>
      <c r="B256" t="n">
        <v>-77.87457184358661</v>
      </c>
      <c r="C256" t="n">
        <v>-0.8638870229484664</v>
      </c>
      <c r="D256" s="20" t="n">
        <v>45657</v>
      </c>
      <c r="E256" t="n">
        <v>3200</v>
      </c>
      <c r="F256" t="n">
        <v>3214.45</v>
      </c>
      <c r="G256" t="n">
        <v>3165</v>
      </c>
      <c r="H256" t="n">
        <v>3173</v>
      </c>
      <c r="I256" t="n">
        <v>11485</v>
      </c>
      <c r="J256" t="n">
        <v>51908.6</v>
      </c>
      <c r="L256" t="inlineStr">
        <is>
          <t>Bear</t>
        </is>
      </c>
      <c r="M256" t="n">
        <v>31</v>
      </c>
      <c r="N256" s="20" t="n">
        <v>45609</v>
      </c>
      <c r="O256" t="inlineStr">
        <is>
          <t>True</t>
        </is>
      </c>
    </row>
    <row r="257">
      <c r="A257" t="inlineStr">
        <is>
          <t>RELIANCE</t>
        </is>
      </c>
      <c r="B257" t="n">
        <v>-53.84027877827629</v>
      </c>
      <c r="C257" t="n">
        <v>0.3923350128025109</v>
      </c>
      <c r="D257" s="20" t="n">
        <v>45657</v>
      </c>
      <c r="E257" t="n">
        <v>1208</v>
      </c>
      <c r="F257" t="n">
        <v>1219.1</v>
      </c>
      <c r="G257" t="n">
        <v>1206.15</v>
      </c>
      <c r="H257" t="n">
        <v>1215.45</v>
      </c>
      <c r="I257" t="n">
        <v>6405475</v>
      </c>
      <c r="J257" t="n">
        <v>13876762.75</v>
      </c>
      <c r="L257" t="inlineStr">
        <is>
          <t>Bear</t>
        </is>
      </c>
      <c r="M257" t="n">
        <v>78</v>
      </c>
      <c r="N257" s="20" t="n">
        <v>45541</v>
      </c>
      <c r="O257" t="inlineStr">
        <is>
          <t>True</t>
        </is>
      </c>
    </row>
    <row r="258">
      <c r="A258" t="inlineStr">
        <is>
          <t>REPCOHOME</t>
        </is>
      </c>
      <c r="B258" t="n">
        <v>-8.305637008674669</v>
      </c>
      <c r="C258" t="n">
        <v>-0.8148868888348388</v>
      </c>
      <c r="D258" s="20" t="n">
        <v>45657</v>
      </c>
      <c r="E258" t="n">
        <v>411.45</v>
      </c>
      <c r="F258" t="n">
        <v>415.3</v>
      </c>
      <c r="G258" t="n">
        <v>405</v>
      </c>
      <c r="H258" t="n">
        <v>407.75</v>
      </c>
      <c r="I258" t="n">
        <v>157493</v>
      </c>
      <c r="J258" t="n">
        <v>171758.65</v>
      </c>
      <c r="L258" t="inlineStr">
        <is>
          <t>Bear</t>
        </is>
      </c>
      <c r="M258" t="n">
        <v>55</v>
      </c>
      <c r="N258" s="20" t="n">
        <v>45575</v>
      </c>
      <c r="O258" t="inlineStr">
        <is>
          <t>True</t>
        </is>
      </c>
    </row>
    <row r="259">
      <c r="A259" t="inlineStr">
        <is>
          <t>RESPONIND</t>
        </is>
      </c>
      <c r="B259" t="n">
        <v>-93.41845083089349</v>
      </c>
      <c r="C259" t="n">
        <v>-0.3416398713826458</v>
      </c>
      <c r="D259" s="20" t="n">
        <v>45657</v>
      </c>
      <c r="E259" t="n">
        <v>248.4</v>
      </c>
      <c r="F259" t="n">
        <v>248.7</v>
      </c>
      <c r="G259" t="n">
        <v>245.2</v>
      </c>
      <c r="H259" t="n">
        <v>247.95</v>
      </c>
      <c r="I259" t="n">
        <v>59837</v>
      </c>
      <c r="J259" t="n">
        <v>909162.85</v>
      </c>
      <c r="L259" t="inlineStr">
        <is>
          <t>Bear</t>
        </is>
      </c>
      <c r="M259" t="n">
        <v>6</v>
      </c>
      <c r="N259" s="20" t="n">
        <v>45646</v>
      </c>
      <c r="O259" t="inlineStr">
        <is>
          <t>False</t>
        </is>
      </c>
    </row>
    <row r="260">
      <c r="A260" t="inlineStr">
        <is>
          <t>RITES</t>
        </is>
      </c>
      <c r="B260" t="n">
        <v>1186.154602776215</v>
      </c>
      <c r="C260" t="n">
        <v>9.17087778401647</v>
      </c>
      <c r="D260" s="20" t="n">
        <v>45657</v>
      </c>
      <c r="E260" t="n">
        <v>267.15</v>
      </c>
      <c r="F260" t="n">
        <v>302.6</v>
      </c>
      <c r="G260" t="n">
        <v>267.1</v>
      </c>
      <c r="H260" t="n">
        <v>291.65</v>
      </c>
      <c r="I260" t="n">
        <v>58433455</v>
      </c>
      <c r="J260" t="n">
        <v>4543268.35</v>
      </c>
      <c r="L260" t="inlineStr">
        <is>
          <t>Bear</t>
        </is>
      </c>
      <c r="M260" t="n">
        <v>59</v>
      </c>
      <c r="N260" s="20" t="n">
        <v>45569</v>
      </c>
      <c r="O260" t="inlineStr">
        <is>
          <t>False</t>
        </is>
      </c>
    </row>
    <row r="261">
      <c r="A261" t="inlineStr">
        <is>
          <t>ROSSARI</t>
        </is>
      </c>
      <c r="B261" t="n">
        <v>31.23365634443148</v>
      </c>
      <c r="C261" t="n">
        <v>-0.3525867042759151</v>
      </c>
      <c r="D261" s="20" t="n">
        <v>45657</v>
      </c>
      <c r="E261" t="n">
        <v>784.1</v>
      </c>
      <c r="F261" t="n">
        <v>793.9</v>
      </c>
      <c r="G261" t="n">
        <v>765.25</v>
      </c>
      <c r="H261" t="n">
        <v>777.2</v>
      </c>
      <c r="I261" t="n">
        <v>62581</v>
      </c>
      <c r="J261" t="n">
        <v>47686.7</v>
      </c>
      <c r="L261" t="inlineStr">
        <is>
          <t>Bear</t>
        </is>
      </c>
      <c r="M261" t="n">
        <v>52</v>
      </c>
      <c r="N261" s="20" t="n">
        <v>45580</v>
      </c>
      <c r="O261" t="inlineStr">
        <is>
          <t>True</t>
        </is>
      </c>
    </row>
    <row r="262">
      <c r="A262" t="inlineStr">
        <is>
          <t>ROTO</t>
        </is>
      </c>
      <c r="B262" t="n">
        <v>-81.76792582899228</v>
      </c>
      <c r="C262" t="n">
        <v>1.826564993793238</v>
      </c>
      <c r="D262" s="20" t="n">
        <v>45657</v>
      </c>
      <c r="E262" t="n">
        <v>280.6</v>
      </c>
      <c r="F262" t="n">
        <v>287.8</v>
      </c>
      <c r="G262" t="n">
        <v>280.05</v>
      </c>
      <c r="H262" t="n">
        <v>287.1</v>
      </c>
      <c r="I262" t="n">
        <v>68896</v>
      </c>
      <c r="J262" t="n">
        <v>377883.5</v>
      </c>
      <c r="L262" t="inlineStr">
        <is>
          <t>Bull</t>
        </is>
      </c>
      <c r="M262" t="n">
        <v>14</v>
      </c>
      <c r="N262" s="20" t="n">
        <v>45636</v>
      </c>
      <c r="O262" t="inlineStr">
        <is>
          <t>True</t>
        </is>
      </c>
    </row>
    <row r="263">
      <c r="A263" t="inlineStr">
        <is>
          <t>ROHLTD</t>
        </is>
      </c>
      <c r="B263" t="n">
        <v>-20.17256094233397</v>
      </c>
      <c r="C263" t="n">
        <v>0.5364958350981319</v>
      </c>
      <c r="D263" s="20" t="n">
        <v>45657</v>
      </c>
      <c r="E263" t="n">
        <v>351</v>
      </c>
      <c r="F263" t="n">
        <v>359.7</v>
      </c>
      <c r="G263" t="n">
        <v>345.75</v>
      </c>
      <c r="H263" t="n">
        <v>356.05</v>
      </c>
      <c r="I263" t="n">
        <v>70945</v>
      </c>
      <c r="J263" t="n">
        <v>88872.95</v>
      </c>
      <c r="L263" t="inlineStr">
        <is>
          <t>Bull</t>
        </is>
      </c>
      <c r="M263" t="n">
        <v>12</v>
      </c>
      <c r="N263" s="20" t="n">
        <v>45638</v>
      </c>
      <c r="O263" t="inlineStr">
        <is>
          <t>False</t>
        </is>
      </c>
    </row>
    <row r="264">
      <c r="A264" t="inlineStr">
        <is>
          <t>SCI</t>
        </is>
      </c>
      <c r="B264" t="n">
        <v>-1.021084834687165</v>
      </c>
      <c r="C264" t="n">
        <v>2.031646806016798</v>
      </c>
      <c r="D264" s="20" t="n">
        <v>45657</v>
      </c>
      <c r="E264" t="n">
        <v>204.5</v>
      </c>
      <c r="F264" t="n">
        <v>210.7</v>
      </c>
      <c r="G264" t="n">
        <v>203.55</v>
      </c>
      <c r="H264" t="n">
        <v>208.92</v>
      </c>
      <c r="I264" t="n">
        <v>1554974</v>
      </c>
      <c r="J264" t="n">
        <v>1571015.4</v>
      </c>
      <c r="L264" t="inlineStr">
        <is>
          <t>Bear</t>
        </is>
      </c>
      <c r="M264" t="n">
        <v>79</v>
      </c>
      <c r="N264" s="20" t="n">
        <v>45540</v>
      </c>
      <c r="O264" t="inlineStr">
        <is>
          <t>True</t>
        </is>
      </c>
    </row>
    <row r="265">
      <c r="A265" t="inlineStr">
        <is>
          <t>SPAL</t>
        </is>
      </c>
      <c r="B265" t="n">
        <v>-86.08439235841668</v>
      </c>
      <c r="C265" t="n">
        <v>-0.5190592051905871</v>
      </c>
      <c r="D265" s="20" t="n">
        <v>45657</v>
      </c>
      <c r="E265" t="n">
        <v>919.85</v>
      </c>
      <c r="F265" t="n">
        <v>930.7</v>
      </c>
      <c r="G265" t="n">
        <v>910.05</v>
      </c>
      <c r="H265" t="n">
        <v>919.95</v>
      </c>
      <c r="I265" t="n">
        <v>7711</v>
      </c>
      <c r="J265" t="n">
        <v>55412.6</v>
      </c>
      <c r="L265" t="inlineStr">
        <is>
          <t>Bull</t>
        </is>
      </c>
      <c r="M265" t="n">
        <v>16</v>
      </c>
      <c r="N265" s="20" t="n">
        <v>45632</v>
      </c>
      <c r="O265" t="inlineStr">
        <is>
          <t>True</t>
        </is>
      </c>
    </row>
    <row r="266">
      <c r="A266" t="inlineStr">
        <is>
          <t>SAFARI</t>
        </is>
      </c>
      <c r="B266" t="n">
        <v>-48.47707237854333</v>
      </c>
      <c r="C266" t="n">
        <v>1.806802078412852</v>
      </c>
      <c r="D266" s="20" t="n">
        <v>45657</v>
      </c>
      <c r="E266" t="n">
        <v>2533</v>
      </c>
      <c r="F266" t="n">
        <v>2619.9</v>
      </c>
      <c r="G266" t="n">
        <v>2515.2</v>
      </c>
      <c r="H266" t="n">
        <v>2586.3</v>
      </c>
      <c r="I266" t="n">
        <v>19004</v>
      </c>
      <c r="J266" t="n">
        <v>36884.55</v>
      </c>
      <c r="L266" t="inlineStr">
        <is>
          <t>Bull</t>
        </is>
      </c>
      <c r="M266" t="n">
        <v>25</v>
      </c>
      <c r="N266" s="20" t="n">
        <v>45621</v>
      </c>
      <c r="O266" t="inlineStr">
        <is>
          <t>True</t>
        </is>
      </c>
    </row>
    <row r="267">
      <c r="A267" t="inlineStr">
        <is>
          <t>SAMMAANCAP</t>
        </is>
      </c>
      <c r="B267" t="n">
        <v>-67.10151612002868</v>
      </c>
      <c r="C267" t="n">
        <v>0.8949442329526505</v>
      </c>
      <c r="D267" s="20" t="n">
        <v>45657</v>
      </c>
      <c r="E267" t="n">
        <v>149.6</v>
      </c>
      <c r="F267" t="n">
        <v>151.34</v>
      </c>
      <c r="G267" t="n">
        <v>149.1</v>
      </c>
      <c r="H267" t="n">
        <v>151.07</v>
      </c>
      <c r="I267" t="n">
        <v>2081030</v>
      </c>
      <c r="J267" t="n">
        <v>6325610.65</v>
      </c>
      <c r="L267" t="inlineStr">
        <is>
          <t>Bear</t>
        </is>
      </c>
      <c r="M267" t="n">
        <v>0</v>
      </c>
      <c r="N267" s="20" t="n">
        <v>45657</v>
      </c>
      <c r="O267" t="inlineStr">
        <is>
          <t>False</t>
        </is>
      </c>
    </row>
    <row r="268">
      <c r="A268" t="inlineStr">
        <is>
          <t>SANDUMA</t>
        </is>
      </c>
      <c r="B268" t="n">
        <v>-39.43431983215741</v>
      </c>
      <c r="C268" t="n">
        <v>2.711780072148286</v>
      </c>
      <c r="D268" s="20" t="n">
        <v>45657</v>
      </c>
      <c r="E268" t="n">
        <v>402.65</v>
      </c>
      <c r="F268" t="n">
        <v>416.95</v>
      </c>
      <c r="G268" t="n">
        <v>396.2</v>
      </c>
      <c r="H268" t="n">
        <v>412.85</v>
      </c>
      <c r="I268" t="n">
        <v>120581</v>
      </c>
      <c r="J268" t="n">
        <v>199091.3</v>
      </c>
      <c r="L268" t="inlineStr">
        <is>
          <t>Bear</t>
        </is>
      </c>
      <c r="M268" t="n">
        <v>6</v>
      </c>
      <c r="N268" s="20" t="n">
        <v>45646</v>
      </c>
      <c r="O268" t="inlineStr">
        <is>
          <t>False</t>
        </is>
      </c>
    </row>
    <row r="269">
      <c r="A269" t="inlineStr">
        <is>
          <t>SANGHVIMOV</t>
        </is>
      </c>
      <c r="B269" t="n">
        <v>-19.22384183600082</v>
      </c>
      <c r="C269" t="n">
        <v>3.104547742909884</v>
      </c>
      <c r="D269" s="20" t="n">
        <v>45657</v>
      </c>
      <c r="E269" t="n">
        <v>298.95</v>
      </c>
      <c r="F269" t="n">
        <v>311.95</v>
      </c>
      <c r="G269" t="n">
        <v>295.05</v>
      </c>
      <c r="H269" t="n">
        <v>307.2</v>
      </c>
      <c r="I269" t="n">
        <v>276015</v>
      </c>
      <c r="J269" t="n">
        <v>341703.55</v>
      </c>
      <c r="L269" t="inlineStr">
        <is>
          <t>Bear</t>
        </is>
      </c>
      <c r="M269" t="n">
        <v>148</v>
      </c>
      <c r="N269" s="20" t="n">
        <v>45440</v>
      </c>
      <c r="O269" t="inlineStr">
        <is>
          <t>True</t>
        </is>
      </c>
    </row>
    <row r="270">
      <c r="A270" t="inlineStr">
        <is>
          <t>SANOFI</t>
        </is>
      </c>
      <c r="B270" t="n">
        <v>-33.88945851635253</v>
      </c>
      <c r="C270" t="n">
        <v>-0.2460184921184533</v>
      </c>
      <c r="D270" s="20" t="n">
        <v>45657</v>
      </c>
      <c r="E270" t="n">
        <v>6130.1</v>
      </c>
      <c r="F270" t="n">
        <v>6177.75</v>
      </c>
      <c r="G270" t="n">
        <v>6091</v>
      </c>
      <c r="H270" t="n">
        <v>6122.65</v>
      </c>
      <c r="I270" t="n">
        <v>7834</v>
      </c>
      <c r="J270" t="n">
        <v>11849.85</v>
      </c>
      <c r="L270" t="inlineStr">
        <is>
          <t>Bear</t>
        </is>
      </c>
      <c r="M270" t="n">
        <v>57</v>
      </c>
      <c r="N270" s="20" t="n">
        <v>45573</v>
      </c>
      <c r="O270" t="inlineStr">
        <is>
          <t>False</t>
        </is>
      </c>
    </row>
    <row r="271">
      <c r="A271" t="inlineStr">
        <is>
          <t>SARDAEN</t>
        </is>
      </c>
      <c r="B271" t="n">
        <v>-28.19183354604508</v>
      </c>
      <c r="C271" t="n">
        <v>-0.3715553720714236</v>
      </c>
      <c r="D271" s="20" t="n">
        <v>45657</v>
      </c>
      <c r="E271" t="n">
        <v>483.9</v>
      </c>
      <c r="F271" t="n">
        <v>490.95</v>
      </c>
      <c r="G271" t="n">
        <v>478.25</v>
      </c>
      <c r="H271" t="n">
        <v>482.65</v>
      </c>
      <c r="I271" t="n">
        <v>393961</v>
      </c>
      <c r="J271" t="n">
        <v>548629.8</v>
      </c>
      <c r="L271" t="inlineStr">
        <is>
          <t>Bull</t>
        </is>
      </c>
      <c r="M271" t="n">
        <v>119</v>
      </c>
      <c r="N271" s="20" t="n">
        <v>45482</v>
      </c>
      <c r="O271" t="inlineStr">
        <is>
          <t>True</t>
        </is>
      </c>
    </row>
    <row r="272">
      <c r="A272" t="inlineStr">
        <is>
          <t>SATINDLTD</t>
        </is>
      </c>
      <c r="B272" t="n">
        <v>78.38941085146818</v>
      </c>
      <c r="C272" t="n">
        <v>-0.1811766949556572</v>
      </c>
      <c r="D272" s="20" t="n">
        <v>45657</v>
      </c>
      <c r="E272" t="n">
        <v>105</v>
      </c>
      <c r="F272" t="n">
        <v>105.32</v>
      </c>
      <c r="G272" t="n">
        <v>100.94</v>
      </c>
      <c r="H272" t="n">
        <v>104.68</v>
      </c>
      <c r="I272" t="n">
        <v>666445</v>
      </c>
      <c r="J272" t="n">
        <v>373590</v>
      </c>
      <c r="L272" t="inlineStr">
        <is>
          <t>Bear</t>
        </is>
      </c>
      <c r="M272" t="n">
        <v>32</v>
      </c>
      <c r="N272" s="20" t="n">
        <v>45608</v>
      </c>
      <c r="O272" t="inlineStr">
        <is>
          <t>True</t>
        </is>
      </c>
    </row>
    <row r="273">
      <c r="A273" t="inlineStr">
        <is>
          <t>SEAMECLTD</t>
        </is>
      </c>
      <c r="B273" t="n">
        <v>1.119761423430398</v>
      </c>
      <c r="C273" t="n">
        <v>1.43952299829643</v>
      </c>
      <c r="D273" s="20" t="n">
        <v>45657</v>
      </c>
      <c r="E273" t="n">
        <v>1157</v>
      </c>
      <c r="F273" t="n">
        <v>1209.15</v>
      </c>
      <c r="G273" t="n">
        <v>1157</v>
      </c>
      <c r="H273" t="n">
        <v>1190.9</v>
      </c>
      <c r="I273" t="n">
        <v>17632</v>
      </c>
      <c r="J273" t="n">
        <v>17436.75</v>
      </c>
      <c r="L273" t="inlineStr">
        <is>
          <t>Bear</t>
        </is>
      </c>
      <c r="M273" t="n">
        <v>68</v>
      </c>
      <c r="N273" s="20" t="n">
        <v>45555</v>
      </c>
      <c r="O273" t="inlineStr">
        <is>
          <t>True</t>
        </is>
      </c>
    </row>
    <row r="274">
      <c r="A274" t="inlineStr">
        <is>
          <t>SESHAPAPER</t>
        </is>
      </c>
      <c r="B274" t="n">
        <v>-64.51869800227054</v>
      </c>
      <c r="C274" t="n">
        <v>0.6268558231606656</v>
      </c>
      <c r="D274" s="20" t="n">
        <v>45657</v>
      </c>
      <c r="E274" t="n">
        <v>304.6</v>
      </c>
      <c r="F274" t="n">
        <v>307.75</v>
      </c>
      <c r="G274" t="n">
        <v>302.4</v>
      </c>
      <c r="H274" t="n">
        <v>305</v>
      </c>
      <c r="I274" t="n">
        <v>10470</v>
      </c>
      <c r="J274" t="n">
        <v>29508.5</v>
      </c>
      <c r="L274" t="inlineStr">
        <is>
          <t>Bear</t>
        </is>
      </c>
      <c r="M274" t="n">
        <v>61</v>
      </c>
      <c r="N274" s="20" t="n">
        <v>45566</v>
      </c>
      <c r="O274" t="inlineStr">
        <is>
          <t>True</t>
        </is>
      </c>
    </row>
    <row r="275">
      <c r="A275" t="inlineStr">
        <is>
          <t>SHREDIGCEM</t>
        </is>
      </c>
      <c r="B275" t="n">
        <v>-47.1611364953311</v>
      </c>
      <c r="C275" t="n">
        <v>0.02367144040716089</v>
      </c>
      <c r="D275" s="20" t="n">
        <v>45657</v>
      </c>
      <c r="E275" t="n">
        <v>83.7</v>
      </c>
      <c r="F275" t="n">
        <v>84.83</v>
      </c>
      <c r="G275" t="n">
        <v>83.7</v>
      </c>
      <c r="H275" t="n">
        <v>84.51000000000001</v>
      </c>
      <c r="I275" t="n">
        <v>97342</v>
      </c>
      <c r="J275" t="n">
        <v>184224.25</v>
      </c>
      <c r="L275" t="inlineStr">
        <is>
          <t>Bear</t>
        </is>
      </c>
      <c r="M275" t="n">
        <v>105</v>
      </c>
      <c r="N275" s="20" t="n">
        <v>45503</v>
      </c>
      <c r="O275" t="inlineStr">
        <is>
          <t>True</t>
        </is>
      </c>
    </row>
    <row r="276">
      <c r="A276" t="inlineStr">
        <is>
          <t>SBCL</t>
        </is>
      </c>
      <c r="B276" t="n">
        <v>-51.40864899313839</v>
      </c>
      <c r="C276" t="n">
        <v>2.548338233983796</v>
      </c>
      <c r="D276" s="20" t="n">
        <v>45657</v>
      </c>
      <c r="E276" t="n">
        <v>564.1</v>
      </c>
      <c r="F276" t="n">
        <v>580.1</v>
      </c>
      <c r="G276" t="n">
        <v>563.9</v>
      </c>
      <c r="H276" t="n">
        <v>575.45</v>
      </c>
      <c r="I276" t="n">
        <v>56345</v>
      </c>
      <c r="J276" t="n">
        <v>115956.85</v>
      </c>
      <c r="L276" t="inlineStr">
        <is>
          <t>Bear</t>
        </is>
      </c>
      <c r="M276" t="n">
        <v>29</v>
      </c>
      <c r="N276" s="20" t="n">
        <v>45614</v>
      </c>
      <c r="O276" t="inlineStr">
        <is>
          <t>True</t>
        </is>
      </c>
    </row>
    <row r="277">
      <c r="A277" t="inlineStr">
        <is>
          <t>SHREECEM</t>
        </is>
      </c>
      <c r="B277" t="n">
        <v>-72.43923939813455</v>
      </c>
      <c r="C277" t="n">
        <v>-0.3728138625493559</v>
      </c>
      <c r="D277" s="20" t="n">
        <v>45657</v>
      </c>
      <c r="E277" t="n">
        <v>25710.05</v>
      </c>
      <c r="F277" t="n">
        <v>26050</v>
      </c>
      <c r="G277" t="n">
        <v>25637.25</v>
      </c>
      <c r="H277" t="n">
        <v>25694.2</v>
      </c>
      <c r="I277" t="n">
        <v>9098</v>
      </c>
      <c r="J277" t="n">
        <v>33010.7</v>
      </c>
      <c r="L277" t="inlineStr">
        <is>
          <t>Bull</t>
        </is>
      </c>
      <c r="M277" t="n">
        <v>20</v>
      </c>
      <c r="N277" s="20" t="n">
        <v>45628</v>
      </c>
      <c r="O277" t="inlineStr">
        <is>
          <t>True</t>
        </is>
      </c>
    </row>
    <row r="278">
      <c r="A278" t="inlineStr">
        <is>
          <t>SHRIRAMFIN</t>
        </is>
      </c>
      <c r="B278" t="n">
        <v>-29.04811939176914</v>
      </c>
      <c r="C278" t="n">
        <v>-1.022610483042135</v>
      </c>
      <c r="D278" s="20" t="n">
        <v>45657</v>
      </c>
      <c r="E278" t="n">
        <v>2897.9</v>
      </c>
      <c r="F278" t="n">
        <v>2912.7</v>
      </c>
      <c r="G278" t="n">
        <v>2881.05</v>
      </c>
      <c r="H278" t="n">
        <v>2889.15</v>
      </c>
      <c r="I278" t="n">
        <v>815014</v>
      </c>
      <c r="J278" t="n">
        <v>1148685.55</v>
      </c>
      <c r="L278" t="inlineStr">
        <is>
          <t>Bear</t>
        </is>
      </c>
      <c r="M278" t="n">
        <v>39</v>
      </c>
      <c r="N278" s="20" t="n">
        <v>45597</v>
      </c>
      <c r="O278" t="inlineStr">
        <is>
          <t>True</t>
        </is>
      </c>
    </row>
    <row r="279">
      <c r="A279" t="inlineStr">
        <is>
          <t>SHYAMMETL</t>
        </is>
      </c>
      <c r="B279" t="n">
        <v>236.7699052778243</v>
      </c>
      <c r="C279" t="n">
        <v>1.199024050191708</v>
      </c>
      <c r="D279" s="20" t="n">
        <v>45657</v>
      </c>
      <c r="E279" t="n">
        <v>715.1</v>
      </c>
      <c r="F279" t="n">
        <v>750</v>
      </c>
      <c r="G279" t="n">
        <v>703</v>
      </c>
      <c r="H279" t="n">
        <v>725.85</v>
      </c>
      <c r="I279" t="n">
        <v>690430</v>
      </c>
      <c r="J279" t="n">
        <v>205015.35</v>
      </c>
      <c r="L279" t="inlineStr">
        <is>
          <t>Bear</t>
        </is>
      </c>
      <c r="M279" t="n">
        <v>32</v>
      </c>
      <c r="N279" s="20" t="n">
        <v>45608</v>
      </c>
      <c r="O279" t="inlineStr">
        <is>
          <t>True</t>
        </is>
      </c>
    </row>
    <row r="280">
      <c r="A280" t="inlineStr">
        <is>
          <t>SIGACHI</t>
        </is>
      </c>
      <c r="B280" t="n">
        <v>-39.03189048473413</v>
      </c>
      <c r="C280" t="n">
        <v>-0.1000200040008087</v>
      </c>
      <c r="D280" s="20" t="n">
        <v>45657</v>
      </c>
      <c r="E280" t="n">
        <v>50.39</v>
      </c>
      <c r="F280" t="n">
        <v>50.39</v>
      </c>
      <c r="G280" t="n">
        <v>49.04</v>
      </c>
      <c r="H280" t="n">
        <v>49.94</v>
      </c>
      <c r="I280" t="n">
        <v>740367</v>
      </c>
      <c r="J280" t="n">
        <v>1214351.25</v>
      </c>
      <c r="L280" t="inlineStr">
        <is>
          <t>Bear</t>
        </is>
      </c>
      <c r="M280" t="n">
        <v>2</v>
      </c>
      <c r="N280" s="20" t="n">
        <v>45653</v>
      </c>
      <c r="O280" t="inlineStr">
        <is>
          <t>False</t>
        </is>
      </c>
    </row>
    <row r="281">
      <c r="A281" t="inlineStr">
        <is>
          <t>SIRCA</t>
        </is>
      </c>
      <c r="B281" t="n">
        <v>-20.14937725446309</v>
      </c>
      <c r="C281" t="n">
        <v>3.51485895308494</v>
      </c>
      <c r="D281" s="20" t="n">
        <v>45657</v>
      </c>
      <c r="E281" t="n">
        <v>333.2</v>
      </c>
      <c r="F281" t="n">
        <v>346.25</v>
      </c>
      <c r="G281" t="n">
        <v>329</v>
      </c>
      <c r="H281" t="n">
        <v>343.1</v>
      </c>
      <c r="I281" t="n">
        <v>91901</v>
      </c>
      <c r="J281" t="n">
        <v>115091.15</v>
      </c>
      <c r="L281" t="inlineStr">
        <is>
          <t>Bear</t>
        </is>
      </c>
      <c r="M281" t="n">
        <v>7</v>
      </c>
      <c r="N281" s="20" t="n">
        <v>45645</v>
      </c>
      <c r="O281" t="inlineStr">
        <is>
          <t>False</t>
        </is>
      </c>
    </row>
    <row r="282">
      <c r="A282" t="inlineStr">
        <is>
          <t>SIYSIL</t>
        </is>
      </c>
      <c r="B282" t="n">
        <v>-39.35679550935191</v>
      </c>
      <c r="C282" t="n">
        <v>1.235869501552166</v>
      </c>
      <c r="D282" s="20" t="n">
        <v>45657</v>
      </c>
      <c r="E282" t="n">
        <v>853</v>
      </c>
      <c r="F282" t="n">
        <v>918.6</v>
      </c>
      <c r="G282" t="n">
        <v>842.4</v>
      </c>
      <c r="H282" t="n">
        <v>864.2</v>
      </c>
      <c r="I282" t="n">
        <v>544862</v>
      </c>
      <c r="J282" t="n">
        <v>898471.65</v>
      </c>
      <c r="L282" t="inlineStr">
        <is>
          <t>Bull</t>
        </is>
      </c>
      <c r="M282" t="n">
        <v>55</v>
      </c>
      <c r="N282" s="20" t="n">
        <v>45575</v>
      </c>
      <c r="O282" t="inlineStr">
        <is>
          <t>True</t>
        </is>
      </c>
    </row>
    <row r="283">
      <c r="A283" t="inlineStr">
        <is>
          <t>SKFINDIA</t>
        </is>
      </c>
      <c r="B283" t="n">
        <v>-27.23818082125016</v>
      </c>
      <c r="C283" t="n">
        <v>-0.1262372366333677</v>
      </c>
      <c r="D283" s="20" t="n">
        <v>45657</v>
      </c>
      <c r="E283" t="n">
        <v>4476</v>
      </c>
      <c r="F283" t="n">
        <v>4566</v>
      </c>
      <c r="G283" t="n">
        <v>4444.85</v>
      </c>
      <c r="H283" t="n">
        <v>4470.05</v>
      </c>
      <c r="I283" t="n">
        <v>19109</v>
      </c>
      <c r="J283" t="n">
        <v>26262.4</v>
      </c>
      <c r="L283" t="inlineStr">
        <is>
          <t>Bear</t>
        </is>
      </c>
      <c r="M283" t="n">
        <v>107</v>
      </c>
      <c r="N283" s="20" t="n">
        <v>45499</v>
      </c>
      <c r="O283" t="inlineStr">
        <is>
          <t>True</t>
        </is>
      </c>
    </row>
    <row r="284">
      <c r="A284" t="inlineStr">
        <is>
          <t>SOMANYCERA</t>
        </is>
      </c>
      <c r="B284" t="n">
        <v>-35.73815297186044</v>
      </c>
      <c r="C284" t="n">
        <v>-1.255424674519532</v>
      </c>
      <c r="D284" s="20" t="n">
        <v>45657</v>
      </c>
      <c r="E284" t="n">
        <v>635</v>
      </c>
      <c r="F284" t="n">
        <v>661.45</v>
      </c>
      <c r="G284" t="n">
        <v>635</v>
      </c>
      <c r="H284" t="n">
        <v>637.1</v>
      </c>
      <c r="I284" t="n">
        <v>11568</v>
      </c>
      <c r="J284" t="n">
        <v>18001.35</v>
      </c>
      <c r="L284" t="inlineStr">
        <is>
          <t>Bear</t>
        </is>
      </c>
      <c r="M284" t="n">
        <v>7</v>
      </c>
      <c r="N284" s="20" t="n">
        <v>45645</v>
      </c>
      <c r="O284" t="inlineStr">
        <is>
          <t>False</t>
        </is>
      </c>
    </row>
    <row r="285">
      <c r="A285" t="inlineStr">
        <is>
          <t>SRF</t>
        </is>
      </c>
      <c r="B285" t="n">
        <v>-35.27584142148556</v>
      </c>
      <c r="C285" t="n">
        <v>-0.7626987118373622</v>
      </c>
      <c r="D285" s="20" t="n">
        <v>45657</v>
      </c>
      <c r="E285" t="n">
        <v>2255.05</v>
      </c>
      <c r="F285" t="n">
        <v>2259.8</v>
      </c>
      <c r="G285" t="n">
        <v>2205</v>
      </c>
      <c r="H285" t="n">
        <v>2237.95</v>
      </c>
      <c r="I285" t="n">
        <v>226673</v>
      </c>
      <c r="J285" t="n">
        <v>350213.9</v>
      </c>
      <c r="L285" t="inlineStr">
        <is>
          <t>Bear</t>
        </is>
      </c>
      <c r="M285" t="n">
        <v>68</v>
      </c>
      <c r="N285" s="20" t="n">
        <v>45555</v>
      </c>
      <c r="O285" t="inlineStr">
        <is>
          <t>False</t>
        </is>
      </c>
    </row>
    <row r="286">
      <c r="A286" t="inlineStr">
        <is>
          <t>SBIN</t>
        </is>
      </c>
      <c r="B286" t="n">
        <v>-10.3661866353307</v>
      </c>
      <c r="C286" t="n">
        <v>0.8435874667005063</v>
      </c>
      <c r="D286" s="20" t="n">
        <v>45657</v>
      </c>
      <c r="E286" t="n">
        <v>786.95</v>
      </c>
      <c r="F286" t="n">
        <v>799.2</v>
      </c>
      <c r="G286" t="n">
        <v>786</v>
      </c>
      <c r="H286" t="n">
        <v>794.95</v>
      </c>
      <c r="I286" t="n">
        <v>9086044</v>
      </c>
      <c r="J286" t="n">
        <v>10136848.65</v>
      </c>
      <c r="L286" t="inlineStr">
        <is>
          <t>Bear</t>
        </is>
      </c>
      <c r="M286" t="n">
        <v>1</v>
      </c>
      <c r="N286" s="20" t="n">
        <v>45656</v>
      </c>
      <c r="O286" t="inlineStr">
        <is>
          <t>False</t>
        </is>
      </c>
    </row>
    <row r="287">
      <c r="A287" t="inlineStr">
        <is>
          <t>STARCEMENT</t>
        </is>
      </c>
      <c r="B287" t="n">
        <v>-43.99810492693181</v>
      </c>
      <c r="C287" t="n">
        <v>3.369686178499886</v>
      </c>
      <c r="D287" s="20" t="n">
        <v>45657</v>
      </c>
      <c r="E287" t="n">
        <v>221.55</v>
      </c>
      <c r="F287" t="n">
        <v>234.71</v>
      </c>
      <c r="G287" t="n">
        <v>220.5</v>
      </c>
      <c r="H287" t="n">
        <v>232.22</v>
      </c>
      <c r="I287" t="n">
        <v>2982673</v>
      </c>
      <c r="J287" t="n">
        <v>5326021.55</v>
      </c>
      <c r="L287" t="inlineStr">
        <is>
          <t>Bull</t>
        </is>
      </c>
      <c r="M287" t="n">
        <v>11</v>
      </c>
      <c r="N287" s="20" t="n">
        <v>45639</v>
      </c>
      <c r="O287" t="inlineStr">
        <is>
          <t>True</t>
        </is>
      </c>
    </row>
    <row r="288">
      <c r="A288" t="inlineStr">
        <is>
          <t>STERTOOLS</t>
        </is>
      </c>
      <c r="B288" t="n">
        <v>-0.4825015057961861</v>
      </c>
      <c r="C288" t="n">
        <v>-0.4127966976264151</v>
      </c>
      <c r="D288" s="20" t="n">
        <v>45657</v>
      </c>
      <c r="E288" t="n">
        <v>562.35</v>
      </c>
      <c r="F288" t="n">
        <v>584.25</v>
      </c>
      <c r="G288" t="n">
        <v>558.9</v>
      </c>
      <c r="H288" t="n">
        <v>579</v>
      </c>
      <c r="I288" t="n">
        <v>230818</v>
      </c>
      <c r="J288" t="n">
        <v>231937.1</v>
      </c>
      <c r="L288" t="inlineStr">
        <is>
          <t>Bull</t>
        </is>
      </c>
      <c r="M288" t="n">
        <v>170</v>
      </c>
      <c r="N288" s="20" t="n">
        <v>45407</v>
      </c>
      <c r="O288" t="inlineStr">
        <is>
          <t>False</t>
        </is>
      </c>
    </row>
    <row r="289">
      <c r="A289" t="inlineStr">
        <is>
          <t>STYLAMIND</t>
        </is>
      </c>
      <c r="B289" t="n">
        <v>2.798737231483169</v>
      </c>
      <c r="C289" t="n">
        <v>-3.016078439974556</v>
      </c>
      <c r="D289" s="20" t="n">
        <v>45657</v>
      </c>
      <c r="E289" t="n">
        <v>2279</v>
      </c>
      <c r="F289" t="n">
        <v>2290</v>
      </c>
      <c r="G289" t="n">
        <v>2193.65</v>
      </c>
      <c r="H289" t="n">
        <v>2210.7</v>
      </c>
      <c r="I289" t="n">
        <v>58304</v>
      </c>
      <c r="J289" t="n">
        <v>56716.65</v>
      </c>
      <c r="L289" t="inlineStr">
        <is>
          <t>Bull</t>
        </is>
      </c>
      <c r="M289" t="n">
        <v>133</v>
      </c>
      <c r="N289" s="20" t="n">
        <v>45462</v>
      </c>
      <c r="O289" t="inlineStr">
        <is>
          <t>False</t>
        </is>
      </c>
    </row>
    <row r="290">
      <c r="A290" t="inlineStr">
        <is>
          <t>STYRENIX</t>
        </is>
      </c>
      <c r="B290" t="n">
        <v>-48.42443923070242</v>
      </c>
      <c r="C290" t="n">
        <v>-0.7902569190243205</v>
      </c>
      <c r="D290" s="20" t="n">
        <v>45657</v>
      </c>
      <c r="E290" t="n">
        <v>2916.95</v>
      </c>
      <c r="F290" t="n">
        <v>2926</v>
      </c>
      <c r="G290" t="n">
        <v>2855.6</v>
      </c>
      <c r="H290" t="n">
        <v>2900</v>
      </c>
      <c r="I290" t="n">
        <v>39492</v>
      </c>
      <c r="J290" t="n">
        <v>76571.14999999999</v>
      </c>
      <c r="L290" t="inlineStr">
        <is>
          <t>Bull</t>
        </is>
      </c>
      <c r="M290" t="n">
        <v>17</v>
      </c>
      <c r="N290" s="20" t="n">
        <v>45631</v>
      </c>
      <c r="O290" t="inlineStr">
        <is>
          <t>True</t>
        </is>
      </c>
    </row>
    <row r="291">
      <c r="A291" t="inlineStr">
        <is>
          <t>SUDARSCHEM</t>
        </is>
      </c>
      <c r="B291" t="n">
        <v>-63.84534425771182</v>
      </c>
      <c r="C291" t="n">
        <v>1.747987368233765</v>
      </c>
      <c r="D291" s="20" t="n">
        <v>45657</v>
      </c>
      <c r="E291" t="n">
        <v>1115</v>
      </c>
      <c r="F291" t="n">
        <v>1148.5</v>
      </c>
      <c r="G291" t="n">
        <v>1112</v>
      </c>
      <c r="H291" t="n">
        <v>1143.8</v>
      </c>
      <c r="I291" t="n">
        <v>62590</v>
      </c>
      <c r="J291" t="n">
        <v>173117.4</v>
      </c>
      <c r="L291" t="inlineStr">
        <is>
          <t>Bull</t>
        </is>
      </c>
      <c r="M291" t="n">
        <v>19</v>
      </c>
      <c r="N291" s="20" t="n">
        <v>45629</v>
      </c>
      <c r="O291" t="inlineStr">
        <is>
          <t>True</t>
        </is>
      </c>
    </row>
    <row r="292">
      <c r="A292" t="inlineStr">
        <is>
          <t>SULA</t>
        </is>
      </c>
      <c r="B292" t="n">
        <v>-7.603371094258633</v>
      </c>
      <c r="C292" t="n">
        <v>1.857509470854215</v>
      </c>
      <c r="D292" s="20" t="n">
        <v>45657</v>
      </c>
      <c r="E292" t="n">
        <v>417.45</v>
      </c>
      <c r="F292" t="n">
        <v>417.7</v>
      </c>
      <c r="G292" t="n">
        <v>409</v>
      </c>
      <c r="H292" t="n">
        <v>416.75</v>
      </c>
      <c r="I292" t="n">
        <v>205783</v>
      </c>
      <c r="J292" t="n">
        <v>222717</v>
      </c>
      <c r="L292" t="inlineStr">
        <is>
          <t>Bear</t>
        </is>
      </c>
      <c r="M292" t="n">
        <v>205</v>
      </c>
      <c r="N292" s="20" t="n">
        <v>45352</v>
      </c>
      <c r="O292" t="inlineStr">
        <is>
          <t>True</t>
        </is>
      </c>
    </row>
    <row r="293">
      <c r="A293" t="inlineStr">
        <is>
          <t>SUMICHEM</t>
        </is>
      </c>
      <c r="B293" t="n">
        <v>-1.256993812678278</v>
      </c>
      <c r="C293" t="n">
        <v>-0.569295380307971</v>
      </c>
      <c r="D293" s="20" t="n">
        <v>45657</v>
      </c>
      <c r="E293" t="n">
        <v>534.6</v>
      </c>
      <c r="F293" t="n">
        <v>546.4</v>
      </c>
      <c r="G293" t="n">
        <v>526</v>
      </c>
      <c r="H293" t="n">
        <v>532.7</v>
      </c>
      <c r="I293" t="n">
        <v>363281</v>
      </c>
      <c r="J293" t="n">
        <v>367905.55</v>
      </c>
      <c r="L293" t="inlineStr">
        <is>
          <t>Bear</t>
        </is>
      </c>
      <c r="M293" t="n">
        <v>12</v>
      </c>
      <c r="N293" s="20" t="n">
        <v>45638</v>
      </c>
      <c r="O293" t="inlineStr">
        <is>
          <t>True</t>
        </is>
      </c>
    </row>
    <row r="294">
      <c r="A294" t="inlineStr">
        <is>
          <t>SUNPHARMA</t>
        </is>
      </c>
      <c r="B294" t="n">
        <v>-4.427577371203061</v>
      </c>
      <c r="C294" t="n">
        <v>0.1300493656775741</v>
      </c>
      <c r="D294" s="20" t="n">
        <v>45657</v>
      </c>
      <c r="E294" t="n">
        <v>1876.8</v>
      </c>
      <c r="F294" t="n">
        <v>1910</v>
      </c>
      <c r="G294" t="n">
        <v>1868.8</v>
      </c>
      <c r="H294" t="n">
        <v>1886.35</v>
      </c>
      <c r="I294" t="n">
        <v>1844944</v>
      </c>
      <c r="J294" t="n">
        <v>1930414.6</v>
      </c>
      <c r="L294" t="inlineStr">
        <is>
          <t>Bull</t>
        </is>
      </c>
      <c r="M294" t="n">
        <v>2</v>
      </c>
      <c r="N294" s="20" t="n">
        <v>45653</v>
      </c>
      <c r="O294" t="inlineStr">
        <is>
          <t>True</t>
        </is>
      </c>
    </row>
    <row r="295">
      <c r="A295" t="inlineStr">
        <is>
          <t>SUNTV</t>
        </is>
      </c>
      <c r="B295" t="n">
        <v>-37.11609973646112</v>
      </c>
      <c r="C295" t="n">
        <v>0.102586649080374</v>
      </c>
      <c r="D295" s="20" t="n">
        <v>45657</v>
      </c>
      <c r="E295" t="n">
        <v>678</v>
      </c>
      <c r="F295" t="n">
        <v>688.7</v>
      </c>
      <c r="G295" t="n">
        <v>678</v>
      </c>
      <c r="H295" t="n">
        <v>683.05</v>
      </c>
      <c r="I295" t="n">
        <v>202368</v>
      </c>
      <c r="J295" t="n">
        <v>321812.1</v>
      </c>
      <c r="L295" t="inlineStr">
        <is>
          <t>Bear</t>
        </is>
      </c>
      <c r="M295" t="n">
        <v>53</v>
      </c>
      <c r="N295" s="20" t="n">
        <v>45579</v>
      </c>
      <c r="O295" t="inlineStr">
        <is>
          <t>True</t>
        </is>
      </c>
    </row>
    <row r="296">
      <c r="A296" t="inlineStr">
        <is>
          <t>SUNDARMFIN</t>
        </is>
      </c>
      <c r="B296" t="n">
        <v>-29.5215828835454</v>
      </c>
      <c r="C296" t="n">
        <v>-0.2767616480554486</v>
      </c>
      <c r="D296" s="20" t="n">
        <v>45657</v>
      </c>
      <c r="E296" t="n">
        <v>4220.2</v>
      </c>
      <c r="F296" t="n">
        <v>4322.4</v>
      </c>
      <c r="G296" t="n">
        <v>4083.05</v>
      </c>
      <c r="H296" t="n">
        <v>4143.7</v>
      </c>
      <c r="I296" t="n">
        <v>101589</v>
      </c>
      <c r="J296" t="n">
        <v>144142</v>
      </c>
      <c r="L296" t="inlineStr">
        <is>
          <t>Bear</t>
        </is>
      </c>
      <c r="M296" t="n">
        <v>34</v>
      </c>
      <c r="N296" s="20" t="n">
        <v>45604</v>
      </c>
      <c r="O296" t="inlineStr">
        <is>
          <t>True</t>
        </is>
      </c>
    </row>
    <row r="297">
      <c r="A297" t="inlineStr">
        <is>
          <t>SUNDRMFAST</t>
        </is>
      </c>
      <c r="B297" t="n">
        <v>-79.06754538297317</v>
      </c>
      <c r="C297" t="n">
        <v>-0.7523393050265671</v>
      </c>
      <c r="D297" s="20" t="n">
        <v>45657</v>
      </c>
      <c r="E297" t="n">
        <v>1066.6</v>
      </c>
      <c r="F297" t="n">
        <v>1070.95</v>
      </c>
      <c r="G297" t="n">
        <v>1045.35</v>
      </c>
      <c r="H297" t="n">
        <v>1055.35</v>
      </c>
      <c r="I297" t="n">
        <v>40573</v>
      </c>
      <c r="J297" t="n">
        <v>193828.2</v>
      </c>
      <c r="L297" t="inlineStr">
        <is>
          <t>Bear</t>
        </is>
      </c>
      <c r="M297" t="n">
        <v>41</v>
      </c>
      <c r="N297" s="20" t="n">
        <v>45595</v>
      </c>
      <c r="O297" t="inlineStr">
        <is>
          <t>True</t>
        </is>
      </c>
    </row>
    <row r="298">
      <c r="A298" t="inlineStr">
        <is>
          <t>SUPREMEIND</t>
        </is>
      </c>
      <c r="B298" t="n">
        <v>-59.01661890495839</v>
      </c>
      <c r="C298" t="n">
        <v>1.226564435015772</v>
      </c>
      <c r="D298" s="20" t="n">
        <v>45657</v>
      </c>
      <c r="E298" t="n">
        <v>4629.95</v>
      </c>
      <c r="F298" t="n">
        <v>4736.75</v>
      </c>
      <c r="G298" t="n">
        <v>4618</v>
      </c>
      <c r="H298" t="n">
        <v>4700</v>
      </c>
      <c r="I298" t="n">
        <v>105787</v>
      </c>
      <c r="J298" t="n">
        <v>258121.7</v>
      </c>
      <c r="L298" t="inlineStr">
        <is>
          <t>Bull</t>
        </is>
      </c>
      <c r="M298" t="n">
        <v>8</v>
      </c>
      <c r="N298" s="20" t="n">
        <v>45644</v>
      </c>
      <c r="O298" t="inlineStr">
        <is>
          <t>True</t>
        </is>
      </c>
    </row>
    <row r="299">
      <c r="A299" t="inlineStr">
        <is>
          <t>SYMPHONY</t>
        </is>
      </c>
      <c r="B299" t="n">
        <v>-31.44617342334763</v>
      </c>
      <c r="C299" t="n">
        <v>2.13274638533643</v>
      </c>
      <c r="D299" s="20" t="n">
        <v>45657</v>
      </c>
      <c r="E299" t="n">
        <v>1317.55</v>
      </c>
      <c r="F299" t="n">
        <v>1349.95</v>
      </c>
      <c r="G299" t="n">
        <v>1294.9</v>
      </c>
      <c r="H299" t="n">
        <v>1345.65</v>
      </c>
      <c r="I299" t="n">
        <v>44822</v>
      </c>
      <c r="J299" t="n">
        <v>65382.2</v>
      </c>
      <c r="L299" t="inlineStr">
        <is>
          <t>Bear</t>
        </is>
      </c>
      <c r="M299" t="n">
        <v>32</v>
      </c>
      <c r="N299" s="20" t="n">
        <v>45608</v>
      </c>
      <c r="O299" t="inlineStr">
        <is>
          <t>True</t>
        </is>
      </c>
    </row>
    <row r="300">
      <c r="A300" t="inlineStr">
        <is>
          <t>SYNGENE</t>
        </is>
      </c>
      <c r="B300" t="n">
        <v>-56.25611496410148</v>
      </c>
      <c r="C300" t="n">
        <v>-0.05821060597240817</v>
      </c>
      <c r="D300" s="20" t="n">
        <v>45657</v>
      </c>
      <c r="E300" t="n">
        <v>859</v>
      </c>
      <c r="F300" t="n">
        <v>870.1</v>
      </c>
      <c r="G300" t="n">
        <v>848.1</v>
      </c>
      <c r="H300" t="n">
        <v>858.45</v>
      </c>
      <c r="I300" t="n">
        <v>393894</v>
      </c>
      <c r="J300" t="n">
        <v>900455</v>
      </c>
      <c r="L300" t="inlineStr">
        <is>
          <t>Bear</t>
        </is>
      </c>
      <c r="M300" t="n">
        <v>6</v>
      </c>
      <c r="N300" s="20" t="n">
        <v>45646</v>
      </c>
      <c r="O300" t="inlineStr">
        <is>
          <t>True</t>
        </is>
      </c>
    </row>
    <row r="301">
      <c r="A301" t="inlineStr">
        <is>
          <t>TAJGVK</t>
        </is>
      </c>
      <c r="B301" t="n">
        <v>-35.60624048252027</v>
      </c>
      <c r="C301" t="n">
        <v>0.02617458447846248</v>
      </c>
      <c r="D301" s="20" t="n">
        <v>45657</v>
      </c>
      <c r="E301" t="n">
        <v>381</v>
      </c>
      <c r="F301" t="n">
        <v>395</v>
      </c>
      <c r="G301" t="n">
        <v>378.25</v>
      </c>
      <c r="H301" t="n">
        <v>382.15</v>
      </c>
      <c r="I301" t="n">
        <v>372227</v>
      </c>
      <c r="J301" t="n">
        <v>578048.25</v>
      </c>
      <c r="L301" t="inlineStr">
        <is>
          <t>Bull</t>
        </is>
      </c>
      <c r="M301" t="n">
        <v>34</v>
      </c>
      <c r="N301" s="20" t="n">
        <v>45604</v>
      </c>
      <c r="O301" t="inlineStr">
        <is>
          <t>True</t>
        </is>
      </c>
    </row>
    <row r="302">
      <c r="A302" t="inlineStr">
        <is>
          <t>TARSONS</t>
        </is>
      </c>
      <c r="B302" t="n">
        <v>-53.17291125974985</v>
      </c>
      <c r="C302" t="n">
        <v>0.6335403726708102</v>
      </c>
      <c r="D302" s="20" t="n">
        <v>45657</v>
      </c>
      <c r="E302" t="n">
        <v>402</v>
      </c>
      <c r="F302" t="n">
        <v>407.9</v>
      </c>
      <c r="G302" t="n">
        <v>399.6</v>
      </c>
      <c r="H302" t="n">
        <v>405.05</v>
      </c>
      <c r="I302" t="n">
        <v>43745</v>
      </c>
      <c r="J302" t="n">
        <v>93418.14999999999</v>
      </c>
      <c r="L302" t="inlineStr">
        <is>
          <t>Bear</t>
        </is>
      </c>
      <c r="M302" t="n">
        <v>6</v>
      </c>
      <c r="N302" s="20" t="n">
        <v>45646</v>
      </c>
      <c r="O302" t="inlineStr">
        <is>
          <t>False</t>
        </is>
      </c>
    </row>
    <row r="303">
      <c r="A303" t="inlineStr">
        <is>
          <t>TATASTEEL</t>
        </is>
      </c>
      <c r="B303" t="n">
        <v>-32.50745139877557</v>
      </c>
      <c r="C303" t="n">
        <v>0.8547632963179544</v>
      </c>
      <c r="D303" s="20" t="n">
        <v>45657</v>
      </c>
      <c r="E303" t="n">
        <v>136.87</v>
      </c>
      <c r="F303" t="n">
        <v>138.68</v>
      </c>
      <c r="G303" t="n">
        <v>136.56</v>
      </c>
      <c r="H303" t="n">
        <v>138.05</v>
      </c>
      <c r="I303" t="n">
        <v>20080291</v>
      </c>
      <c r="J303" t="n">
        <v>29751863.6</v>
      </c>
      <c r="L303" t="inlineStr">
        <is>
          <t>Bear</t>
        </is>
      </c>
      <c r="M303" t="n">
        <v>47</v>
      </c>
      <c r="N303" s="20" t="n">
        <v>45587</v>
      </c>
      <c r="O303" t="inlineStr">
        <is>
          <t>False</t>
        </is>
      </c>
    </row>
    <row r="304">
      <c r="A304" t="inlineStr">
        <is>
          <t>TCIEXP</t>
        </is>
      </c>
      <c r="B304" t="n">
        <v>-55.24176098489927</v>
      </c>
      <c r="C304" t="n">
        <v>-0.7740598525019836</v>
      </c>
      <c r="D304" s="20" t="n">
        <v>45657</v>
      </c>
      <c r="E304" t="n">
        <v>824.5</v>
      </c>
      <c r="F304" t="n">
        <v>824.5</v>
      </c>
      <c r="G304" t="n">
        <v>810</v>
      </c>
      <c r="H304" t="n">
        <v>814</v>
      </c>
      <c r="I304" t="n">
        <v>20530</v>
      </c>
      <c r="J304" t="n">
        <v>45868.65</v>
      </c>
      <c r="L304" t="inlineStr">
        <is>
          <t>Bear</t>
        </is>
      </c>
      <c r="M304" t="n">
        <v>94</v>
      </c>
      <c r="N304" s="20" t="n">
        <v>45518</v>
      </c>
      <c r="O304" t="inlineStr">
        <is>
          <t>False</t>
        </is>
      </c>
    </row>
    <row r="305">
      <c r="A305" t="inlineStr">
        <is>
          <t>TCPLPACK</t>
        </is>
      </c>
      <c r="B305" t="n">
        <v>-81.67339369477473</v>
      </c>
      <c r="C305" t="n">
        <v>-0.9281678773204225</v>
      </c>
      <c r="D305" s="20" t="n">
        <v>45657</v>
      </c>
      <c r="E305" t="n">
        <v>3215.3</v>
      </c>
      <c r="F305" t="n">
        <v>3215.3</v>
      </c>
      <c r="G305" t="n">
        <v>3174.65</v>
      </c>
      <c r="H305" t="n">
        <v>3191.5</v>
      </c>
      <c r="I305" t="n">
        <v>504</v>
      </c>
      <c r="J305" t="n">
        <v>2750.1</v>
      </c>
      <c r="L305" t="inlineStr">
        <is>
          <t>Bear</t>
        </is>
      </c>
      <c r="M305" t="n">
        <v>3</v>
      </c>
      <c r="N305" s="20" t="n">
        <v>45652</v>
      </c>
      <c r="O305" t="inlineStr">
        <is>
          <t>True</t>
        </is>
      </c>
    </row>
    <row r="306">
      <c r="A306" t="inlineStr">
        <is>
          <t>TDPOWERSYS</t>
        </is>
      </c>
      <c r="B306" t="n">
        <v>-58.76113245490547</v>
      </c>
      <c r="C306" t="n">
        <v>0.222197533607377</v>
      </c>
      <c r="D306" s="20" t="n">
        <v>45657</v>
      </c>
      <c r="E306" t="n">
        <v>445.5</v>
      </c>
      <c r="F306" t="n">
        <v>454</v>
      </c>
      <c r="G306" t="n">
        <v>445.1</v>
      </c>
      <c r="H306" t="n">
        <v>451.05</v>
      </c>
      <c r="I306" t="n">
        <v>264905</v>
      </c>
      <c r="J306" t="n">
        <v>642367.3</v>
      </c>
      <c r="L306" t="inlineStr">
        <is>
          <t>Bull</t>
        </is>
      </c>
      <c r="M306" t="n">
        <v>37</v>
      </c>
      <c r="N306" s="20" t="n">
        <v>45601</v>
      </c>
      <c r="O306" t="inlineStr">
        <is>
          <t>True</t>
        </is>
      </c>
    </row>
    <row r="307">
      <c r="A307" t="inlineStr">
        <is>
          <t>TECHNOE</t>
        </is>
      </c>
      <c r="B307" t="n">
        <v>-74.73154683006258</v>
      </c>
      <c r="C307" t="n">
        <v>-0.5584124680569083</v>
      </c>
      <c r="D307" s="20" t="n">
        <v>45657</v>
      </c>
      <c r="E307" t="n">
        <v>1589.95</v>
      </c>
      <c r="F307" t="n">
        <v>1593.75</v>
      </c>
      <c r="G307" t="n">
        <v>1547.15</v>
      </c>
      <c r="H307" t="n">
        <v>1576</v>
      </c>
      <c r="I307" t="n">
        <v>72603</v>
      </c>
      <c r="J307" t="n">
        <v>287326.65</v>
      </c>
      <c r="L307" t="inlineStr">
        <is>
          <t>Bull</t>
        </is>
      </c>
      <c r="M307" t="n">
        <v>1</v>
      </c>
      <c r="N307" s="20" t="n">
        <v>45656</v>
      </c>
      <c r="O307" t="inlineStr">
        <is>
          <t>True</t>
        </is>
      </c>
    </row>
    <row r="308">
      <c r="A308" t="inlineStr">
        <is>
          <t>TIIL</t>
        </is>
      </c>
      <c r="B308" t="n">
        <v>-30.96724824831094</v>
      </c>
      <c r="C308" t="n">
        <v>1.526618196693884</v>
      </c>
      <c r="D308" s="20" t="n">
        <v>45657</v>
      </c>
      <c r="E308" t="n">
        <v>2700</v>
      </c>
      <c r="F308" t="n">
        <v>2759</v>
      </c>
      <c r="G308" t="n">
        <v>2695.6</v>
      </c>
      <c r="H308" t="n">
        <v>2730</v>
      </c>
      <c r="I308" t="n">
        <v>12675</v>
      </c>
      <c r="J308" t="n">
        <v>18360.85</v>
      </c>
      <c r="L308" t="inlineStr">
        <is>
          <t>Bear</t>
        </is>
      </c>
      <c r="M308" t="n">
        <v>0</v>
      </c>
      <c r="N308" s="20" t="n">
        <v>45657</v>
      </c>
      <c r="O308" t="inlineStr">
        <is>
          <t>False</t>
        </is>
      </c>
    </row>
    <row r="309">
      <c r="A309" t="inlineStr">
        <is>
          <t>TEGA</t>
        </is>
      </c>
      <c r="B309" t="n">
        <v>-65.9518470742033</v>
      </c>
      <c r="C309" t="n">
        <v>1.013360872652169</v>
      </c>
      <c r="D309" s="20" t="n">
        <v>45657</v>
      </c>
      <c r="E309" t="n">
        <v>1549.3</v>
      </c>
      <c r="F309" t="n">
        <v>1568.95</v>
      </c>
      <c r="G309" t="n">
        <v>1520</v>
      </c>
      <c r="H309" t="n">
        <v>1565</v>
      </c>
      <c r="I309" t="n">
        <v>39328</v>
      </c>
      <c r="J309" t="n">
        <v>115507</v>
      </c>
      <c r="L309" t="inlineStr">
        <is>
          <t>Bear</t>
        </is>
      </c>
      <c r="M309" t="n">
        <v>23</v>
      </c>
      <c r="N309" s="20" t="n">
        <v>45623</v>
      </c>
      <c r="O309" t="inlineStr">
        <is>
          <t>True</t>
        </is>
      </c>
    </row>
    <row r="310">
      <c r="A310" t="inlineStr">
        <is>
          <t>THEMISMED</t>
        </is>
      </c>
      <c r="B310" t="n">
        <v>-74.08145377175587</v>
      </c>
      <c r="C310" t="n">
        <v>2.868852459016403</v>
      </c>
      <c r="D310" s="20" t="n">
        <v>45657</v>
      </c>
      <c r="E310" t="n">
        <v>256</v>
      </c>
      <c r="F310" t="n">
        <v>265</v>
      </c>
      <c r="G310" t="n">
        <v>255.95</v>
      </c>
      <c r="H310" t="n">
        <v>263.55</v>
      </c>
      <c r="I310" t="n">
        <v>32793</v>
      </c>
      <c r="J310" t="n">
        <v>126523.3</v>
      </c>
      <c r="L310" t="inlineStr">
        <is>
          <t>Bear</t>
        </is>
      </c>
      <c r="M310" t="n">
        <v>2</v>
      </c>
      <c r="N310" s="20" t="n">
        <v>45653</v>
      </c>
      <c r="O310" t="inlineStr">
        <is>
          <t>True</t>
        </is>
      </c>
    </row>
    <row r="311">
      <c r="A311" t="inlineStr">
        <is>
          <t>THYROCARE</t>
        </is>
      </c>
      <c r="B311" t="n">
        <v>-73.40345395195715</v>
      </c>
      <c r="C311" t="n">
        <v>0.5680251475210917</v>
      </c>
      <c r="D311" s="20" t="n">
        <v>45657</v>
      </c>
      <c r="E311" t="n">
        <v>902.3</v>
      </c>
      <c r="F311" t="n">
        <v>918.15</v>
      </c>
      <c r="G311" t="n">
        <v>898.4</v>
      </c>
      <c r="H311" t="n">
        <v>911.8</v>
      </c>
      <c r="I311" t="n">
        <v>9533</v>
      </c>
      <c r="J311" t="n">
        <v>35843</v>
      </c>
      <c r="L311" t="inlineStr">
        <is>
          <t>Bull</t>
        </is>
      </c>
      <c r="M311" t="n">
        <v>136</v>
      </c>
      <c r="N311" s="20" t="n">
        <v>45456</v>
      </c>
      <c r="O311" t="inlineStr">
        <is>
          <t>True</t>
        </is>
      </c>
    </row>
    <row r="312">
      <c r="A312" t="inlineStr">
        <is>
          <t>TI</t>
        </is>
      </c>
      <c r="B312" t="n">
        <v>11.84506759808672</v>
      </c>
      <c r="C312" t="n">
        <v>2.687256809338524</v>
      </c>
      <c r="D312" s="20" t="n">
        <v>45657</v>
      </c>
      <c r="E312" t="n">
        <v>409.7</v>
      </c>
      <c r="F312" t="n">
        <v>424</v>
      </c>
      <c r="G312" t="n">
        <v>406.2</v>
      </c>
      <c r="H312" t="n">
        <v>422.25</v>
      </c>
      <c r="I312" t="n">
        <v>1111558</v>
      </c>
      <c r="J312" t="n">
        <v>993837.3</v>
      </c>
      <c r="L312" t="inlineStr">
        <is>
          <t>Bull</t>
        </is>
      </c>
      <c r="M312" t="n">
        <v>86</v>
      </c>
      <c r="N312" s="20" t="n">
        <v>45531</v>
      </c>
      <c r="O312" t="inlineStr">
        <is>
          <t>True</t>
        </is>
      </c>
    </row>
    <row r="313">
      <c r="A313" t="inlineStr">
        <is>
          <t>TIMETECHNO</t>
        </is>
      </c>
      <c r="B313" t="n">
        <v>1.206859976768625</v>
      </c>
      <c r="C313" t="n">
        <v>2.779802186361275</v>
      </c>
      <c r="D313" s="20" t="n">
        <v>45657</v>
      </c>
      <c r="E313" t="n">
        <v>480.8</v>
      </c>
      <c r="F313" t="n">
        <v>495</v>
      </c>
      <c r="G313" t="n">
        <v>478.5</v>
      </c>
      <c r="H313" t="n">
        <v>493.6</v>
      </c>
      <c r="I313" t="n">
        <v>1227785</v>
      </c>
      <c r="J313" t="n">
        <v>1213144.05</v>
      </c>
      <c r="L313" t="inlineStr">
        <is>
          <t>Bull</t>
        </is>
      </c>
      <c r="M313" t="n">
        <v>22</v>
      </c>
      <c r="N313" s="20" t="n">
        <v>45624</v>
      </c>
      <c r="O313" t="inlineStr">
        <is>
          <t>True</t>
        </is>
      </c>
    </row>
    <row r="314">
      <c r="A314" t="inlineStr">
        <is>
          <t>TORNTPHARM</t>
        </is>
      </c>
      <c r="B314" t="n">
        <v>-53.52576783642286</v>
      </c>
      <c r="C314" t="n">
        <v>-0.2804570411040159</v>
      </c>
      <c r="D314" s="20" t="n">
        <v>45657</v>
      </c>
      <c r="E314" t="n">
        <v>3362.2</v>
      </c>
      <c r="F314" t="n">
        <v>3396.7</v>
      </c>
      <c r="G314" t="n">
        <v>3343.95</v>
      </c>
      <c r="H314" t="n">
        <v>3360.05</v>
      </c>
      <c r="I314" t="n">
        <v>153583</v>
      </c>
      <c r="J314" t="n">
        <v>330469.15</v>
      </c>
      <c r="L314" t="inlineStr">
        <is>
          <t>Bull</t>
        </is>
      </c>
      <c r="M314" t="n">
        <v>13</v>
      </c>
      <c r="N314" s="20" t="n">
        <v>45637</v>
      </c>
      <c r="O314" t="inlineStr">
        <is>
          <t>True</t>
        </is>
      </c>
    </row>
    <row r="315">
      <c r="A315" t="inlineStr">
        <is>
          <t>TORNTPOWER</t>
        </is>
      </c>
      <c r="B315" t="n">
        <v>103.3172096570341</v>
      </c>
      <c r="C315" t="n">
        <v>5.43887036117222</v>
      </c>
      <c r="D315" s="20" t="n">
        <v>45657</v>
      </c>
      <c r="E315" t="n">
        <v>1410</v>
      </c>
      <c r="F315" t="n">
        <v>1498</v>
      </c>
      <c r="G315" t="n">
        <v>1410</v>
      </c>
      <c r="H315" t="n">
        <v>1485.95</v>
      </c>
      <c r="I315" t="n">
        <v>2012848</v>
      </c>
      <c r="J315" t="n">
        <v>990003.75</v>
      </c>
      <c r="L315" t="inlineStr">
        <is>
          <t>Bear</t>
        </is>
      </c>
      <c r="M315" t="n">
        <v>33</v>
      </c>
      <c r="N315" s="20" t="n">
        <v>45607</v>
      </c>
      <c r="O315" t="inlineStr">
        <is>
          <t>True</t>
        </is>
      </c>
    </row>
    <row r="316">
      <c r="A316" t="inlineStr">
        <is>
          <t>TRIVENI</t>
        </is>
      </c>
      <c r="B316" t="n">
        <v>-13.9582800934912</v>
      </c>
      <c r="C316" t="n">
        <v>1.070711577068929</v>
      </c>
      <c r="D316" s="20" t="n">
        <v>45657</v>
      </c>
      <c r="E316" t="n">
        <v>452.4</v>
      </c>
      <c r="F316" t="n">
        <v>462</v>
      </c>
      <c r="G316" t="n">
        <v>443.3</v>
      </c>
      <c r="H316" t="n">
        <v>453.1</v>
      </c>
      <c r="I316" t="n">
        <v>2028898</v>
      </c>
      <c r="J316" t="n">
        <v>2358039.8</v>
      </c>
      <c r="L316" t="inlineStr">
        <is>
          <t>Bull</t>
        </is>
      </c>
      <c r="M316" t="n">
        <v>13</v>
      </c>
      <c r="N316" s="20" t="n">
        <v>45637</v>
      </c>
      <c r="O316" t="inlineStr">
        <is>
          <t>True</t>
        </is>
      </c>
    </row>
    <row r="317">
      <c r="A317" t="inlineStr">
        <is>
          <t>TTKPRESTIG</t>
        </is>
      </c>
      <c r="B317" t="n">
        <v>35.58060107032679</v>
      </c>
      <c r="C317" t="n">
        <v>0.9613595484711283</v>
      </c>
      <c r="D317" s="20" t="n">
        <v>45657</v>
      </c>
      <c r="E317" t="n">
        <v>804.95</v>
      </c>
      <c r="F317" t="n">
        <v>823.45</v>
      </c>
      <c r="G317" t="n">
        <v>785.6</v>
      </c>
      <c r="H317" t="n">
        <v>813.9</v>
      </c>
      <c r="I317" t="n">
        <v>61550</v>
      </c>
      <c r="J317" t="n">
        <v>45397.35</v>
      </c>
      <c r="L317" t="inlineStr">
        <is>
          <t>Bear</t>
        </is>
      </c>
      <c r="M317" t="n">
        <v>65</v>
      </c>
      <c r="N317" s="20" t="n">
        <v>45560</v>
      </c>
      <c r="O317" t="inlineStr">
        <is>
          <t>True</t>
        </is>
      </c>
    </row>
    <row r="318">
      <c r="A318" t="inlineStr">
        <is>
          <t>TIINDIA</t>
        </is>
      </c>
      <c r="B318" t="n">
        <v>-22.18635587368943</v>
      </c>
      <c r="C318" t="n">
        <v>1.005465098216427</v>
      </c>
      <c r="D318" s="20" t="n">
        <v>45657</v>
      </c>
      <c r="E318" t="n">
        <v>3535</v>
      </c>
      <c r="F318" t="n">
        <v>3604.6</v>
      </c>
      <c r="G318" t="n">
        <v>3489.25</v>
      </c>
      <c r="H318" t="n">
        <v>3576.25</v>
      </c>
      <c r="I318" t="n">
        <v>160932</v>
      </c>
      <c r="J318" t="n">
        <v>206817.2</v>
      </c>
      <c r="L318" t="inlineStr">
        <is>
          <t>Bear</t>
        </is>
      </c>
      <c r="M318" t="n">
        <v>33</v>
      </c>
      <c r="N318" s="20" t="n">
        <v>45607</v>
      </c>
      <c r="O318" t="inlineStr">
        <is>
          <t>False</t>
        </is>
      </c>
    </row>
    <row r="319">
      <c r="A319" t="inlineStr">
        <is>
          <t>ULTRACEMCO</t>
        </is>
      </c>
      <c r="B319" t="n">
        <v>-6.916307387931118</v>
      </c>
      <c r="C319" t="n">
        <v>1.222499302378115</v>
      </c>
      <c r="D319" s="20" t="n">
        <v>45657</v>
      </c>
      <c r="E319" t="n">
        <v>11270</v>
      </c>
      <c r="F319" t="n">
        <v>11465</v>
      </c>
      <c r="G319" t="n">
        <v>11194.05</v>
      </c>
      <c r="H319" t="n">
        <v>11426.35</v>
      </c>
      <c r="I319" t="n">
        <v>241737</v>
      </c>
      <c r="J319" t="n">
        <v>259698.55</v>
      </c>
      <c r="L319" t="inlineStr">
        <is>
          <t>Bull</t>
        </is>
      </c>
      <c r="M319" t="n">
        <v>18</v>
      </c>
      <c r="N319" s="20" t="n">
        <v>45630</v>
      </c>
      <c r="O319" t="inlineStr">
        <is>
          <t>True</t>
        </is>
      </c>
    </row>
    <row r="320">
      <c r="A320" t="inlineStr">
        <is>
          <t>UNIPARTS</t>
        </is>
      </c>
      <c r="B320" t="n">
        <v>-16.38951916203028</v>
      </c>
      <c r="C320" t="n">
        <v>2.716110628798226</v>
      </c>
      <c r="D320" s="20" t="n">
        <v>45657</v>
      </c>
      <c r="E320" t="n">
        <v>402</v>
      </c>
      <c r="F320" t="n">
        <v>424.55</v>
      </c>
      <c r="G320" t="n">
        <v>400</v>
      </c>
      <c r="H320" t="n">
        <v>414.1</v>
      </c>
      <c r="I320" t="n">
        <v>49765</v>
      </c>
      <c r="J320" t="n">
        <v>59520.05</v>
      </c>
      <c r="L320" t="inlineStr">
        <is>
          <t>Bear</t>
        </is>
      </c>
      <c r="M320" t="n">
        <v>198</v>
      </c>
      <c r="N320" s="20" t="n">
        <v>45363</v>
      </c>
      <c r="O320" t="inlineStr">
        <is>
          <t>False</t>
        </is>
      </c>
    </row>
    <row r="321">
      <c r="A321" t="inlineStr">
        <is>
          <t>UNITDSPR</t>
        </is>
      </c>
      <c r="B321" t="n">
        <v>-5.548904260043417</v>
      </c>
      <c r="C321" t="n">
        <v>0.3642987249544683</v>
      </c>
      <c r="D321" s="20" t="n">
        <v>45657</v>
      </c>
      <c r="E321" t="n">
        <v>1615.05</v>
      </c>
      <c r="F321" t="n">
        <v>1633.35</v>
      </c>
      <c r="G321" t="n">
        <v>1601.55</v>
      </c>
      <c r="H321" t="n">
        <v>1625.45</v>
      </c>
      <c r="I321" t="n">
        <v>816405</v>
      </c>
      <c r="J321" t="n">
        <v>864367.95</v>
      </c>
      <c r="L321" t="inlineStr">
        <is>
          <t>Bull</t>
        </is>
      </c>
      <c r="M321" t="n">
        <v>21</v>
      </c>
      <c r="N321" s="20" t="n">
        <v>45625</v>
      </c>
      <c r="O321" t="inlineStr">
        <is>
          <t>True</t>
        </is>
      </c>
    </row>
    <row r="322">
      <c r="A322" t="inlineStr">
        <is>
          <t>USHAMART</t>
        </is>
      </c>
      <c r="B322" t="n">
        <v>-67.55691342154036</v>
      </c>
      <c r="C322" t="n">
        <v>-0.4233924318602715</v>
      </c>
      <c r="D322" s="20" t="n">
        <v>45657</v>
      </c>
      <c r="E322" t="n">
        <v>377</v>
      </c>
      <c r="F322" t="n">
        <v>378.95</v>
      </c>
      <c r="G322" t="n">
        <v>372.25</v>
      </c>
      <c r="H322" t="n">
        <v>376.3</v>
      </c>
      <c r="I322" t="n">
        <v>292298</v>
      </c>
      <c r="J322" t="n">
        <v>900956.2</v>
      </c>
      <c r="L322" t="inlineStr">
        <is>
          <t>Bear</t>
        </is>
      </c>
      <c r="M322" t="n">
        <v>5</v>
      </c>
      <c r="N322" s="20" t="n">
        <v>45649</v>
      </c>
      <c r="O322" t="inlineStr">
        <is>
          <t>True</t>
        </is>
      </c>
    </row>
    <row r="323">
      <c r="A323" t="inlineStr">
        <is>
          <t>UTIAMC</t>
        </is>
      </c>
      <c r="B323" t="n">
        <v>-28.97785321372436</v>
      </c>
      <c r="C323" t="n">
        <v>-0.6989644970414235</v>
      </c>
      <c r="D323" s="20" t="n">
        <v>45657</v>
      </c>
      <c r="E323" t="n">
        <v>1331.05</v>
      </c>
      <c r="F323" t="n">
        <v>1348</v>
      </c>
      <c r="G323" t="n">
        <v>1310</v>
      </c>
      <c r="H323" t="n">
        <v>1342.55</v>
      </c>
      <c r="I323" t="n">
        <v>180222</v>
      </c>
      <c r="J323" t="n">
        <v>253754.65</v>
      </c>
      <c r="L323" t="inlineStr">
        <is>
          <t>Bull</t>
        </is>
      </c>
      <c r="M323" t="n">
        <v>179</v>
      </c>
      <c r="N323" s="20" t="n">
        <v>45392</v>
      </c>
      <c r="O323" t="inlineStr">
        <is>
          <t>True</t>
        </is>
      </c>
    </row>
    <row r="324">
      <c r="A324" t="inlineStr">
        <is>
          <t>VADILALIND</t>
        </is>
      </c>
      <c r="B324" t="n">
        <v>-83.95009193168953</v>
      </c>
      <c r="C324" t="n">
        <v>0.001257387149507906</v>
      </c>
      <c r="D324" s="20" t="n">
        <v>45657</v>
      </c>
      <c r="E324" t="n">
        <v>3942.9</v>
      </c>
      <c r="F324" t="n">
        <v>4018</v>
      </c>
      <c r="G324" t="n">
        <v>3942.9</v>
      </c>
      <c r="H324" t="n">
        <v>3976.55</v>
      </c>
      <c r="I324" t="n">
        <v>1999</v>
      </c>
      <c r="J324" t="n">
        <v>12454.9</v>
      </c>
      <c r="L324" t="inlineStr">
        <is>
          <t>Bull</t>
        </is>
      </c>
      <c r="M324" t="n">
        <v>15</v>
      </c>
      <c r="N324" s="20" t="n">
        <v>45635</v>
      </c>
      <c r="O324" t="inlineStr">
        <is>
          <t>True</t>
        </is>
      </c>
    </row>
    <row r="325">
      <c r="A325" t="inlineStr">
        <is>
          <t>VBL</t>
        </is>
      </c>
      <c r="B325" t="n">
        <v>-39.22183238258767</v>
      </c>
      <c r="C325" t="n">
        <v>-0.7692905431657541</v>
      </c>
      <c r="D325" s="20" t="n">
        <v>45657</v>
      </c>
      <c r="E325" t="n">
        <v>637.9</v>
      </c>
      <c r="F325" t="n">
        <v>643.25</v>
      </c>
      <c r="G325" t="n">
        <v>631.9</v>
      </c>
      <c r="H325" t="n">
        <v>638.5</v>
      </c>
      <c r="I325" t="n">
        <v>3444309</v>
      </c>
      <c r="J325" t="n">
        <v>5667016.85</v>
      </c>
      <c r="L325" t="inlineStr">
        <is>
          <t>Bull</t>
        </is>
      </c>
      <c r="M325" t="n">
        <v>22</v>
      </c>
      <c r="N325" s="20" t="n">
        <v>45624</v>
      </c>
      <c r="O325" t="inlineStr">
        <is>
          <t>True</t>
        </is>
      </c>
    </row>
    <row r="326">
      <c r="A326" t="inlineStr">
        <is>
          <t>VEDL</t>
        </is>
      </c>
      <c r="B326" t="n">
        <v>-40.44974818491507</v>
      </c>
      <c r="C326" t="n">
        <v>1.091777550324124</v>
      </c>
      <c r="D326" s="20" t="n">
        <v>45657</v>
      </c>
      <c r="E326" t="n">
        <v>439</v>
      </c>
      <c r="F326" t="n">
        <v>446.5</v>
      </c>
      <c r="G326" t="n">
        <v>438.05</v>
      </c>
      <c r="H326" t="n">
        <v>444.45</v>
      </c>
      <c r="I326" t="n">
        <v>7109627</v>
      </c>
      <c r="J326" t="n">
        <v>11938869.75</v>
      </c>
      <c r="L326" t="inlineStr">
        <is>
          <t>Bull</t>
        </is>
      </c>
      <c r="M326" t="n">
        <v>15</v>
      </c>
      <c r="N326" s="20" t="n">
        <v>45635</v>
      </c>
      <c r="O326" t="inlineStr">
        <is>
          <t>True</t>
        </is>
      </c>
    </row>
    <row r="327">
      <c r="A327" t="inlineStr">
        <is>
          <t>VIDHIING</t>
        </is>
      </c>
      <c r="B327" t="n">
        <v>-62.39638524240947</v>
      </c>
      <c r="C327" t="n">
        <v>1.332566388649228</v>
      </c>
      <c r="D327" s="20" t="n">
        <v>45657</v>
      </c>
      <c r="E327" t="n">
        <v>528</v>
      </c>
      <c r="F327" t="n">
        <v>535.3</v>
      </c>
      <c r="G327" t="n">
        <v>510.25</v>
      </c>
      <c r="H327" t="n">
        <v>528.5</v>
      </c>
      <c r="I327" t="n">
        <v>28641</v>
      </c>
      <c r="J327" t="n">
        <v>76165.55</v>
      </c>
      <c r="L327" t="inlineStr">
        <is>
          <t>Bull</t>
        </is>
      </c>
      <c r="M327" t="n">
        <v>66</v>
      </c>
      <c r="N327" s="20" t="n">
        <v>45559</v>
      </c>
      <c r="O327" t="inlineStr">
        <is>
          <t>True</t>
        </is>
      </c>
    </row>
    <row r="328">
      <c r="A328" t="inlineStr">
        <is>
          <t>VIJAYA</t>
        </is>
      </c>
      <c r="B328" t="n">
        <v>-28.10797557752223</v>
      </c>
      <c r="C328" t="n">
        <v>0.3807348181991244</v>
      </c>
      <c r="D328" s="20" t="n">
        <v>45657</v>
      </c>
      <c r="E328" t="n">
        <v>1055.95</v>
      </c>
      <c r="F328" t="n">
        <v>1071</v>
      </c>
      <c r="G328" t="n">
        <v>1041.15</v>
      </c>
      <c r="H328" t="n">
        <v>1054.6</v>
      </c>
      <c r="I328" t="n">
        <v>198363</v>
      </c>
      <c r="J328" t="n">
        <v>275917.95</v>
      </c>
      <c r="L328" t="inlineStr">
        <is>
          <t>Bull</t>
        </is>
      </c>
      <c r="M328" t="n">
        <v>183</v>
      </c>
      <c r="N328" s="20" t="n">
        <v>45386</v>
      </c>
      <c r="O328" t="inlineStr">
        <is>
          <t>True</t>
        </is>
      </c>
    </row>
    <row r="329">
      <c r="A329" t="inlineStr">
        <is>
          <t>VIMTALABS</t>
        </is>
      </c>
      <c r="B329" t="n">
        <v>-71.06738764024544</v>
      </c>
      <c r="C329" t="n">
        <v>-1.75412590176895</v>
      </c>
      <c r="D329" s="20" t="n">
        <v>45657</v>
      </c>
      <c r="E329" t="n">
        <v>1011</v>
      </c>
      <c r="F329" t="n">
        <v>1014.6</v>
      </c>
      <c r="G329" t="n">
        <v>990</v>
      </c>
      <c r="H329" t="n">
        <v>994.15</v>
      </c>
      <c r="I329" t="n">
        <v>51789</v>
      </c>
      <c r="J329" t="n">
        <v>178998.7</v>
      </c>
      <c r="L329" t="inlineStr">
        <is>
          <t>Bull</t>
        </is>
      </c>
      <c r="M329" t="n">
        <v>36</v>
      </c>
      <c r="N329" s="20" t="n">
        <v>45602</v>
      </c>
      <c r="O329" t="inlineStr">
        <is>
          <t>True</t>
        </is>
      </c>
    </row>
    <row r="330">
      <c r="A330" t="inlineStr">
        <is>
          <t>VINATIORGA</t>
        </is>
      </c>
      <c r="B330" t="n">
        <v>26.76026636169712</v>
      </c>
      <c r="C330" t="n">
        <v>4.747938204204901</v>
      </c>
      <c r="D330" s="20" t="n">
        <v>45657</v>
      </c>
      <c r="E330" t="n">
        <v>1721.8</v>
      </c>
      <c r="F330" t="n">
        <v>1820</v>
      </c>
      <c r="G330" t="n">
        <v>1721.8</v>
      </c>
      <c r="H330" t="n">
        <v>1803.55</v>
      </c>
      <c r="I330" t="n">
        <v>78142</v>
      </c>
      <c r="J330" t="n">
        <v>61645.5</v>
      </c>
      <c r="L330" t="inlineStr">
        <is>
          <t>Bear</t>
        </is>
      </c>
      <c r="M330" t="n">
        <v>48</v>
      </c>
      <c r="N330" s="20" t="n">
        <v>45586</v>
      </c>
      <c r="O330" t="inlineStr">
        <is>
          <t>True</t>
        </is>
      </c>
    </row>
    <row r="331">
      <c r="A331" t="inlineStr">
        <is>
          <t>VISHNU</t>
        </is>
      </c>
      <c r="B331" t="n">
        <v>-57.62604878343507</v>
      </c>
      <c r="C331" t="n">
        <v>-0.969184890656058</v>
      </c>
      <c r="D331" s="20" t="n">
        <v>45657</v>
      </c>
      <c r="E331" t="n">
        <v>398</v>
      </c>
      <c r="F331" t="n">
        <v>403.15</v>
      </c>
      <c r="G331" t="n">
        <v>396.15</v>
      </c>
      <c r="H331" t="n">
        <v>398.5</v>
      </c>
      <c r="I331" t="n">
        <v>66627</v>
      </c>
      <c r="J331" t="n">
        <v>157235.75</v>
      </c>
      <c r="L331" t="inlineStr">
        <is>
          <t>Bear</t>
        </is>
      </c>
      <c r="M331" t="n">
        <v>24</v>
      </c>
      <c r="N331" s="20" t="n">
        <v>45622</v>
      </c>
      <c r="O331" t="inlineStr">
        <is>
          <t>True</t>
        </is>
      </c>
    </row>
    <row r="332">
      <c r="A332" t="inlineStr">
        <is>
          <t>VOLTAS</t>
        </is>
      </c>
      <c r="B332" t="n">
        <v>55.70088270849699</v>
      </c>
      <c r="C332" t="n">
        <v>1.070016939582159</v>
      </c>
      <c r="D332" s="20" t="n">
        <v>45657</v>
      </c>
      <c r="E332" t="n">
        <v>1736.8</v>
      </c>
      <c r="F332" t="n">
        <v>1808.8</v>
      </c>
      <c r="G332" t="n">
        <v>1731.55</v>
      </c>
      <c r="H332" t="n">
        <v>1789.95</v>
      </c>
      <c r="I332" t="n">
        <v>1610537</v>
      </c>
      <c r="J332" t="n">
        <v>1034378.85</v>
      </c>
      <c r="L332" t="inlineStr">
        <is>
          <t>Bull</t>
        </is>
      </c>
      <c r="M332" t="n">
        <v>0</v>
      </c>
      <c r="N332" s="20" t="n">
        <v>45657</v>
      </c>
      <c r="O332" t="inlineStr">
        <is>
          <t>True</t>
        </is>
      </c>
    </row>
    <row r="333">
      <c r="A333" t="inlineStr">
        <is>
          <t>VSTIND</t>
        </is>
      </c>
      <c r="B333" t="n">
        <v>-66.08130836719917</v>
      </c>
      <c r="C333" t="n">
        <v>1.494339622641506</v>
      </c>
      <c r="D333" s="20" t="n">
        <v>45657</v>
      </c>
      <c r="E333" t="n">
        <v>331.25</v>
      </c>
      <c r="F333" t="n">
        <v>337.95</v>
      </c>
      <c r="G333" t="n">
        <v>327.1</v>
      </c>
      <c r="H333" t="n">
        <v>336.2</v>
      </c>
      <c r="I333" t="n">
        <v>106228</v>
      </c>
      <c r="J333" t="n">
        <v>313184.25</v>
      </c>
      <c r="L333" t="inlineStr">
        <is>
          <t>Bear</t>
        </is>
      </c>
      <c r="M333" t="n">
        <v>60</v>
      </c>
      <c r="N333" s="20" t="n">
        <v>45568</v>
      </c>
      <c r="O333" t="inlineStr">
        <is>
          <t>True</t>
        </is>
      </c>
    </row>
    <row r="334">
      <c r="A334" t="inlineStr">
        <is>
          <t>WELSPUNLIV</t>
        </is>
      </c>
      <c r="B334" t="n">
        <v>-64.80513748979499</v>
      </c>
      <c r="C334" t="n">
        <v>0.9594333547971543</v>
      </c>
      <c r="D334" s="20" t="n">
        <v>45657</v>
      </c>
      <c r="E334" t="n">
        <v>154.5</v>
      </c>
      <c r="F334" t="n">
        <v>157.56</v>
      </c>
      <c r="G334" t="n">
        <v>153.5</v>
      </c>
      <c r="H334" t="n">
        <v>156.79</v>
      </c>
      <c r="I334" t="n">
        <v>1253352</v>
      </c>
      <c r="J334" t="n">
        <v>3561178.85</v>
      </c>
      <c r="L334" t="inlineStr">
        <is>
          <t>Bull</t>
        </is>
      </c>
      <c r="M334" t="n">
        <v>13</v>
      </c>
      <c r="N334" s="20" t="n">
        <v>45637</v>
      </c>
      <c r="O334" t="inlineStr">
        <is>
          <t>True</t>
        </is>
      </c>
    </row>
    <row r="335">
      <c r="A335" t="inlineStr">
        <is>
          <t>WENDT</t>
        </is>
      </c>
      <c r="B335" t="n">
        <v>-47.31790551349046</v>
      </c>
      <c r="C335" t="n">
        <v>1.227726381989696</v>
      </c>
      <c r="D335" s="20" t="n">
        <v>45657</v>
      </c>
      <c r="E335" t="n">
        <v>16441.55</v>
      </c>
      <c r="F335" t="n">
        <v>16791</v>
      </c>
      <c r="G335" t="n">
        <v>16304.4</v>
      </c>
      <c r="H335" t="n">
        <v>16659.3</v>
      </c>
      <c r="I335" t="n">
        <v>247</v>
      </c>
      <c r="J335" t="n">
        <v>468.85</v>
      </c>
      <c r="L335" t="inlineStr">
        <is>
          <t>Bull</t>
        </is>
      </c>
      <c r="M335" t="n">
        <v>52</v>
      </c>
      <c r="N335" s="20" t="n">
        <v>45580</v>
      </c>
      <c r="O335" t="inlineStr">
        <is>
          <t>True</t>
        </is>
      </c>
    </row>
    <row r="336">
      <c r="A336" t="inlineStr">
        <is>
          <t>WSTCSTPAPR</t>
        </is>
      </c>
      <c r="B336" t="n">
        <v>-70.04410705329124</v>
      </c>
      <c r="C336" t="n">
        <v>2.707697994640069</v>
      </c>
      <c r="D336" s="20" t="n">
        <v>45657</v>
      </c>
      <c r="E336" t="n">
        <v>542.8</v>
      </c>
      <c r="F336" t="n">
        <v>557.45</v>
      </c>
      <c r="G336" t="n">
        <v>542.15</v>
      </c>
      <c r="H336" t="n">
        <v>555.7</v>
      </c>
      <c r="I336" t="n">
        <v>55036</v>
      </c>
      <c r="J336" t="n">
        <v>183723.45</v>
      </c>
      <c r="L336" t="inlineStr">
        <is>
          <t>Bear</t>
        </is>
      </c>
      <c r="M336" t="n">
        <v>5</v>
      </c>
      <c r="N336" s="20" t="n">
        <v>45649</v>
      </c>
      <c r="O336" t="inlineStr">
        <is>
          <t>False</t>
        </is>
      </c>
    </row>
    <row r="337">
      <c r="A337" t="inlineStr">
        <is>
          <t>XPROINDIA</t>
        </is>
      </c>
      <c r="B337" t="n">
        <v>-48.51830079026588</v>
      </c>
      <c r="C337" t="n">
        <v>0.5911163654788043</v>
      </c>
      <c r="D337" s="20" t="n">
        <v>45657</v>
      </c>
      <c r="E337" t="n">
        <v>1450</v>
      </c>
      <c r="F337" t="n">
        <v>1520</v>
      </c>
      <c r="G337" t="n">
        <v>1450</v>
      </c>
      <c r="H337" t="n">
        <v>1489</v>
      </c>
      <c r="I337" t="n">
        <v>26097</v>
      </c>
      <c r="J337" t="n">
        <v>50691.8</v>
      </c>
      <c r="L337" t="inlineStr">
        <is>
          <t>Bull</t>
        </is>
      </c>
      <c r="M337" t="n">
        <v>32</v>
      </c>
      <c r="N337" s="20" t="n">
        <v>45608</v>
      </c>
      <c r="O337" t="inlineStr">
        <is>
          <t>True</t>
        </is>
      </c>
    </row>
    <row r="338">
      <c r="A338" t="inlineStr">
        <is>
          <t>YASHO</t>
        </is>
      </c>
      <c r="B338" t="n">
        <v>-71.45777428569527</v>
      </c>
      <c r="C338" t="n">
        <v>-1.313330176689008</v>
      </c>
      <c r="D338" s="20" t="n">
        <v>45657</v>
      </c>
      <c r="E338" t="n">
        <v>2040</v>
      </c>
      <c r="F338" t="n">
        <v>2040</v>
      </c>
      <c r="G338" t="n">
        <v>1950</v>
      </c>
      <c r="H338" t="n">
        <v>1980</v>
      </c>
      <c r="I338" t="n">
        <v>8573</v>
      </c>
      <c r="J338" t="n">
        <v>30036.2</v>
      </c>
      <c r="L338" t="inlineStr">
        <is>
          <t>Bull</t>
        </is>
      </c>
      <c r="M338" t="n">
        <v>9</v>
      </c>
      <c r="N338" s="20" t="n">
        <v>45643</v>
      </c>
      <c r="O338" t="inlineStr">
        <is>
          <t>True</t>
        </is>
      </c>
    </row>
    <row r="339">
      <c r="A339" t="inlineStr">
        <is>
          <t>ZYDUSLIFE</t>
        </is>
      </c>
      <c r="B339" t="n">
        <v>-11.70437206429092</v>
      </c>
      <c r="C339" t="n">
        <v>1.541355347719316</v>
      </c>
      <c r="D339" s="20" t="n">
        <v>45657</v>
      </c>
      <c r="E339" t="n">
        <v>960.1</v>
      </c>
      <c r="F339" t="n">
        <v>976.75</v>
      </c>
      <c r="G339" t="n">
        <v>960.1</v>
      </c>
      <c r="H339" t="n">
        <v>971.7</v>
      </c>
      <c r="I339" t="n">
        <v>960218</v>
      </c>
      <c r="J339" t="n">
        <v>1087503.45</v>
      </c>
      <c r="L339" t="inlineStr">
        <is>
          <t>Bear</t>
        </is>
      </c>
      <c r="M339" t="n">
        <v>79</v>
      </c>
      <c r="N339" s="20" t="n">
        <v>45540</v>
      </c>
      <c r="O339" t="inlineStr">
        <is>
          <t>True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65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name</t>
        </is>
      </c>
      <c r="B1" s="21" t="inlineStr">
        <is>
          <t>phase</t>
        </is>
      </c>
      <c r="C1" s="21" t="inlineStr">
        <is>
          <t>entry_price</t>
        </is>
      </c>
      <c r="D1" s="21" t="inlineStr">
        <is>
          <t>entry_date</t>
        </is>
      </c>
      <c r="E1" s="21" t="inlineStr">
        <is>
          <t>exit_price</t>
        </is>
      </c>
      <c r="F1" s="21" t="inlineStr">
        <is>
          <t>exit_date</t>
        </is>
      </c>
      <c r="G1" s="21" t="inlineStr">
        <is>
          <t>PL</t>
        </is>
      </c>
    </row>
    <row r="2">
      <c r="A2" t="inlineStr">
        <is>
          <t>AARTIPHARM</t>
        </is>
      </c>
      <c r="B2" t="inlineStr">
        <is>
          <t>Bull</t>
        </is>
      </c>
      <c r="C2" t="n">
        <v>692.25</v>
      </c>
      <c r="D2" s="22" t="n">
        <v>45659</v>
      </c>
      <c r="E2" t="n">
        <v>670.65</v>
      </c>
      <c r="F2" s="22" t="n">
        <v>45660</v>
      </c>
      <c r="G2" t="n">
        <v>-3.120260021668476</v>
      </c>
    </row>
    <row r="3">
      <c r="A3" t="inlineStr">
        <is>
          <t>AARTIPHARM</t>
        </is>
      </c>
      <c r="B3" t="inlineStr">
        <is>
          <t>Bear</t>
        </is>
      </c>
      <c r="C3" t="n">
        <v>601.6</v>
      </c>
      <c r="D3" s="22" t="n">
        <v>45638</v>
      </c>
      <c r="E3" t="n">
        <v>686.25</v>
      </c>
      <c r="F3" s="22" t="n">
        <v>45657</v>
      </c>
      <c r="G3" t="n">
        <v>-14.07081117021276</v>
      </c>
    </row>
    <row r="4">
      <c r="A4" t="inlineStr">
        <is>
          <t>AARTIPHARM</t>
        </is>
      </c>
      <c r="B4" t="inlineStr">
        <is>
          <t>Bull</t>
        </is>
      </c>
      <c r="C4" t="n">
        <v>688.1</v>
      </c>
      <c r="D4" s="22" t="n">
        <v>45603</v>
      </c>
      <c r="E4" t="n">
        <v>605.75</v>
      </c>
      <c r="F4" s="22" t="n">
        <v>45636</v>
      </c>
      <c r="G4" t="n">
        <v>-11.9677372474931</v>
      </c>
    </row>
    <row r="5">
      <c r="A5" t="inlineStr">
        <is>
          <t>AARTIPHARM</t>
        </is>
      </c>
      <c r="B5" t="inlineStr">
        <is>
          <t>Bear</t>
        </is>
      </c>
      <c r="C5" t="n">
        <v>602.8</v>
      </c>
      <c r="D5" s="22" t="n">
        <v>45573</v>
      </c>
      <c r="E5" t="n">
        <v>660.7</v>
      </c>
      <c r="F5" s="22" t="n">
        <v>45601</v>
      </c>
      <c r="G5" t="n">
        <v>-9.605175846051774</v>
      </c>
    </row>
    <row r="6">
      <c r="A6" t="inlineStr">
        <is>
          <t>AARTIPHARM</t>
        </is>
      </c>
      <c r="B6" t="inlineStr">
        <is>
          <t>Bull</t>
        </is>
      </c>
      <c r="C6" t="n">
        <v>531.85</v>
      </c>
      <c r="D6" s="22" t="n">
        <v>45407</v>
      </c>
      <c r="E6" t="n">
        <v>621.15</v>
      </c>
      <c r="F6" s="22" t="n">
        <v>45569</v>
      </c>
      <c r="G6" t="n">
        <v>16.79044843470903</v>
      </c>
    </row>
    <row r="7">
      <c r="A7" t="inlineStr">
        <is>
          <t>AARTIPHARM</t>
        </is>
      </c>
      <c r="B7" t="inlineStr">
        <is>
          <t>Bear</t>
        </is>
      </c>
      <c r="C7" t="n">
        <v>456</v>
      </c>
      <c r="D7" s="22" t="n">
        <v>45357</v>
      </c>
      <c r="E7" t="n">
        <v>519.7</v>
      </c>
      <c r="F7" s="22" t="n">
        <v>45405</v>
      </c>
      <c r="G7" t="n">
        <v>-13.96929824561404</v>
      </c>
    </row>
    <row r="8">
      <c r="A8" t="inlineStr">
        <is>
          <t>AARTIPHARM</t>
        </is>
      </c>
      <c r="B8" t="inlineStr">
        <is>
          <t>Bull</t>
        </is>
      </c>
      <c r="C8" t="n">
        <v>471.7</v>
      </c>
      <c r="D8" s="22" t="n">
        <v>45265</v>
      </c>
      <c r="E8" t="n">
        <v>481.5</v>
      </c>
      <c r="F8" s="22" t="n">
        <v>45355</v>
      </c>
      <c r="G8" t="n">
        <v>2.077591689633244</v>
      </c>
    </row>
    <row r="9">
      <c r="A9" t="inlineStr">
        <is>
          <t>AARTIPHARM</t>
        </is>
      </c>
      <c r="B9" t="inlineStr">
        <is>
          <t>Bear</t>
        </is>
      </c>
      <c r="C9" t="n">
        <v>384.9</v>
      </c>
      <c r="D9" s="22" t="n">
        <v>45230</v>
      </c>
      <c r="E9" t="n">
        <v>425.5</v>
      </c>
      <c r="F9" s="22" t="n">
        <v>45261</v>
      </c>
      <c r="G9" t="n">
        <v>-10.54819433619122</v>
      </c>
    </row>
    <row r="10">
      <c r="A10" t="inlineStr">
        <is>
          <t>AAVAS</t>
        </is>
      </c>
      <c r="B10" t="inlineStr">
        <is>
          <t>Bear</t>
        </is>
      </c>
      <c r="C10" t="n">
        <v>1731.15</v>
      </c>
      <c r="D10" s="22" t="n">
        <v>45583</v>
      </c>
      <c r="E10" t="n">
        <v>1701.35</v>
      </c>
      <c r="F10" s="22" t="n">
        <v>45660</v>
      </c>
      <c r="G10" t="n">
        <v>1.721399069982392</v>
      </c>
    </row>
    <row r="11">
      <c r="A11" t="inlineStr">
        <is>
          <t>AAVAS</t>
        </is>
      </c>
      <c r="B11" t="inlineStr">
        <is>
          <t>Bull</t>
        </is>
      </c>
      <c r="C11" t="n">
        <v>1875.85</v>
      </c>
      <c r="D11" s="22" t="n">
        <v>45541</v>
      </c>
      <c r="E11" t="n">
        <v>1746.6</v>
      </c>
      <c r="F11" s="22" t="n">
        <v>45581</v>
      </c>
      <c r="G11" t="n">
        <v>-6.890209771570222</v>
      </c>
    </row>
    <row r="12">
      <c r="A12" t="inlineStr">
        <is>
          <t>AAVAS</t>
        </is>
      </c>
      <c r="B12" t="inlineStr">
        <is>
          <t>Bear</t>
        </is>
      </c>
      <c r="C12" t="n">
        <v>1630</v>
      </c>
      <c r="D12" s="22" t="n">
        <v>45510</v>
      </c>
      <c r="E12" t="n">
        <v>1741.45</v>
      </c>
      <c r="F12" s="22" t="n">
        <v>45539</v>
      </c>
      <c r="G12" t="n">
        <v>-6.837423312883438</v>
      </c>
    </row>
    <row r="13">
      <c r="A13" t="inlineStr">
        <is>
          <t>AAVAS</t>
        </is>
      </c>
      <c r="B13" t="inlineStr">
        <is>
          <t>Bull</t>
        </is>
      </c>
      <c r="C13" t="n">
        <v>1579.5</v>
      </c>
      <c r="D13" s="22" t="n">
        <v>45392</v>
      </c>
      <c r="E13" t="n">
        <v>1673.4</v>
      </c>
      <c r="F13" s="22" t="n">
        <v>45506</v>
      </c>
      <c r="G13" t="n">
        <v>5.944919278252617</v>
      </c>
    </row>
    <row r="14">
      <c r="A14" t="inlineStr">
        <is>
          <t>AAVAS</t>
        </is>
      </c>
      <c r="B14" t="inlineStr">
        <is>
          <t>Bear</t>
        </is>
      </c>
      <c r="C14" t="n">
        <v>1516.25</v>
      </c>
      <c r="D14" s="22" t="n">
        <v>45320</v>
      </c>
      <c r="E14" t="n">
        <v>1626</v>
      </c>
      <c r="F14" s="22" t="n">
        <v>45390</v>
      </c>
      <c r="G14" t="n">
        <v>-7.238252267106347</v>
      </c>
    </row>
    <row r="15">
      <c r="A15" t="inlineStr">
        <is>
          <t>AAVAS</t>
        </is>
      </c>
      <c r="B15" t="inlineStr">
        <is>
          <t>Bull</t>
        </is>
      </c>
      <c r="C15" t="n">
        <v>1566.05</v>
      </c>
      <c r="D15" s="22" t="n">
        <v>45296</v>
      </c>
      <c r="E15" t="n">
        <v>1493.7</v>
      </c>
      <c r="F15" s="22" t="n">
        <v>45315</v>
      </c>
      <c r="G15" t="n">
        <v>-4.619903579068351</v>
      </c>
    </row>
    <row r="16">
      <c r="A16" t="inlineStr">
        <is>
          <t>AAVAS</t>
        </is>
      </c>
      <c r="B16" t="inlineStr">
        <is>
          <t>Bear</t>
        </is>
      </c>
      <c r="C16" t="n">
        <v>1547.35</v>
      </c>
      <c r="D16" s="22" t="n">
        <v>45226</v>
      </c>
      <c r="E16" t="n">
        <v>1567.7</v>
      </c>
      <c r="F16" s="22" t="n">
        <v>45294</v>
      </c>
      <c r="G16" t="n">
        <v>-1.315151710989765</v>
      </c>
    </row>
    <row r="17">
      <c r="A17" t="inlineStr">
        <is>
          <t>AAVAS</t>
        </is>
      </c>
      <c r="B17" t="inlineStr">
        <is>
          <t>Bull</t>
        </is>
      </c>
      <c r="C17" t="n">
        <v>1542.65</v>
      </c>
      <c r="D17" s="22" t="n">
        <v>45117</v>
      </c>
      <c r="E17" t="n">
        <v>1548.4</v>
      </c>
      <c r="F17" s="22" t="n">
        <v>45224</v>
      </c>
      <c r="G17" t="n">
        <v>0.372735228340842</v>
      </c>
    </row>
    <row r="18">
      <c r="A18" t="inlineStr">
        <is>
          <t>AAVAS</t>
        </is>
      </c>
      <c r="B18" t="inlineStr">
        <is>
          <t>Bear</t>
        </is>
      </c>
      <c r="C18" t="n">
        <v>1836.3</v>
      </c>
      <c r="D18" s="22" t="n">
        <v>44987</v>
      </c>
      <c r="E18" t="n">
        <v>1535</v>
      </c>
      <c r="F18" s="22" t="n">
        <v>45113</v>
      </c>
      <c r="G18" t="n">
        <v>16.4079943364374</v>
      </c>
    </row>
    <row r="19">
      <c r="A19" t="inlineStr">
        <is>
          <t>ACC</t>
        </is>
      </c>
      <c r="B19" t="inlineStr">
        <is>
          <t>Bear</t>
        </is>
      </c>
      <c r="C19" t="n">
        <v>2313</v>
      </c>
      <c r="D19" s="22" t="n">
        <v>45575</v>
      </c>
      <c r="E19" t="n">
        <v>2054.95</v>
      </c>
      <c r="F19" s="22" t="n">
        <v>45660</v>
      </c>
      <c r="G19" t="n">
        <v>11.15650670125379</v>
      </c>
    </row>
    <row r="20">
      <c r="A20" t="inlineStr">
        <is>
          <t>ACC</t>
        </is>
      </c>
      <c r="B20" t="inlineStr">
        <is>
          <t>Bull</t>
        </is>
      </c>
      <c r="C20" t="n">
        <v>2511</v>
      </c>
      <c r="D20" s="22" t="n">
        <v>45566</v>
      </c>
      <c r="E20" t="n">
        <v>2385.8</v>
      </c>
      <c r="F20" s="22" t="n">
        <v>45573</v>
      </c>
      <c r="G20" t="n">
        <v>-4.986061330147344</v>
      </c>
    </row>
    <row r="21">
      <c r="A21" t="inlineStr">
        <is>
          <t>ACC</t>
        </is>
      </c>
      <c r="B21" t="inlineStr">
        <is>
          <t>Bear</t>
        </is>
      </c>
      <c r="C21" t="n">
        <v>2380.6</v>
      </c>
      <c r="D21" s="22" t="n">
        <v>45509</v>
      </c>
      <c r="E21" t="n">
        <v>2483.3</v>
      </c>
      <c r="F21" s="22" t="n">
        <v>45562</v>
      </c>
      <c r="G21" t="n">
        <v>-4.31403847769471</v>
      </c>
    </row>
    <row r="22">
      <c r="A22" t="inlineStr">
        <is>
          <t>ACC</t>
        </is>
      </c>
      <c r="B22" t="inlineStr">
        <is>
          <t>Bull</t>
        </is>
      </c>
      <c r="C22" t="n">
        <v>2624.4</v>
      </c>
      <c r="D22" s="22" t="n">
        <v>45455</v>
      </c>
      <c r="E22" t="n">
        <v>2487.9</v>
      </c>
      <c r="F22" s="22" t="n">
        <v>45505</v>
      </c>
      <c r="G22" t="n">
        <v>-5.201188843164151</v>
      </c>
    </row>
    <row r="23">
      <c r="A23" t="inlineStr">
        <is>
          <t>ACC</t>
        </is>
      </c>
      <c r="B23" t="inlineStr">
        <is>
          <t>Bear</t>
        </is>
      </c>
      <c r="C23" t="n">
        <v>2499.1</v>
      </c>
      <c r="D23" s="22" t="n">
        <v>45450</v>
      </c>
      <c r="E23" t="n">
        <v>2543.1</v>
      </c>
      <c r="F23" s="22" t="n">
        <v>45453</v>
      </c>
      <c r="G23" t="n">
        <v>-1.760633828178144</v>
      </c>
    </row>
    <row r="24">
      <c r="A24" t="inlineStr">
        <is>
          <t>ACC</t>
        </is>
      </c>
      <c r="B24" t="inlineStr">
        <is>
          <t>Bull</t>
        </is>
      </c>
      <c r="C24" t="n">
        <v>2609.25</v>
      </c>
      <c r="D24" s="22" t="n">
        <v>45436</v>
      </c>
      <c r="E24" t="n">
        <v>2401.6</v>
      </c>
      <c r="F24" s="22" t="n">
        <v>45448</v>
      </c>
      <c r="G24" t="n">
        <v>-7.958225543738625</v>
      </c>
    </row>
    <row r="25">
      <c r="A25" t="inlineStr">
        <is>
          <t>ACC</t>
        </is>
      </c>
      <c r="B25" t="inlineStr">
        <is>
          <t>Bear</t>
        </is>
      </c>
      <c r="C25" t="n">
        <v>2403.55</v>
      </c>
      <c r="D25" s="22" t="n">
        <v>45404</v>
      </c>
      <c r="E25" t="n">
        <v>2543.35</v>
      </c>
      <c r="F25" s="22" t="n">
        <v>45434</v>
      </c>
      <c r="G25" t="n">
        <v>-5.816396580058651</v>
      </c>
    </row>
    <row r="26">
      <c r="A26" t="inlineStr">
        <is>
          <t>ACC</t>
        </is>
      </c>
      <c r="B26" t="inlineStr">
        <is>
          <t>Bull</t>
        </is>
      </c>
      <c r="C26" t="n">
        <v>2141.55</v>
      </c>
      <c r="D26" s="22" t="n">
        <v>45267</v>
      </c>
      <c r="E26" t="n">
        <v>2412</v>
      </c>
      <c r="F26" s="22" t="n">
        <v>45400</v>
      </c>
      <c r="G26" t="n">
        <v>12.62870350914057</v>
      </c>
    </row>
    <row r="27">
      <c r="A27" t="inlineStr">
        <is>
          <t>ACC</t>
        </is>
      </c>
      <c r="B27" t="inlineStr">
        <is>
          <t>Bear</t>
        </is>
      </c>
      <c r="C27" t="n">
        <v>1878</v>
      </c>
      <c r="D27" s="22" t="n">
        <v>45226</v>
      </c>
      <c r="E27" t="n">
        <v>2184.8</v>
      </c>
      <c r="F27" s="22" t="n">
        <v>45265</v>
      </c>
      <c r="G27" t="n">
        <v>-16.33652822151226</v>
      </c>
    </row>
    <row r="28">
      <c r="A28" t="inlineStr">
        <is>
          <t>ACC</t>
        </is>
      </c>
      <c r="B28" t="inlineStr">
        <is>
          <t>Bull</t>
        </is>
      </c>
      <c r="C28" t="n">
        <v>1925</v>
      </c>
      <c r="D28" s="22" t="n">
        <v>45133</v>
      </c>
      <c r="E28" t="n">
        <v>1891.1</v>
      </c>
      <c r="F28" s="22" t="n">
        <v>45224</v>
      </c>
      <c r="G28" t="n">
        <v>-1.761038961038966</v>
      </c>
    </row>
    <row r="29">
      <c r="A29" t="inlineStr">
        <is>
          <t>ACC</t>
        </is>
      </c>
      <c r="B29" t="inlineStr">
        <is>
          <t>Bear</t>
        </is>
      </c>
      <c r="C29" t="n">
        <v>1778.65</v>
      </c>
      <c r="D29" s="22" t="n">
        <v>45121</v>
      </c>
      <c r="E29" t="n">
        <v>1805.5</v>
      </c>
      <c r="F29" s="22" t="n">
        <v>45131</v>
      </c>
      <c r="G29" t="n">
        <v>-1.50957186630309</v>
      </c>
    </row>
    <row r="30">
      <c r="A30" t="inlineStr">
        <is>
          <t>ACC</t>
        </is>
      </c>
      <c r="B30" t="inlineStr">
        <is>
          <t>Bull</t>
        </is>
      </c>
      <c r="C30" t="n">
        <v>1851.75</v>
      </c>
      <c r="D30" s="22" t="n">
        <v>45084</v>
      </c>
      <c r="E30" t="n">
        <v>1788</v>
      </c>
      <c r="F30" s="22" t="n">
        <v>45119</v>
      </c>
      <c r="G30" t="n">
        <v>-3.442689347914135</v>
      </c>
    </row>
    <row r="31">
      <c r="A31" t="inlineStr">
        <is>
          <t>ACC</t>
        </is>
      </c>
      <c r="B31" t="inlineStr">
        <is>
          <t>Bear</t>
        </is>
      </c>
      <c r="C31" t="n">
        <v>2464.65</v>
      </c>
      <c r="D31" s="22" t="n">
        <v>44935</v>
      </c>
      <c r="E31" t="n">
        <v>1810.45</v>
      </c>
      <c r="F31" s="22" t="n">
        <v>45082</v>
      </c>
      <c r="G31" t="n">
        <v>26.54332258129958</v>
      </c>
    </row>
    <row r="32">
      <c r="A32" t="inlineStr">
        <is>
          <t>ADANIPORTS</t>
        </is>
      </c>
      <c r="B32" t="inlineStr">
        <is>
          <t>Bear</t>
        </is>
      </c>
      <c r="C32" t="n">
        <v>1453.4</v>
      </c>
      <c r="D32" s="22" t="n">
        <v>45545</v>
      </c>
      <c r="E32" t="n">
        <v>1199.55</v>
      </c>
      <c r="F32" s="22" t="n">
        <v>45660</v>
      </c>
      <c r="G32" t="n">
        <v>17.46594192926931</v>
      </c>
    </row>
    <row r="33">
      <c r="A33" t="inlineStr">
        <is>
          <t>ADANIPORTS</t>
        </is>
      </c>
      <c r="B33" t="inlineStr">
        <is>
          <t>Bull</t>
        </is>
      </c>
      <c r="C33" t="n">
        <v>835.55</v>
      </c>
      <c r="D33" s="22" t="n">
        <v>45259</v>
      </c>
      <c r="E33" t="n">
        <v>1442.4</v>
      </c>
      <c r="F33" s="22" t="n">
        <v>45541</v>
      </c>
      <c r="G33" t="n">
        <v>72.62880737238946</v>
      </c>
    </row>
    <row r="34">
      <c r="A34" t="inlineStr">
        <is>
          <t>ADANIPORTS</t>
        </is>
      </c>
      <c r="B34" t="inlineStr">
        <is>
          <t>Bear</t>
        </is>
      </c>
      <c r="C34" t="n">
        <v>795.55</v>
      </c>
      <c r="D34" s="22" t="n">
        <v>45254</v>
      </c>
      <c r="E34" t="n">
        <v>795.55</v>
      </c>
      <c r="F34" s="22" t="n">
        <v>45254</v>
      </c>
      <c r="G34" t="n">
        <v>0</v>
      </c>
    </row>
    <row r="35">
      <c r="A35" t="inlineStr">
        <is>
          <t>ADANIPORTS</t>
        </is>
      </c>
      <c r="B35" t="inlineStr">
        <is>
          <t>Bull</t>
        </is>
      </c>
      <c r="C35" t="n">
        <v>803.6</v>
      </c>
      <c r="D35" s="22" t="n">
        <v>45250</v>
      </c>
      <c r="E35" t="n">
        <v>791.9</v>
      </c>
      <c r="F35" s="22" t="n">
        <v>45252</v>
      </c>
      <c r="G35" t="n">
        <v>-1.455948232951723</v>
      </c>
    </row>
    <row r="36">
      <c r="A36" t="inlineStr">
        <is>
          <t>ADANIPORTS</t>
        </is>
      </c>
      <c r="B36" t="inlineStr">
        <is>
          <t>Bear</t>
        </is>
      </c>
      <c r="C36" t="n">
        <v>770.35</v>
      </c>
      <c r="D36" s="22" t="n">
        <v>45225</v>
      </c>
      <c r="E36" t="n">
        <v>813.6</v>
      </c>
      <c r="F36" s="22" t="n">
        <v>45246</v>
      </c>
      <c r="G36" t="n">
        <v>-5.614331148179398</v>
      </c>
    </row>
    <row r="37">
      <c r="A37" t="inlineStr">
        <is>
          <t>ADANIPORTS</t>
        </is>
      </c>
      <c r="B37" t="inlineStr">
        <is>
          <t>Bull</t>
        </is>
      </c>
      <c r="C37" t="n">
        <v>681.5</v>
      </c>
      <c r="D37" s="22" t="n">
        <v>45048</v>
      </c>
      <c r="E37" t="n">
        <v>771.45</v>
      </c>
      <c r="F37" s="22" t="n">
        <v>45222</v>
      </c>
      <c r="G37" t="n">
        <v>13.19882611885547</v>
      </c>
    </row>
    <row r="38">
      <c r="A38" t="inlineStr">
        <is>
          <t>ADANIPOWER</t>
        </is>
      </c>
      <c r="B38" t="inlineStr">
        <is>
          <t>Bear</t>
        </is>
      </c>
      <c r="C38" t="n">
        <v>697.4</v>
      </c>
      <c r="D38" s="22" t="n">
        <v>45520</v>
      </c>
      <c r="E38" t="n">
        <v>520.45</v>
      </c>
      <c r="F38" s="22" t="n">
        <v>45660</v>
      </c>
      <c r="G38" t="n">
        <v>25.37281330656725</v>
      </c>
    </row>
    <row r="39">
      <c r="A39" t="inlineStr">
        <is>
          <t>ADANIPOWER</t>
        </is>
      </c>
      <c r="B39" t="inlineStr">
        <is>
          <t>Bull</t>
        </is>
      </c>
      <c r="C39" t="n">
        <v>642</v>
      </c>
      <c r="D39" s="22" t="n">
        <v>45386</v>
      </c>
      <c r="E39" t="n">
        <v>689.5</v>
      </c>
      <c r="F39" s="22" t="n">
        <v>45517</v>
      </c>
      <c r="G39" t="n">
        <v>7.398753894080996</v>
      </c>
    </row>
    <row r="40">
      <c r="A40" t="inlineStr">
        <is>
          <t>ADANIPOWER</t>
        </is>
      </c>
      <c r="B40" t="inlineStr">
        <is>
          <t>Bear</t>
        </is>
      </c>
      <c r="C40" t="n">
        <v>516.55</v>
      </c>
      <c r="D40" s="22" t="n">
        <v>45378</v>
      </c>
      <c r="E40" t="n">
        <v>588.45</v>
      </c>
      <c r="F40" s="22" t="n">
        <v>45384</v>
      </c>
      <c r="G40" t="n">
        <v>-13.91927209369859</v>
      </c>
    </row>
    <row r="41">
      <c r="A41" t="inlineStr">
        <is>
          <t>ADANIPOWER</t>
        </is>
      </c>
      <c r="B41" t="inlineStr">
        <is>
          <t>Bull</t>
        </is>
      </c>
      <c r="C41" t="n">
        <v>231.65</v>
      </c>
      <c r="D41" s="22" t="n">
        <v>45049</v>
      </c>
      <c r="E41" t="n">
        <v>531.05</v>
      </c>
      <c r="F41" s="22" t="n">
        <v>45373</v>
      </c>
      <c r="G41" t="n">
        <v>129.2467083962875</v>
      </c>
    </row>
    <row r="42">
      <c r="A42" t="inlineStr">
        <is>
          <t>ADFFOODS</t>
        </is>
      </c>
      <c r="B42" t="inlineStr">
        <is>
          <t>Bull</t>
        </is>
      </c>
      <c r="C42" t="n">
        <v>249.86</v>
      </c>
      <c r="D42" s="22" t="n">
        <v>45530</v>
      </c>
      <c r="E42" t="n">
        <v>294.1</v>
      </c>
      <c r="F42" s="22" t="n">
        <v>45660</v>
      </c>
      <c r="G42" t="n">
        <v>17.70591531257504</v>
      </c>
    </row>
    <row r="43">
      <c r="A43" t="inlineStr">
        <is>
          <t>ADFFOODS</t>
        </is>
      </c>
      <c r="B43" t="inlineStr">
        <is>
          <t>Bear</t>
        </is>
      </c>
      <c r="C43" t="n">
        <v>222.96</v>
      </c>
      <c r="D43" s="22" t="n">
        <v>45520</v>
      </c>
      <c r="E43" t="n">
        <v>228.98</v>
      </c>
      <c r="F43" s="22" t="n">
        <v>45526</v>
      </c>
      <c r="G43" t="n">
        <v>-2.700035880875485</v>
      </c>
    </row>
    <row r="44">
      <c r="A44" t="inlineStr">
        <is>
          <t>ADFFOODS</t>
        </is>
      </c>
      <c r="B44" t="inlineStr">
        <is>
          <t>Bull</t>
        </is>
      </c>
      <c r="C44" t="n">
        <v>230.5</v>
      </c>
      <c r="D44" s="22" t="n">
        <v>45405</v>
      </c>
      <c r="E44" t="n">
        <v>225.01</v>
      </c>
      <c r="F44" s="22" t="n">
        <v>45517</v>
      </c>
      <c r="G44" t="n">
        <v>-2.381778741865514</v>
      </c>
    </row>
    <row r="45">
      <c r="A45" t="inlineStr">
        <is>
          <t>ADFFOODS</t>
        </is>
      </c>
      <c r="B45" t="inlineStr">
        <is>
          <t>Bear</t>
        </is>
      </c>
      <c r="C45" t="n">
        <v>188.95</v>
      </c>
      <c r="D45" s="22" t="n">
        <v>45365</v>
      </c>
      <c r="E45" t="n">
        <v>215.5</v>
      </c>
      <c r="F45" s="22" t="n">
        <v>45401</v>
      </c>
      <c r="G45" t="n">
        <v>-14.05133633236307</v>
      </c>
    </row>
    <row r="46">
      <c r="A46" t="inlineStr">
        <is>
          <t>ADFFOODS</t>
        </is>
      </c>
      <c r="B46" t="inlineStr">
        <is>
          <t>Bull</t>
        </is>
      </c>
      <c r="C46" t="n">
        <v>201.55</v>
      </c>
      <c r="D46" s="22" t="n">
        <v>45362</v>
      </c>
      <c r="E46" t="n">
        <v>193.75</v>
      </c>
      <c r="F46" s="22" t="n">
        <v>45363</v>
      </c>
      <c r="G46" t="n">
        <v>-3.87000744232201</v>
      </c>
    </row>
    <row r="47">
      <c r="A47" t="inlineStr">
        <is>
          <t>ADFFOODS</t>
        </is>
      </c>
      <c r="B47" t="inlineStr">
        <is>
          <t>Bear</t>
        </is>
      </c>
      <c r="C47" t="n">
        <v>213.95</v>
      </c>
      <c r="D47" s="22" t="n">
        <v>45252</v>
      </c>
      <c r="E47" t="n">
        <v>201.45</v>
      </c>
      <c r="F47" s="22" t="n">
        <v>45357</v>
      </c>
      <c r="G47" t="n">
        <v>5.842486562280906</v>
      </c>
    </row>
    <row r="48">
      <c r="A48" t="inlineStr">
        <is>
          <t>ADFFOODS</t>
        </is>
      </c>
      <c r="B48" t="inlineStr">
        <is>
          <t>Bull</t>
        </is>
      </c>
      <c r="C48" t="n">
        <v>240.5</v>
      </c>
      <c r="D48" s="22" t="n">
        <v>45216</v>
      </c>
      <c r="E48" t="n">
        <v>214.65</v>
      </c>
      <c r="F48" s="22" t="n">
        <v>45250</v>
      </c>
      <c r="G48" t="n">
        <v>-10.74844074844075</v>
      </c>
    </row>
    <row r="49">
      <c r="A49" t="inlineStr">
        <is>
          <t>ADFFOODS</t>
        </is>
      </c>
      <c r="B49" t="inlineStr">
        <is>
          <t>Bear</t>
        </is>
      </c>
      <c r="C49" t="n">
        <v>206.25</v>
      </c>
      <c r="D49" s="22" t="n">
        <v>45210</v>
      </c>
      <c r="E49" t="n">
        <v>245.9</v>
      </c>
      <c r="F49" s="22" t="n">
        <v>45212</v>
      </c>
      <c r="G49" t="n">
        <v>-19.22424242424243</v>
      </c>
    </row>
    <row r="50">
      <c r="A50" t="inlineStr">
        <is>
          <t>ADFFOODS</t>
        </is>
      </c>
      <c r="B50" t="inlineStr">
        <is>
          <t>Bull</t>
        </is>
      </c>
      <c r="C50" t="n">
        <v>150.8</v>
      </c>
      <c r="D50" s="22" t="n">
        <v>45037</v>
      </c>
      <c r="E50" t="n">
        <v>209</v>
      </c>
      <c r="F50" s="22" t="n">
        <v>45208</v>
      </c>
      <c r="G50" t="n">
        <v>38.59416445623341</v>
      </c>
    </row>
    <row r="51">
      <c r="A51" t="inlineStr">
        <is>
          <t>ABSLAMC</t>
        </is>
      </c>
      <c r="B51" t="inlineStr">
        <is>
          <t>Bull</t>
        </is>
      </c>
      <c r="C51" t="n">
        <v>509.65</v>
      </c>
      <c r="D51" s="22" t="n">
        <v>45400</v>
      </c>
      <c r="E51" t="n">
        <v>822.2</v>
      </c>
      <c r="F51" s="22" t="n">
        <v>45660</v>
      </c>
      <c r="G51" t="n">
        <v>61.32640047091142</v>
      </c>
    </row>
    <row r="52">
      <c r="A52" t="inlineStr">
        <is>
          <t>ABSLAMC</t>
        </is>
      </c>
      <c r="B52" t="inlineStr">
        <is>
          <t>Bear</t>
        </is>
      </c>
      <c r="C52" t="n">
        <v>455.45</v>
      </c>
      <c r="D52" s="22" t="n">
        <v>45377</v>
      </c>
      <c r="E52" t="n">
        <v>499.2</v>
      </c>
      <c r="F52" s="22" t="n">
        <v>45397</v>
      </c>
      <c r="G52" t="n">
        <v>-9.605884290262379</v>
      </c>
    </row>
    <row r="53">
      <c r="A53" t="inlineStr">
        <is>
          <t>ABSLAMC</t>
        </is>
      </c>
      <c r="B53" t="inlineStr">
        <is>
          <t>Bull</t>
        </is>
      </c>
      <c r="C53" t="n">
        <v>373.1</v>
      </c>
      <c r="D53" s="22" t="n">
        <v>45085</v>
      </c>
      <c r="E53" t="n">
        <v>454.95</v>
      </c>
      <c r="F53" s="22" t="n">
        <v>45372</v>
      </c>
      <c r="G53" t="n">
        <v>21.93781827928169</v>
      </c>
    </row>
    <row r="54">
      <c r="A54" t="inlineStr">
        <is>
          <t>ABSLAMC</t>
        </is>
      </c>
      <c r="B54" t="inlineStr">
        <is>
          <t>Bear</t>
        </is>
      </c>
      <c r="C54" t="n">
        <v>419.9</v>
      </c>
      <c r="D54" s="22" t="n">
        <v>44957</v>
      </c>
      <c r="E54" t="n">
        <v>372.2</v>
      </c>
      <c r="F54" s="22" t="n">
        <v>45083</v>
      </c>
      <c r="G54" t="n">
        <v>11.3598475827578</v>
      </c>
    </row>
    <row r="55">
      <c r="A55" t="inlineStr">
        <is>
          <t>ABFRL</t>
        </is>
      </c>
      <c r="B55" t="inlineStr">
        <is>
          <t>Bear</t>
        </is>
      </c>
      <c r="C55" t="n">
        <v>305.4</v>
      </c>
      <c r="D55" s="22" t="n">
        <v>45593</v>
      </c>
      <c r="E55" t="n">
        <v>280.75</v>
      </c>
      <c r="F55" s="22" t="n">
        <v>45660</v>
      </c>
      <c r="G55" t="n">
        <v>8.071381794368035</v>
      </c>
    </row>
    <row r="56">
      <c r="A56" t="inlineStr">
        <is>
          <t>ABFRL</t>
        </is>
      </c>
      <c r="B56" t="inlineStr">
        <is>
          <t>Bull</t>
        </is>
      </c>
      <c r="C56" t="n">
        <v>233.95</v>
      </c>
      <c r="D56" s="22" t="n">
        <v>45394</v>
      </c>
      <c r="E56" t="n">
        <v>308</v>
      </c>
      <c r="F56" s="22" t="n">
        <v>45589</v>
      </c>
      <c r="G56" t="n">
        <v>31.65206240649712</v>
      </c>
    </row>
    <row r="57">
      <c r="A57" t="inlineStr">
        <is>
          <t>ABFRL</t>
        </is>
      </c>
      <c r="B57" t="inlineStr">
        <is>
          <t>Bear</t>
        </is>
      </c>
      <c r="C57" t="n">
        <v>229.75</v>
      </c>
      <c r="D57" s="22" t="n">
        <v>45352</v>
      </c>
      <c r="E57" t="n">
        <v>237.3</v>
      </c>
      <c r="F57" s="22" t="n">
        <v>45391</v>
      </c>
      <c r="G57" t="n">
        <v>-3.286180631120788</v>
      </c>
    </row>
    <row r="58">
      <c r="A58" t="inlineStr">
        <is>
          <t>ABFRL</t>
        </is>
      </c>
      <c r="B58" t="inlineStr">
        <is>
          <t>Bull</t>
        </is>
      </c>
      <c r="C58" t="n">
        <v>226.15</v>
      </c>
      <c r="D58" s="22" t="n">
        <v>45259</v>
      </c>
      <c r="E58" t="n">
        <v>230.9</v>
      </c>
      <c r="F58" s="22" t="n">
        <v>45350</v>
      </c>
      <c r="G58" t="n">
        <v>2.100375856732257</v>
      </c>
    </row>
    <row r="59">
      <c r="A59" t="inlineStr">
        <is>
          <t>ABFRL</t>
        </is>
      </c>
      <c r="B59" t="inlineStr">
        <is>
          <t>Bear</t>
        </is>
      </c>
      <c r="C59" t="n">
        <v>215.1</v>
      </c>
      <c r="D59" s="22" t="n">
        <v>45232</v>
      </c>
      <c r="E59" t="n">
        <v>228.3</v>
      </c>
      <c r="F59" s="22" t="n">
        <v>45254</v>
      </c>
      <c r="G59" t="n">
        <v>-6.136680613668069</v>
      </c>
    </row>
    <row r="60">
      <c r="A60" t="inlineStr">
        <is>
          <t>ABFRL</t>
        </is>
      </c>
      <c r="B60" t="inlineStr">
        <is>
          <t>Bull</t>
        </is>
      </c>
      <c r="C60" t="n">
        <v>218</v>
      </c>
      <c r="D60" s="22" t="n">
        <v>45118</v>
      </c>
      <c r="E60" t="n">
        <v>214.75</v>
      </c>
      <c r="F60" s="22" t="n">
        <v>45230</v>
      </c>
      <c r="G60" t="n">
        <v>-1.490825688073395</v>
      </c>
    </row>
    <row r="61">
      <c r="A61" t="inlineStr">
        <is>
          <t>ABFRL</t>
        </is>
      </c>
      <c r="B61" t="inlineStr">
        <is>
          <t>Bear</t>
        </is>
      </c>
      <c r="C61" t="n">
        <v>309.35</v>
      </c>
      <c r="D61" s="22" t="n">
        <v>44887</v>
      </c>
      <c r="E61" t="n">
        <v>213.45</v>
      </c>
      <c r="F61" s="22" t="n">
        <v>45114</v>
      </c>
      <c r="G61" t="n">
        <v>31.0004848876677</v>
      </c>
    </row>
    <row r="62">
      <c r="A62" t="inlineStr">
        <is>
          <t>ABCAPITAL</t>
        </is>
      </c>
      <c r="B62" t="inlineStr">
        <is>
          <t>Bear</t>
        </is>
      </c>
      <c r="C62" t="n">
        <v>211.04</v>
      </c>
      <c r="D62" s="22" t="n">
        <v>45588</v>
      </c>
      <c r="E62" t="n">
        <v>184.45</v>
      </c>
      <c r="F62" s="22" t="n">
        <v>45660</v>
      </c>
      <c r="G62" t="n">
        <v>12.59950720242608</v>
      </c>
    </row>
    <row r="63">
      <c r="A63" t="inlineStr">
        <is>
          <t>ABCAPITAL</t>
        </is>
      </c>
      <c r="B63" t="inlineStr">
        <is>
          <t>Bull</t>
        </is>
      </c>
      <c r="C63" t="n">
        <v>227.15</v>
      </c>
      <c r="D63" s="22" t="n">
        <v>45553</v>
      </c>
      <c r="E63" t="n">
        <v>215.75</v>
      </c>
      <c r="F63" s="22" t="n">
        <v>45586</v>
      </c>
      <c r="G63" t="n">
        <v>-5.018710103455868</v>
      </c>
    </row>
    <row r="64">
      <c r="A64" t="inlineStr">
        <is>
          <t>ABCAPITAL</t>
        </is>
      </c>
      <c r="B64" t="inlineStr">
        <is>
          <t>Bear</t>
        </is>
      </c>
      <c r="C64" t="n">
        <v>217.65</v>
      </c>
      <c r="D64" s="22" t="n">
        <v>45498</v>
      </c>
      <c r="E64" t="n">
        <v>226.43</v>
      </c>
      <c r="F64" s="22" t="n">
        <v>45551</v>
      </c>
      <c r="G64" t="n">
        <v>-4.033999540546749</v>
      </c>
    </row>
    <row r="65">
      <c r="A65" t="inlineStr">
        <is>
          <t>ABCAPITAL</t>
        </is>
      </c>
      <c r="B65" t="inlineStr">
        <is>
          <t>Bull</t>
        </is>
      </c>
      <c r="C65" t="n">
        <v>204.2</v>
      </c>
      <c r="D65" s="22" t="n">
        <v>45385</v>
      </c>
      <c r="E65" t="n">
        <v>215.2</v>
      </c>
      <c r="F65" s="22" t="n">
        <v>45496</v>
      </c>
      <c r="G65" t="n">
        <v>5.386875612144956</v>
      </c>
    </row>
    <row r="66">
      <c r="A66" t="inlineStr">
        <is>
          <t>ABCAPITAL</t>
        </is>
      </c>
      <c r="B66" t="inlineStr">
        <is>
          <t>Bear</t>
        </is>
      </c>
      <c r="C66" t="n">
        <v>173.45</v>
      </c>
      <c r="D66" s="22" t="n">
        <v>45372</v>
      </c>
      <c r="E66" t="n">
        <v>181.85</v>
      </c>
      <c r="F66" s="22" t="n">
        <v>45383</v>
      </c>
      <c r="G66" t="n">
        <v>-4.842894205823008</v>
      </c>
    </row>
    <row r="67">
      <c r="A67" t="inlineStr">
        <is>
          <t>ABCAPITAL</t>
        </is>
      </c>
      <c r="B67" t="inlineStr">
        <is>
          <t>Bull</t>
        </is>
      </c>
      <c r="C67" t="n">
        <v>178.2</v>
      </c>
      <c r="D67" s="22" t="n">
        <v>45327</v>
      </c>
      <c r="E67" t="n">
        <v>170</v>
      </c>
      <c r="F67" s="22" t="n">
        <v>45370</v>
      </c>
      <c r="G67" t="n">
        <v>-4.601571268237929</v>
      </c>
    </row>
    <row r="68">
      <c r="A68" t="inlineStr">
        <is>
          <t>ABCAPITAL</t>
        </is>
      </c>
      <c r="B68" t="inlineStr">
        <is>
          <t>Bear</t>
        </is>
      </c>
      <c r="C68" t="n">
        <v>112.45</v>
      </c>
      <c r="D68" s="22" t="n">
        <v>44673</v>
      </c>
      <c r="E68" t="n">
        <v>166.85</v>
      </c>
      <c r="F68" s="22" t="n">
        <v>45323</v>
      </c>
      <c r="G68" t="n">
        <v>-48.37705646954201</v>
      </c>
    </row>
    <row r="69">
      <c r="A69" t="inlineStr">
        <is>
          <t>ABCAPITAL</t>
        </is>
      </c>
      <c r="B69" t="inlineStr">
        <is>
          <t>Bull</t>
        </is>
      </c>
      <c r="C69" t="n">
        <v>179.15</v>
      </c>
      <c r="D69" s="22" t="n">
        <v>45306</v>
      </c>
      <c r="E69" t="n">
        <v>171.1</v>
      </c>
      <c r="F69" s="22" t="n">
        <v>45322</v>
      </c>
      <c r="G69" t="n">
        <v>-4.493441250348876</v>
      </c>
    </row>
    <row r="70">
      <c r="A70" t="inlineStr">
        <is>
          <t>ABCAPITAL</t>
        </is>
      </c>
      <c r="B70" t="inlineStr">
        <is>
          <t>Bear</t>
        </is>
      </c>
      <c r="C70" t="n">
        <v>175.05</v>
      </c>
      <c r="D70" s="22" t="n">
        <v>45191</v>
      </c>
      <c r="E70" t="n">
        <v>180.55</v>
      </c>
      <c r="F70" s="22" t="n">
        <v>45302</v>
      </c>
      <c r="G70" t="n">
        <v>-3.141959440159954</v>
      </c>
    </row>
    <row r="71">
      <c r="A71" t="inlineStr">
        <is>
          <t>ABCAPITAL</t>
        </is>
      </c>
      <c r="B71" t="inlineStr">
        <is>
          <t>Bull</t>
        </is>
      </c>
      <c r="C71" t="n">
        <v>154.55</v>
      </c>
      <c r="D71" s="22" t="n">
        <v>44988</v>
      </c>
      <c r="E71" t="n">
        <v>180.15</v>
      </c>
      <c r="F71" s="22" t="n">
        <v>45189</v>
      </c>
      <c r="G71" t="n">
        <v>16.56421869945001</v>
      </c>
    </row>
    <row r="72">
      <c r="A72" t="inlineStr">
        <is>
          <t>ADVENZYMES</t>
        </is>
      </c>
      <c r="B72" t="inlineStr">
        <is>
          <t>Bear</t>
        </is>
      </c>
      <c r="C72" t="n">
        <v>447.65</v>
      </c>
      <c r="D72" s="22" t="n">
        <v>45594</v>
      </c>
      <c r="E72" t="n">
        <v>358.5</v>
      </c>
      <c r="F72" s="22" t="n">
        <v>45660</v>
      </c>
      <c r="G72" t="n">
        <v>19.91511225287613</v>
      </c>
    </row>
    <row r="73">
      <c r="A73" t="inlineStr">
        <is>
          <t>ADVENZYMES</t>
        </is>
      </c>
      <c r="B73" t="inlineStr">
        <is>
          <t>Bull</t>
        </is>
      </c>
      <c r="C73" t="n">
        <v>386.5</v>
      </c>
      <c r="D73" s="22" t="n">
        <v>45464</v>
      </c>
      <c r="E73" t="n">
        <v>436.5</v>
      </c>
      <c r="F73" s="22" t="n">
        <v>45590</v>
      </c>
      <c r="G73" t="n">
        <v>12.9366106080207</v>
      </c>
    </row>
    <row r="74">
      <c r="A74" t="inlineStr">
        <is>
          <t>ADVENZYMES</t>
        </is>
      </c>
      <c r="B74" t="inlineStr">
        <is>
          <t>Bear</t>
        </is>
      </c>
      <c r="C74" t="n">
        <v>362.8</v>
      </c>
      <c r="D74" s="22" t="n">
        <v>45443</v>
      </c>
      <c r="E74" t="n">
        <v>379</v>
      </c>
      <c r="F74" s="22" t="n">
        <v>45462</v>
      </c>
      <c r="G74" t="n">
        <v>-4.465270121278938</v>
      </c>
    </row>
    <row r="75">
      <c r="A75" t="inlineStr">
        <is>
          <t>ADVENZYMES</t>
        </is>
      </c>
      <c r="B75" t="inlineStr">
        <is>
          <t>Bull</t>
        </is>
      </c>
      <c r="C75" t="n">
        <v>391.75</v>
      </c>
      <c r="D75" s="22" t="n">
        <v>45408</v>
      </c>
      <c r="E75" t="n">
        <v>360.55</v>
      </c>
      <c r="F75" s="22" t="n">
        <v>45441</v>
      </c>
      <c r="G75" t="n">
        <v>-7.964262922782384</v>
      </c>
    </row>
    <row r="76">
      <c r="A76" t="inlineStr">
        <is>
          <t>ADVENZYMES</t>
        </is>
      </c>
      <c r="B76" t="inlineStr">
        <is>
          <t>Bear</t>
        </is>
      </c>
      <c r="C76" t="n">
        <v>365</v>
      </c>
      <c r="D76" s="22" t="n">
        <v>45365</v>
      </c>
      <c r="E76" t="n">
        <v>385.45</v>
      </c>
      <c r="F76" s="22" t="n">
        <v>45406</v>
      </c>
      <c r="G76" t="n">
        <v>-5.602739726027394</v>
      </c>
    </row>
    <row r="77">
      <c r="A77" t="inlineStr">
        <is>
          <t>ADVENZYMES</t>
        </is>
      </c>
      <c r="B77" t="inlineStr">
        <is>
          <t>Bull</t>
        </is>
      </c>
      <c r="C77" t="n">
        <v>331.5</v>
      </c>
      <c r="D77" s="22" t="n">
        <v>45242</v>
      </c>
      <c r="E77" t="n">
        <v>351.8</v>
      </c>
      <c r="F77" s="22" t="n">
        <v>45363</v>
      </c>
      <c r="G77" t="n">
        <v>6.123680241327303</v>
      </c>
    </row>
    <row r="78">
      <c r="A78" t="inlineStr">
        <is>
          <t>ADVENZYMES</t>
        </is>
      </c>
      <c r="B78" t="inlineStr">
        <is>
          <t>Bear</t>
        </is>
      </c>
      <c r="C78" t="n">
        <v>314.45</v>
      </c>
      <c r="D78" s="22" t="n">
        <v>45229</v>
      </c>
      <c r="E78" t="n">
        <v>329.25</v>
      </c>
      <c r="F78" s="22" t="n">
        <v>45239</v>
      </c>
      <c r="G78" t="n">
        <v>-4.706630624900624</v>
      </c>
    </row>
    <row r="79">
      <c r="A79" t="inlineStr">
        <is>
          <t>ADVENZYMES</t>
        </is>
      </c>
      <c r="B79" t="inlineStr">
        <is>
          <t>Bull</t>
        </is>
      </c>
      <c r="C79" t="n">
        <v>276.35</v>
      </c>
      <c r="D79" s="22" t="n">
        <v>45054</v>
      </c>
      <c r="E79" t="n">
        <v>297.15</v>
      </c>
      <c r="F79" s="22" t="n">
        <v>45225</v>
      </c>
      <c r="G79" t="n">
        <v>7.526687172064395</v>
      </c>
    </row>
    <row r="80">
      <c r="A80" t="inlineStr">
        <is>
          <t>AFFLE</t>
        </is>
      </c>
      <c r="B80" t="inlineStr">
        <is>
          <t>Bull</t>
        </is>
      </c>
      <c r="C80" t="n">
        <v>1603.65</v>
      </c>
      <c r="D80" s="22" t="n">
        <v>45604</v>
      </c>
      <c r="E80" t="n">
        <v>1781.25</v>
      </c>
      <c r="F80" s="22" t="n">
        <v>45660</v>
      </c>
      <c r="G80" t="n">
        <v>11.07473575904966</v>
      </c>
    </row>
    <row r="81">
      <c r="A81" t="inlineStr">
        <is>
          <t>AFFLE</t>
        </is>
      </c>
      <c r="B81" t="inlineStr">
        <is>
          <t>Bear</t>
        </is>
      </c>
      <c r="C81" t="n">
        <v>1460.4</v>
      </c>
      <c r="D81" s="22" t="n">
        <v>45593</v>
      </c>
      <c r="E81" t="n">
        <v>1640.05</v>
      </c>
      <c r="F81" s="22" t="n">
        <v>45602</v>
      </c>
      <c r="G81" t="n">
        <v>-12.30142426732401</v>
      </c>
    </row>
    <row r="82">
      <c r="A82" t="inlineStr">
        <is>
          <t>AFFLE</t>
        </is>
      </c>
      <c r="B82" t="inlineStr">
        <is>
          <t>Bull</t>
        </is>
      </c>
      <c r="C82" t="n">
        <v>1213.85</v>
      </c>
      <c r="D82" s="22" t="n">
        <v>45433</v>
      </c>
      <c r="E82" t="n">
        <v>1474.3</v>
      </c>
      <c r="F82" s="22" t="n">
        <v>45589</v>
      </c>
      <c r="G82" t="n">
        <v>21.45652263459242</v>
      </c>
    </row>
    <row r="83">
      <c r="A83" t="inlineStr">
        <is>
          <t>AFFLE</t>
        </is>
      </c>
      <c r="B83" t="inlineStr">
        <is>
          <t>Bear</t>
        </is>
      </c>
      <c r="C83" t="n">
        <v>1136</v>
      </c>
      <c r="D83" s="22" t="n">
        <v>45335</v>
      </c>
      <c r="E83" t="n">
        <v>1175.25</v>
      </c>
      <c r="F83" s="22" t="n">
        <v>45429</v>
      </c>
      <c r="G83" t="n">
        <v>-3.455105633802817</v>
      </c>
    </row>
    <row r="84">
      <c r="A84" t="inlineStr">
        <is>
          <t>AFFLE</t>
        </is>
      </c>
      <c r="B84" t="inlineStr">
        <is>
          <t>Bull</t>
        </is>
      </c>
      <c r="C84" t="n">
        <v>1115.2</v>
      </c>
      <c r="D84" s="22" t="n">
        <v>45260</v>
      </c>
      <c r="E84" t="n">
        <v>1114.25</v>
      </c>
      <c r="F84" s="22" t="n">
        <v>45331</v>
      </c>
      <c r="G84" t="n">
        <v>-0.08518651362984626</v>
      </c>
    </row>
    <row r="85">
      <c r="A85" t="inlineStr">
        <is>
          <t>AFFLE</t>
        </is>
      </c>
      <c r="B85" t="inlineStr">
        <is>
          <t>Bear</t>
        </is>
      </c>
      <c r="C85" t="n">
        <v>1073.5</v>
      </c>
      <c r="D85" s="22" t="n">
        <v>45216</v>
      </c>
      <c r="E85" t="n">
        <v>1112.55</v>
      </c>
      <c r="F85" s="22" t="n">
        <v>45258</v>
      </c>
      <c r="G85" t="n">
        <v>-3.637633907778291</v>
      </c>
    </row>
    <row r="86">
      <c r="A86" t="inlineStr">
        <is>
          <t>AFFLE</t>
        </is>
      </c>
      <c r="B86" t="inlineStr">
        <is>
          <t>Bull</t>
        </is>
      </c>
      <c r="C86" t="n">
        <v>1001.95</v>
      </c>
      <c r="D86" s="22" t="n">
        <v>45085</v>
      </c>
      <c r="E86" t="n">
        <v>1077.3</v>
      </c>
      <c r="F86" s="22" t="n">
        <v>45212</v>
      </c>
      <c r="G86" t="n">
        <v>7.520335346075144</v>
      </c>
    </row>
    <row r="87">
      <c r="A87" t="inlineStr">
        <is>
          <t>AFFLE</t>
        </is>
      </c>
      <c r="B87" t="inlineStr">
        <is>
          <t>Bear</t>
        </is>
      </c>
      <c r="C87" t="n">
        <v>1163.65</v>
      </c>
      <c r="D87" s="22" t="n">
        <v>44908</v>
      </c>
      <c r="E87" t="n">
        <v>987</v>
      </c>
      <c r="F87" s="22" t="n">
        <v>45083</v>
      </c>
      <c r="G87" t="n">
        <v>15.18068147638895</v>
      </c>
    </row>
    <row r="88">
      <c r="A88" t="inlineStr">
        <is>
          <t>AGI</t>
        </is>
      </c>
      <c r="B88" t="inlineStr">
        <is>
          <t>Bull</t>
        </is>
      </c>
      <c r="C88" t="n">
        <v>924.55</v>
      </c>
      <c r="D88" s="22" t="n">
        <v>45478</v>
      </c>
      <c r="E88" t="n">
        <v>1070.05</v>
      </c>
      <c r="F88" s="22" t="n">
        <v>45660</v>
      </c>
      <c r="G88" t="n">
        <v>15.73738575523227</v>
      </c>
    </row>
    <row r="89">
      <c r="A89" t="inlineStr">
        <is>
          <t>AGI</t>
        </is>
      </c>
      <c r="B89" t="inlineStr">
        <is>
          <t>Bear</t>
        </is>
      </c>
      <c r="C89" t="n">
        <v>713.35</v>
      </c>
      <c r="D89" s="22" t="n">
        <v>45420</v>
      </c>
      <c r="E89" t="n">
        <v>771.1</v>
      </c>
      <c r="F89" s="22" t="n">
        <v>45476</v>
      </c>
      <c r="G89" t="n">
        <v>-8.095605242868158</v>
      </c>
    </row>
    <row r="90">
      <c r="A90" t="inlineStr">
        <is>
          <t>AGI</t>
        </is>
      </c>
      <c r="B90" t="inlineStr">
        <is>
          <t>Bull</t>
        </is>
      </c>
      <c r="C90" t="n">
        <v>830.65</v>
      </c>
      <c r="D90" s="22" t="n">
        <v>45401</v>
      </c>
      <c r="E90" t="n">
        <v>737.4</v>
      </c>
      <c r="F90" s="22" t="n">
        <v>45418</v>
      </c>
      <c r="G90" t="n">
        <v>-11.22614819719497</v>
      </c>
    </row>
    <row r="91">
      <c r="A91" t="inlineStr">
        <is>
          <t>AGI</t>
        </is>
      </c>
      <c r="B91" t="inlineStr">
        <is>
          <t>Bear</t>
        </is>
      </c>
      <c r="C91" t="n">
        <v>777.9</v>
      </c>
      <c r="D91" s="22" t="n">
        <v>45365</v>
      </c>
      <c r="E91" t="n">
        <v>819.4</v>
      </c>
      <c r="F91" s="22" t="n">
        <v>45398</v>
      </c>
      <c r="G91" t="n">
        <v>-5.334875948065304</v>
      </c>
    </row>
    <row r="92">
      <c r="A92" t="inlineStr">
        <is>
          <t>AGI</t>
        </is>
      </c>
      <c r="B92" t="inlineStr">
        <is>
          <t>Bull</t>
        </is>
      </c>
      <c r="C92" t="n">
        <v>828.5</v>
      </c>
      <c r="D92" s="22" t="n">
        <v>45357</v>
      </c>
      <c r="E92" t="n">
        <v>777.95</v>
      </c>
      <c r="F92" s="22" t="n">
        <v>45363</v>
      </c>
      <c r="G92" t="n">
        <v>-6.10138805069402</v>
      </c>
    </row>
    <row r="93">
      <c r="A93" t="inlineStr">
        <is>
          <t>AGI</t>
        </is>
      </c>
      <c r="B93" t="inlineStr">
        <is>
          <t>Bear</t>
        </is>
      </c>
      <c r="C93" t="n">
        <v>810.7</v>
      </c>
      <c r="D93" s="22" t="n">
        <v>45280</v>
      </c>
      <c r="E93" t="n">
        <v>893.2</v>
      </c>
      <c r="F93" s="22" t="n">
        <v>45355</v>
      </c>
      <c r="G93" t="n">
        <v>-10.1763907734057</v>
      </c>
    </row>
    <row r="94">
      <c r="A94" t="inlineStr">
        <is>
          <t>AGI</t>
        </is>
      </c>
      <c r="B94" t="inlineStr">
        <is>
          <t>Bull</t>
        </is>
      </c>
      <c r="C94" t="n">
        <v>324.65</v>
      </c>
      <c r="D94" s="22" t="n">
        <v>44958</v>
      </c>
      <c r="E94" t="n">
        <v>834.05</v>
      </c>
      <c r="F94" s="22" t="n">
        <v>45278</v>
      </c>
      <c r="G94" t="n">
        <v>156.9074387802249</v>
      </c>
    </row>
    <row r="95">
      <c r="A95" t="inlineStr">
        <is>
          <t>AIAENG</t>
        </is>
      </c>
      <c r="B95" t="inlineStr">
        <is>
          <t>Bear</t>
        </is>
      </c>
      <c r="C95" t="n">
        <v>4416.4</v>
      </c>
      <c r="D95" s="22" t="n">
        <v>45559</v>
      </c>
      <c r="E95" t="n">
        <v>3381.75</v>
      </c>
      <c r="F95" s="22" t="n">
        <v>45660</v>
      </c>
      <c r="G95" t="n">
        <v>23.42745222353047</v>
      </c>
    </row>
    <row r="96">
      <c r="A96" t="inlineStr">
        <is>
          <t>AIAENG</t>
        </is>
      </c>
      <c r="B96" t="inlineStr">
        <is>
          <t>Bull</t>
        </is>
      </c>
      <c r="C96" t="n">
        <v>4271.55</v>
      </c>
      <c r="D96" s="22" t="n">
        <v>45462</v>
      </c>
      <c r="E96" t="n">
        <v>4294.8</v>
      </c>
      <c r="F96" s="22" t="n">
        <v>45555</v>
      </c>
      <c r="G96" t="n">
        <v>0.5442989078905783</v>
      </c>
    </row>
    <row r="97">
      <c r="A97" t="inlineStr">
        <is>
          <t>AIAENG</t>
        </is>
      </c>
      <c r="B97" t="inlineStr">
        <is>
          <t>Bear</t>
        </is>
      </c>
      <c r="C97" t="n">
        <v>3786.9</v>
      </c>
      <c r="D97" s="22" t="n">
        <v>45421</v>
      </c>
      <c r="E97" t="n">
        <v>3976.8</v>
      </c>
      <c r="F97" s="22" t="n">
        <v>45457</v>
      </c>
      <c r="G97" t="n">
        <v>-5.014655787055378</v>
      </c>
    </row>
    <row r="98">
      <c r="A98" t="inlineStr">
        <is>
          <t>AIAENG</t>
        </is>
      </c>
      <c r="B98" t="inlineStr">
        <is>
          <t>Bull</t>
        </is>
      </c>
      <c r="C98" t="n">
        <v>4023.8</v>
      </c>
      <c r="D98" s="22" t="n">
        <v>45384</v>
      </c>
      <c r="E98" t="n">
        <v>3804.95</v>
      </c>
      <c r="F98" s="22" t="n">
        <v>45419</v>
      </c>
      <c r="G98" t="n">
        <v>-5.438888612754122</v>
      </c>
    </row>
    <row r="99">
      <c r="A99" t="inlineStr">
        <is>
          <t>AIAENG</t>
        </is>
      </c>
      <c r="B99" t="inlineStr">
        <is>
          <t>Bear</t>
        </is>
      </c>
      <c r="C99" t="n">
        <v>3715.2</v>
      </c>
      <c r="D99" s="22" t="n">
        <v>45356</v>
      </c>
      <c r="E99" t="n">
        <v>3915.25</v>
      </c>
      <c r="F99" s="22" t="n">
        <v>45379</v>
      </c>
      <c r="G99" t="n">
        <v>-5.384636089577955</v>
      </c>
    </row>
    <row r="100">
      <c r="A100" t="inlineStr">
        <is>
          <t>AIAENG</t>
        </is>
      </c>
      <c r="B100" t="inlineStr">
        <is>
          <t>Bull</t>
        </is>
      </c>
      <c r="C100" t="n">
        <v>3764.9</v>
      </c>
      <c r="D100" s="22" t="n">
        <v>45233</v>
      </c>
      <c r="E100" t="n">
        <v>3713.3</v>
      </c>
      <c r="F100" s="22" t="n">
        <v>45353</v>
      </c>
      <c r="G100" t="n">
        <v>-1.370554330792316</v>
      </c>
    </row>
    <row r="101">
      <c r="A101" t="inlineStr">
        <is>
          <t>AIAENG</t>
        </is>
      </c>
      <c r="B101" t="inlineStr">
        <is>
          <t>Bear</t>
        </is>
      </c>
      <c r="C101" t="n">
        <v>3463.05</v>
      </c>
      <c r="D101" s="22" t="n">
        <v>45209</v>
      </c>
      <c r="E101" t="n">
        <v>3679.35</v>
      </c>
      <c r="F101" s="22" t="n">
        <v>45231</v>
      </c>
      <c r="G101" t="n">
        <v>-6.245939273184034</v>
      </c>
    </row>
    <row r="102">
      <c r="A102" t="inlineStr">
        <is>
          <t>AIAENG</t>
        </is>
      </c>
      <c r="B102" t="inlineStr">
        <is>
          <t>Bull</t>
        </is>
      </c>
      <c r="C102" t="n">
        <v>2925.3</v>
      </c>
      <c r="D102" s="22" t="n">
        <v>45069</v>
      </c>
      <c r="E102" t="n">
        <v>3440.15</v>
      </c>
      <c r="F102" s="22" t="n">
        <v>45205</v>
      </c>
      <c r="G102" t="n">
        <v>17.59990428332137</v>
      </c>
    </row>
    <row r="103">
      <c r="A103" t="inlineStr">
        <is>
          <t>AIAENG</t>
        </is>
      </c>
      <c r="B103" t="inlineStr">
        <is>
          <t>Bear</t>
        </is>
      </c>
      <c r="C103" t="n">
        <v>2708.1</v>
      </c>
      <c r="D103" s="22" t="n">
        <v>45056</v>
      </c>
      <c r="E103" t="n">
        <v>2824.6</v>
      </c>
      <c r="F103" s="22" t="n">
        <v>45065</v>
      </c>
      <c r="G103" t="n">
        <v>-4.301909087552158</v>
      </c>
    </row>
    <row r="104">
      <c r="A104" t="inlineStr">
        <is>
          <t>AJANTPHARM</t>
        </is>
      </c>
      <c r="B104" t="inlineStr">
        <is>
          <t>Bear</t>
        </is>
      </c>
      <c r="C104" t="n">
        <v>3086.15</v>
      </c>
      <c r="D104" s="22" t="n">
        <v>45597</v>
      </c>
      <c r="E104" t="n">
        <v>2873.75</v>
      </c>
      <c r="F104" s="22" t="n">
        <v>45660</v>
      </c>
      <c r="G104" t="n">
        <v>6.882361518396711</v>
      </c>
    </row>
    <row r="105">
      <c r="A105" t="inlineStr">
        <is>
          <t>AJANTPHARM</t>
        </is>
      </c>
      <c r="B105" t="inlineStr">
        <is>
          <t>Bull</t>
        </is>
      </c>
      <c r="C105" t="n">
        <v>2418.55</v>
      </c>
      <c r="D105" s="22" t="n">
        <v>45502</v>
      </c>
      <c r="E105" t="n">
        <v>2996.65</v>
      </c>
      <c r="F105" s="22" t="n">
        <v>45595</v>
      </c>
      <c r="G105" t="n">
        <v>23.90275164871514</v>
      </c>
    </row>
    <row r="106">
      <c r="A106" t="inlineStr">
        <is>
          <t>AJANTPHARM</t>
        </is>
      </c>
      <c r="B106" t="inlineStr">
        <is>
          <t>Bear</t>
        </is>
      </c>
      <c r="C106" t="n">
        <v>2266.6</v>
      </c>
      <c r="D106" s="22" t="n">
        <v>45478</v>
      </c>
      <c r="E106" t="n">
        <v>2398.85</v>
      </c>
      <c r="F106" s="22" t="n">
        <v>45498</v>
      </c>
      <c r="G106" t="n">
        <v>-5.834730433248037</v>
      </c>
    </row>
    <row r="107">
      <c r="A107" t="inlineStr">
        <is>
          <t>AJANTPHARM</t>
        </is>
      </c>
      <c r="B107" t="inlineStr">
        <is>
          <t>Bull</t>
        </is>
      </c>
      <c r="C107" t="n">
        <v>2215.45</v>
      </c>
      <c r="D107" s="22" t="n">
        <v>45412</v>
      </c>
      <c r="E107" t="n">
        <v>2241.15</v>
      </c>
      <c r="F107" s="22" t="n">
        <v>45476</v>
      </c>
      <c r="G107" t="n">
        <v>1.160035207294241</v>
      </c>
    </row>
    <row r="108">
      <c r="A108" t="inlineStr">
        <is>
          <t>AJANTPHARM</t>
        </is>
      </c>
      <c r="B108" t="inlineStr">
        <is>
          <t>Bear</t>
        </is>
      </c>
      <c r="C108" t="n">
        <v>2091.35</v>
      </c>
      <c r="D108" s="22" t="n">
        <v>45404</v>
      </c>
      <c r="E108" t="n">
        <v>2193.5</v>
      </c>
      <c r="F108" s="22" t="n">
        <v>45408</v>
      </c>
      <c r="G108" t="n">
        <v>-4.884404810290008</v>
      </c>
    </row>
    <row r="109">
      <c r="A109" t="inlineStr">
        <is>
          <t>AJANTPHARM</t>
        </is>
      </c>
      <c r="B109" t="inlineStr">
        <is>
          <t>Bull</t>
        </is>
      </c>
      <c r="C109" t="n">
        <v>2230.85</v>
      </c>
      <c r="D109" s="22" t="n">
        <v>45379</v>
      </c>
      <c r="E109" t="n">
        <v>2078.85</v>
      </c>
      <c r="F109" s="22" t="n">
        <v>45400</v>
      </c>
      <c r="G109" t="n">
        <v>-6.813546406078401</v>
      </c>
    </row>
    <row r="110">
      <c r="A110" t="inlineStr">
        <is>
          <t>AJANTPHARM</t>
        </is>
      </c>
      <c r="B110" t="inlineStr">
        <is>
          <t>Bear</t>
        </is>
      </c>
      <c r="C110" t="n">
        <v>2125.9</v>
      </c>
      <c r="D110" s="22" t="n">
        <v>45372</v>
      </c>
      <c r="E110" t="n">
        <v>2223.05</v>
      </c>
      <c r="F110" s="22" t="n">
        <v>45377</v>
      </c>
      <c r="G110" t="n">
        <v>-4.569829248788753</v>
      </c>
    </row>
    <row r="111">
      <c r="A111" t="inlineStr">
        <is>
          <t>AJANTPHARM</t>
        </is>
      </c>
      <c r="B111" t="inlineStr">
        <is>
          <t>Bull</t>
        </is>
      </c>
      <c r="C111" t="n">
        <v>1263.15</v>
      </c>
      <c r="D111" s="22" t="n">
        <v>45021</v>
      </c>
      <c r="E111" t="n">
        <v>2109.35</v>
      </c>
      <c r="F111" s="22" t="n">
        <v>45370</v>
      </c>
      <c r="G111" t="n">
        <v>66.99125202865849</v>
      </c>
    </row>
    <row r="112">
      <c r="A112" t="inlineStr">
        <is>
          <t>AJMERA</t>
        </is>
      </c>
      <c r="B112" t="inlineStr">
        <is>
          <t>Bull</t>
        </is>
      </c>
      <c r="C112" t="n">
        <v>804.85</v>
      </c>
      <c r="D112" s="22" t="n">
        <v>45582</v>
      </c>
      <c r="E112" t="n">
        <v>1117.05</v>
      </c>
      <c r="F112" s="22" t="n">
        <v>45660</v>
      </c>
      <c r="G112" t="n">
        <v>38.78983661551841</v>
      </c>
    </row>
    <row r="113">
      <c r="A113" t="inlineStr">
        <is>
          <t>AJMERA</t>
        </is>
      </c>
      <c r="B113" t="inlineStr">
        <is>
          <t>Bear</t>
        </is>
      </c>
      <c r="C113" t="n">
        <v>705.5</v>
      </c>
      <c r="D113" s="22" t="n">
        <v>45512</v>
      </c>
      <c r="E113" t="n">
        <v>779.25</v>
      </c>
      <c r="F113" s="22" t="n">
        <v>45580</v>
      </c>
      <c r="G113" t="n">
        <v>-10.45357902197023</v>
      </c>
    </row>
    <row r="114">
      <c r="A114" t="inlineStr">
        <is>
          <t>AJMERA</t>
        </is>
      </c>
      <c r="B114" t="inlineStr">
        <is>
          <t>Bull</t>
        </is>
      </c>
      <c r="C114" t="n">
        <v>743.15</v>
      </c>
      <c r="D114" s="22" t="n">
        <v>45488</v>
      </c>
      <c r="E114" t="n">
        <v>688.8</v>
      </c>
      <c r="F114" s="22" t="n">
        <v>45510</v>
      </c>
      <c r="G114" t="n">
        <v>-7.313462961717018</v>
      </c>
    </row>
    <row r="115">
      <c r="A115" t="inlineStr">
        <is>
          <t>AJMERA</t>
        </is>
      </c>
      <c r="B115" t="inlineStr">
        <is>
          <t>Bear</t>
        </is>
      </c>
      <c r="C115" t="n">
        <v>661.95</v>
      </c>
      <c r="D115" s="22" t="n">
        <v>45441</v>
      </c>
      <c r="E115" t="n">
        <v>752.15</v>
      </c>
      <c r="F115" s="22" t="n">
        <v>45484</v>
      </c>
      <c r="G115" t="n">
        <v>-13.62640682831028</v>
      </c>
    </row>
    <row r="116">
      <c r="A116" t="inlineStr">
        <is>
          <t>AJMERA</t>
        </is>
      </c>
      <c r="B116" t="inlineStr">
        <is>
          <t>Bull</t>
        </is>
      </c>
      <c r="C116" t="n">
        <v>373</v>
      </c>
      <c r="D116" s="22" t="n">
        <v>45208</v>
      </c>
      <c r="E116" t="n">
        <v>694.6</v>
      </c>
      <c r="F116" s="22" t="n">
        <v>45439</v>
      </c>
      <c r="G116" t="n">
        <v>86.21983914209116</v>
      </c>
    </row>
    <row r="117">
      <c r="A117" t="inlineStr">
        <is>
          <t>AJMERA</t>
        </is>
      </c>
      <c r="B117" t="inlineStr">
        <is>
          <t>Bear</t>
        </is>
      </c>
      <c r="C117" t="n">
        <v>358.75</v>
      </c>
      <c r="D117" s="22" t="n">
        <v>45197</v>
      </c>
      <c r="E117" t="n">
        <v>373.5</v>
      </c>
      <c r="F117" s="22" t="n">
        <v>45204</v>
      </c>
      <c r="G117" t="n">
        <v>-4.111498257839721</v>
      </c>
    </row>
    <row r="118">
      <c r="A118" t="inlineStr">
        <is>
          <t>AJMERA</t>
        </is>
      </c>
      <c r="B118" t="inlineStr">
        <is>
          <t>Bull</t>
        </is>
      </c>
      <c r="C118" t="n">
        <v>390.15</v>
      </c>
      <c r="D118" s="22" t="n">
        <v>45177</v>
      </c>
      <c r="E118" t="n">
        <v>355.8</v>
      </c>
      <c r="F118" s="22" t="n">
        <v>45195</v>
      </c>
      <c r="G118" t="n">
        <v>-8.804306036139938</v>
      </c>
    </row>
    <row r="119">
      <c r="A119" t="inlineStr">
        <is>
          <t>AJMERA</t>
        </is>
      </c>
      <c r="B119" t="inlineStr">
        <is>
          <t>Bear</t>
        </is>
      </c>
      <c r="C119" t="n">
        <v>346.2</v>
      </c>
      <c r="D119" s="22" t="n">
        <v>45167</v>
      </c>
      <c r="E119" t="n">
        <v>373.8</v>
      </c>
      <c r="F119" s="22" t="n">
        <v>45175</v>
      </c>
      <c r="G119" t="n">
        <v>-7.97227036395148</v>
      </c>
    </row>
    <row r="120">
      <c r="A120" t="inlineStr">
        <is>
          <t>AJMERA</t>
        </is>
      </c>
      <c r="B120" t="inlineStr">
        <is>
          <t>Bull</t>
        </is>
      </c>
      <c r="C120" t="n">
        <v>307</v>
      </c>
      <c r="D120" s="22" t="n">
        <v>45027</v>
      </c>
      <c r="E120" t="n">
        <v>343</v>
      </c>
      <c r="F120" s="22" t="n">
        <v>45163</v>
      </c>
      <c r="G120" t="n">
        <v>11.72638436482085</v>
      </c>
    </row>
    <row r="121">
      <c r="A121" t="inlineStr">
        <is>
          <t>AKZOINDIA</t>
        </is>
      </c>
      <c r="B121" t="inlineStr">
        <is>
          <t>Bear</t>
        </is>
      </c>
      <c r="C121" t="n">
        <v>3707.2</v>
      </c>
      <c r="D121" s="22" t="n">
        <v>45625</v>
      </c>
      <c r="E121" t="n">
        <v>3500.05</v>
      </c>
      <c r="F121" s="22" t="n">
        <v>45660</v>
      </c>
      <c r="G121" t="n">
        <v>5.587775140267578</v>
      </c>
    </row>
    <row r="122">
      <c r="A122" t="inlineStr">
        <is>
          <t>AKZOINDIA</t>
        </is>
      </c>
      <c r="B122" t="inlineStr">
        <is>
          <t>Bull</t>
        </is>
      </c>
      <c r="C122" t="n">
        <v>2616.15</v>
      </c>
      <c r="D122" s="22" t="n">
        <v>45430</v>
      </c>
      <c r="E122" t="n">
        <v>3732.4</v>
      </c>
      <c r="F122" s="22" t="n">
        <v>45623</v>
      </c>
      <c r="G122" t="n">
        <v>42.66766049347323</v>
      </c>
    </row>
    <row r="123">
      <c r="A123" t="inlineStr">
        <is>
          <t>AKZOINDIA</t>
        </is>
      </c>
      <c r="B123" t="inlineStr">
        <is>
          <t>Bear</t>
        </is>
      </c>
      <c r="C123" t="n">
        <v>2452.8</v>
      </c>
      <c r="D123" s="22" t="n">
        <v>45356</v>
      </c>
      <c r="E123" t="n">
        <v>2558.75</v>
      </c>
      <c r="F123" s="22" t="n">
        <v>45428</v>
      </c>
      <c r="G123" t="n">
        <v>-4.319553163731237</v>
      </c>
    </row>
    <row r="124">
      <c r="A124" t="inlineStr">
        <is>
          <t>AKZOINDIA</t>
        </is>
      </c>
      <c r="B124" t="inlineStr">
        <is>
          <t>Bull</t>
        </is>
      </c>
      <c r="C124" t="n">
        <v>2540.1</v>
      </c>
      <c r="D124" s="22" t="n">
        <v>45275</v>
      </c>
      <c r="E124" t="n">
        <v>2522.65</v>
      </c>
      <c r="F124" s="22" t="n">
        <v>45353</v>
      </c>
      <c r="G124" t="n">
        <v>-0.6869808275264683</v>
      </c>
    </row>
    <row r="125">
      <c r="A125" t="inlineStr">
        <is>
          <t>AKZOINDIA</t>
        </is>
      </c>
      <c r="B125" t="inlineStr">
        <is>
          <t>Bear</t>
        </is>
      </c>
      <c r="C125" t="n">
        <v>2530</v>
      </c>
      <c r="D125" s="22" t="n">
        <v>45190</v>
      </c>
      <c r="E125" t="n">
        <v>2510</v>
      </c>
      <c r="F125" s="22" t="n">
        <v>45273</v>
      </c>
      <c r="G125" t="n">
        <v>0.7905138339920948</v>
      </c>
    </row>
    <row r="126">
      <c r="A126" t="inlineStr">
        <is>
          <t>AKZOINDIA</t>
        </is>
      </c>
      <c r="B126" t="inlineStr">
        <is>
          <t>Bull</t>
        </is>
      </c>
      <c r="C126" t="n">
        <v>2295.6</v>
      </c>
      <c r="D126" s="22" t="n">
        <v>44999</v>
      </c>
      <c r="E126" t="n">
        <v>2598</v>
      </c>
      <c r="F126" s="22" t="n">
        <v>45187</v>
      </c>
      <c r="G126" t="n">
        <v>13.17302665969681</v>
      </c>
    </row>
    <row r="127">
      <c r="A127" t="inlineStr">
        <is>
          <t>ALEMBICLTD</t>
        </is>
      </c>
      <c r="B127" t="inlineStr">
        <is>
          <t>Bull</t>
        </is>
      </c>
      <c r="C127" t="n">
        <v>147.98</v>
      </c>
      <c r="D127" s="22" t="n">
        <v>45638</v>
      </c>
      <c r="E127" t="n">
        <v>136.22</v>
      </c>
      <c r="F127" s="22" t="n">
        <v>45660</v>
      </c>
      <c r="G127" t="n">
        <v>-7.947019867549663</v>
      </c>
    </row>
    <row r="128">
      <c r="A128" t="inlineStr">
        <is>
          <t>ALEMBICLTD</t>
        </is>
      </c>
      <c r="B128" t="inlineStr">
        <is>
          <t>Bear</t>
        </is>
      </c>
      <c r="C128" t="n">
        <v>137.89</v>
      </c>
      <c r="D128" s="22" t="n">
        <v>45573</v>
      </c>
      <c r="E128" t="n">
        <v>138</v>
      </c>
      <c r="F128" s="22" t="n">
        <v>45636</v>
      </c>
      <c r="G128" t="n">
        <v>-0.07977373268548384</v>
      </c>
    </row>
    <row r="129">
      <c r="A129" t="inlineStr">
        <is>
          <t>ALEMBICLTD</t>
        </is>
      </c>
      <c r="B129" t="inlineStr">
        <is>
          <t>Bull</t>
        </is>
      </c>
      <c r="C129" t="n">
        <v>99.2</v>
      </c>
      <c r="D129" s="22" t="n">
        <v>45428</v>
      </c>
      <c r="E129" t="n">
        <v>140.79</v>
      </c>
      <c r="F129" s="22" t="n">
        <v>45569</v>
      </c>
      <c r="G129" t="n">
        <v>41.92540322580644</v>
      </c>
    </row>
    <row r="130">
      <c r="A130" t="inlineStr">
        <is>
          <t>ALEMBICLTD</t>
        </is>
      </c>
      <c r="B130" t="inlineStr">
        <is>
          <t>Bear</t>
        </is>
      </c>
      <c r="C130" t="n">
        <v>86.34999999999999</v>
      </c>
      <c r="D130" s="22" t="n">
        <v>45421</v>
      </c>
      <c r="E130" t="n">
        <v>100.35</v>
      </c>
      <c r="F130" s="22" t="n">
        <v>45426</v>
      </c>
      <c r="G130" t="n">
        <v>-16.21308627678054</v>
      </c>
    </row>
    <row r="131">
      <c r="A131" t="inlineStr">
        <is>
          <t>ALEMBICLTD</t>
        </is>
      </c>
      <c r="B131" t="inlineStr">
        <is>
          <t>Bull</t>
        </is>
      </c>
      <c r="C131" t="n">
        <v>94.75</v>
      </c>
      <c r="D131" s="22" t="n">
        <v>45407</v>
      </c>
      <c r="E131" t="n">
        <v>88.25</v>
      </c>
      <c r="F131" s="22" t="n">
        <v>45419</v>
      </c>
      <c r="G131" t="n">
        <v>-6.860158311345646</v>
      </c>
    </row>
    <row r="132">
      <c r="A132" t="inlineStr">
        <is>
          <t>ALEMBICLTD</t>
        </is>
      </c>
      <c r="B132" t="inlineStr">
        <is>
          <t>Bear</t>
        </is>
      </c>
      <c r="C132" t="n">
        <v>83.7</v>
      </c>
      <c r="D132" s="22" t="n">
        <v>45365</v>
      </c>
      <c r="E132" t="n">
        <v>93.8</v>
      </c>
      <c r="F132" s="22" t="n">
        <v>45405</v>
      </c>
      <c r="G132" t="n">
        <v>-12.0669056152927</v>
      </c>
    </row>
    <row r="133">
      <c r="A133" t="inlineStr">
        <is>
          <t>ALEMBICLTD</t>
        </is>
      </c>
      <c r="B133" t="inlineStr">
        <is>
          <t>Bull</t>
        </is>
      </c>
      <c r="C133" t="n">
        <v>83.75</v>
      </c>
      <c r="D133" s="22" t="n">
        <v>45217</v>
      </c>
      <c r="E133" t="n">
        <v>87.59999999999999</v>
      </c>
      <c r="F133" s="22" t="n">
        <v>45363</v>
      </c>
      <c r="G133" t="n">
        <v>4.597014925373127</v>
      </c>
    </row>
    <row r="134">
      <c r="A134" t="inlineStr">
        <is>
          <t>ALEMBICLTD</t>
        </is>
      </c>
      <c r="B134" t="inlineStr">
        <is>
          <t>Bear</t>
        </is>
      </c>
      <c r="C134" t="n">
        <v>77</v>
      </c>
      <c r="D134" s="22" t="n">
        <v>45205</v>
      </c>
      <c r="E134" t="n">
        <v>83.3</v>
      </c>
      <c r="F134" s="22" t="n">
        <v>45215</v>
      </c>
      <c r="G134" t="n">
        <v>-8.181818181818178</v>
      </c>
    </row>
    <row r="135">
      <c r="A135" t="inlineStr">
        <is>
          <t>ALEMBICLTD</t>
        </is>
      </c>
      <c r="B135" t="inlineStr">
        <is>
          <t>Bull</t>
        </is>
      </c>
      <c r="C135" t="n">
        <v>64.55</v>
      </c>
      <c r="D135" s="22" t="n">
        <v>45058</v>
      </c>
      <c r="E135" t="n">
        <v>77.05</v>
      </c>
      <c r="F135" s="22" t="n">
        <v>45203</v>
      </c>
      <c r="G135" t="n">
        <v>19.36483346243222</v>
      </c>
    </row>
    <row r="136">
      <c r="A136" t="inlineStr">
        <is>
          <t>ALKEM</t>
        </is>
      </c>
      <c r="B136" t="inlineStr">
        <is>
          <t>Bear</t>
        </is>
      </c>
      <c r="C136" t="n">
        <v>5670.35</v>
      </c>
      <c r="D136" s="22" t="n">
        <v>45601</v>
      </c>
      <c r="E136" t="n">
        <v>5502.65</v>
      </c>
      <c r="F136" s="22" t="n">
        <v>45660</v>
      </c>
      <c r="G136" t="n">
        <v>2.957489396598106</v>
      </c>
    </row>
    <row r="137">
      <c r="A137" t="inlineStr">
        <is>
          <t>ALKEM</t>
        </is>
      </c>
      <c r="B137" t="inlineStr">
        <is>
          <t>Bull</t>
        </is>
      </c>
      <c r="C137" t="n">
        <v>5225.8</v>
      </c>
      <c r="D137" s="22" t="n">
        <v>45483</v>
      </c>
      <c r="E137" t="n">
        <v>5805.25</v>
      </c>
      <c r="F137" s="22" t="n">
        <v>45597</v>
      </c>
      <c r="G137" t="n">
        <v>11.08825442994374</v>
      </c>
    </row>
    <row r="138">
      <c r="A138" t="inlineStr">
        <is>
          <t>ALKEM</t>
        </is>
      </c>
      <c r="B138" t="inlineStr">
        <is>
          <t>Bear</t>
        </is>
      </c>
      <c r="C138" t="n">
        <v>4958.6</v>
      </c>
      <c r="D138" s="22" t="n">
        <v>45474</v>
      </c>
      <c r="E138" t="n">
        <v>5221.85</v>
      </c>
      <c r="F138" s="22" t="n">
        <v>45481</v>
      </c>
      <c r="G138" t="n">
        <v>-5.308958173678054</v>
      </c>
    </row>
    <row r="139">
      <c r="A139" t="inlineStr">
        <is>
          <t>ALKEM</t>
        </is>
      </c>
      <c r="B139" t="inlineStr">
        <is>
          <t>Bull</t>
        </is>
      </c>
      <c r="C139" t="n">
        <v>5158.35</v>
      </c>
      <c r="D139" s="22" t="n">
        <v>45463</v>
      </c>
      <c r="E139" t="n">
        <v>4923.6</v>
      </c>
      <c r="F139" s="22" t="n">
        <v>45470</v>
      </c>
      <c r="G139" t="n">
        <v>-4.550873825932711</v>
      </c>
    </row>
    <row r="140">
      <c r="A140" t="inlineStr">
        <is>
          <t>ALKEM</t>
        </is>
      </c>
      <c r="B140" t="inlineStr">
        <is>
          <t>Bear</t>
        </is>
      </c>
      <c r="C140" t="n">
        <v>5031.15</v>
      </c>
      <c r="D140" s="22" t="n">
        <v>45453</v>
      </c>
      <c r="E140" t="n">
        <v>5218.05</v>
      </c>
      <c r="F140" s="22" t="n">
        <v>45461</v>
      </c>
      <c r="G140" t="n">
        <v>-3.7148564443517</v>
      </c>
    </row>
    <row r="141">
      <c r="A141" t="inlineStr">
        <is>
          <t>ALKEM</t>
        </is>
      </c>
      <c r="B141" t="inlineStr">
        <is>
          <t>Bull</t>
        </is>
      </c>
      <c r="C141" t="n">
        <v>5210.45</v>
      </c>
      <c r="D141" s="22" t="n">
        <v>45425</v>
      </c>
      <c r="E141" t="n">
        <v>4854.6</v>
      </c>
      <c r="F141" s="22" t="n">
        <v>45449</v>
      </c>
      <c r="G141" t="n">
        <v>-6.829544473126112</v>
      </c>
    </row>
    <row r="142">
      <c r="A142" t="inlineStr">
        <is>
          <t>ALKEM</t>
        </is>
      </c>
      <c r="B142" t="inlineStr">
        <is>
          <t>Bear</t>
        </is>
      </c>
      <c r="C142" t="n">
        <v>4795.95</v>
      </c>
      <c r="D142" s="22" t="n">
        <v>45372</v>
      </c>
      <c r="E142" t="n">
        <v>5067.6</v>
      </c>
      <c r="F142" s="22" t="n">
        <v>45421</v>
      </c>
      <c r="G142" t="n">
        <v>-5.664154130047239</v>
      </c>
    </row>
    <row r="143">
      <c r="A143" t="inlineStr">
        <is>
          <t>ALKEM</t>
        </is>
      </c>
      <c r="B143" t="inlineStr">
        <is>
          <t>Bull</t>
        </is>
      </c>
      <c r="C143" t="n">
        <v>3808.95</v>
      </c>
      <c r="D143" s="22" t="n">
        <v>45233</v>
      </c>
      <c r="E143" t="n">
        <v>4871.8</v>
      </c>
      <c r="F143" s="22" t="n">
        <v>45370</v>
      </c>
      <c r="G143" t="n">
        <v>27.90401554234108</v>
      </c>
    </row>
    <row r="144">
      <c r="A144" t="inlineStr">
        <is>
          <t>ALKEM</t>
        </is>
      </c>
      <c r="B144" t="inlineStr">
        <is>
          <t>Bear</t>
        </is>
      </c>
      <c r="C144" t="n">
        <v>3630</v>
      </c>
      <c r="D144" s="22" t="n">
        <v>45180</v>
      </c>
      <c r="E144" t="n">
        <v>3717.65</v>
      </c>
      <c r="F144" s="22" t="n">
        <v>45231</v>
      </c>
      <c r="G144" t="n">
        <v>-2.41460055096419</v>
      </c>
    </row>
    <row r="145">
      <c r="A145" t="inlineStr">
        <is>
          <t>ALKEM</t>
        </is>
      </c>
      <c r="B145" t="inlineStr">
        <is>
          <t>Bull</t>
        </is>
      </c>
      <c r="C145" t="n">
        <v>3292.7</v>
      </c>
      <c r="D145" s="22" t="n">
        <v>44967</v>
      </c>
      <c r="E145" t="n">
        <v>3637.1</v>
      </c>
      <c r="F145" s="22" t="n">
        <v>45176</v>
      </c>
      <c r="G145" t="n">
        <v>10.45950132110426</v>
      </c>
    </row>
    <row r="146">
      <c r="A146" t="inlineStr">
        <is>
          <t>ARE&amp;M</t>
        </is>
      </c>
      <c r="B146" t="inlineStr">
        <is>
          <t>Bear</t>
        </is>
      </c>
      <c r="C146" t="n">
        <v>1424.3</v>
      </c>
      <c r="D146" s="22" t="n">
        <v>45545</v>
      </c>
      <c r="E146" t="n">
        <v>1189.9</v>
      </c>
      <c r="F146" s="22" t="n">
        <v>45660</v>
      </c>
      <c r="G146" t="n">
        <v>16.45720704907673</v>
      </c>
    </row>
    <row r="147">
      <c r="A147" t="inlineStr">
        <is>
          <t>ARE&amp;M</t>
        </is>
      </c>
      <c r="B147" t="inlineStr">
        <is>
          <t>Bull</t>
        </is>
      </c>
      <c r="C147" t="n">
        <v>891.35</v>
      </c>
      <c r="D147" s="22" t="n">
        <v>45394</v>
      </c>
      <c r="E147" t="n">
        <v>1417.65</v>
      </c>
      <c r="F147" s="22" t="n">
        <v>45541</v>
      </c>
      <c r="G147" t="n">
        <v>59.04526841308129</v>
      </c>
    </row>
    <row r="148">
      <c r="A148" t="inlineStr">
        <is>
          <t>ARE&amp;M</t>
        </is>
      </c>
      <c r="B148" t="inlineStr">
        <is>
          <t>Bear</t>
        </is>
      </c>
      <c r="C148" t="n">
        <v>756.15</v>
      </c>
      <c r="D148" s="22" t="n">
        <v>45372</v>
      </c>
      <c r="E148" t="n">
        <v>897.5</v>
      </c>
      <c r="F148" s="22" t="n">
        <v>45391</v>
      </c>
      <c r="G148" t="n">
        <v>-18.69338094293461</v>
      </c>
    </row>
    <row r="149">
      <c r="A149" t="inlineStr">
        <is>
          <t>ARE&amp;M</t>
        </is>
      </c>
      <c r="B149" t="inlineStr">
        <is>
          <t>Bull</t>
        </is>
      </c>
      <c r="C149" t="n">
        <v>650.8</v>
      </c>
      <c r="D149" s="22" t="n">
        <v>45252</v>
      </c>
      <c r="E149" t="n">
        <v>770.55</v>
      </c>
      <c r="F149" s="22" t="n">
        <v>45370</v>
      </c>
      <c r="G149" t="n">
        <v>18.40043023970498</v>
      </c>
    </row>
    <row r="150">
      <c r="A150" t="inlineStr">
        <is>
          <t>ARE&amp;M</t>
        </is>
      </c>
      <c r="B150" t="inlineStr">
        <is>
          <t>Bear</t>
        </is>
      </c>
      <c r="C150" t="n">
        <v>610.7</v>
      </c>
      <c r="D150" s="22" t="n">
        <v>45224</v>
      </c>
      <c r="E150" t="n">
        <v>640.75</v>
      </c>
      <c r="F150" s="22" t="n">
        <v>45250</v>
      </c>
      <c r="G150" t="n">
        <v>-4.920582937612568</v>
      </c>
    </row>
    <row r="151">
      <c r="A151" t="inlineStr">
        <is>
          <t>ARE&amp;M</t>
        </is>
      </c>
      <c r="B151" t="inlineStr">
        <is>
          <t>Bull</t>
        </is>
      </c>
      <c r="C151" t="n">
        <v>656.2</v>
      </c>
      <c r="D151" s="22" t="n">
        <v>45177</v>
      </c>
      <c r="E151" t="n">
        <v>628.05</v>
      </c>
      <c r="F151" s="22" t="n">
        <v>45219</v>
      </c>
      <c r="G151" t="n">
        <v>-4.289850655288036</v>
      </c>
    </row>
    <row r="152">
      <c r="A152" t="inlineStr">
        <is>
          <t>ARE&amp;M</t>
        </is>
      </c>
      <c r="B152" t="inlineStr">
        <is>
          <t>Bear</t>
        </is>
      </c>
      <c r="C152" t="n">
        <v>626</v>
      </c>
      <c r="D152" s="22" t="n">
        <v>45145</v>
      </c>
      <c r="E152" t="n">
        <v>656.35</v>
      </c>
      <c r="F152" s="22" t="n">
        <v>45175</v>
      </c>
      <c r="G152" t="n">
        <v>-4.848242811501601</v>
      </c>
    </row>
    <row r="153">
      <c r="A153" t="inlineStr">
        <is>
          <t>ARE&amp;M</t>
        </is>
      </c>
      <c r="B153" t="inlineStr">
        <is>
          <t>Bull</t>
        </is>
      </c>
      <c r="C153" t="n">
        <v>600.45</v>
      </c>
      <c r="D153" s="22" t="n">
        <v>45036</v>
      </c>
      <c r="E153" t="n">
        <v>624.5</v>
      </c>
      <c r="F153" s="22" t="n">
        <v>45141</v>
      </c>
      <c r="G153" t="n">
        <v>4.005329336331077</v>
      </c>
    </row>
    <row r="154">
      <c r="A154" t="inlineStr">
        <is>
          <t>AMBUJACEM</t>
        </is>
      </c>
      <c r="B154" t="inlineStr">
        <is>
          <t>Bear</t>
        </is>
      </c>
      <c r="C154" t="n">
        <v>624.4</v>
      </c>
      <c r="D154" s="22" t="n">
        <v>45517</v>
      </c>
      <c r="E154" t="n">
        <v>548.7</v>
      </c>
      <c r="F154" s="22" t="n">
        <v>45660</v>
      </c>
      <c r="G154" t="n">
        <v>12.12363869314541</v>
      </c>
    </row>
    <row r="155">
      <c r="A155" t="inlineStr">
        <is>
          <t>AMBUJACEM</t>
        </is>
      </c>
      <c r="B155" t="inlineStr">
        <is>
          <t>Bull</t>
        </is>
      </c>
      <c r="C155" t="n">
        <v>509.05</v>
      </c>
      <c r="D155" s="22" t="n">
        <v>45265</v>
      </c>
      <c r="E155" t="n">
        <v>632</v>
      </c>
      <c r="F155" s="22" t="n">
        <v>45513</v>
      </c>
      <c r="G155" t="n">
        <v>24.15283370985168</v>
      </c>
    </row>
    <row r="156">
      <c r="A156" t="inlineStr">
        <is>
          <t>AMBUJACEM</t>
        </is>
      </c>
      <c r="B156" t="inlineStr">
        <is>
          <t>Bear</t>
        </is>
      </c>
      <c r="C156" t="n">
        <v>426.1</v>
      </c>
      <c r="D156" s="22" t="n">
        <v>45190</v>
      </c>
      <c r="E156" t="n">
        <v>442</v>
      </c>
      <c r="F156" s="22" t="n">
        <v>45261</v>
      </c>
      <c r="G156" t="n">
        <v>-3.731518422905416</v>
      </c>
    </row>
    <row r="157">
      <c r="A157" t="inlineStr">
        <is>
          <t>AMBUJACEM</t>
        </is>
      </c>
      <c r="B157" t="inlineStr">
        <is>
          <t>Bull</t>
        </is>
      </c>
      <c r="C157" t="n">
        <v>454</v>
      </c>
      <c r="D157" s="22" t="n">
        <v>45135</v>
      </c>
      <c r="E157" t="n">
        <v>436.65</v>
      </c>
      <c r="F157" s="22" t="n">
        <v>45187</v>
      </c>
      <c r="G157" t="n">
        <v>-3.821585903083705</v>
      </c>
    </row>
    <row r="158">
      <c r="A158" t="inlineStr">
        <is>
          <t>AMBUJACEM</t>
        </is>
      </c>
      <c r="B158" t="inlineStr">
        <is>
          <t>Bear</t>
        </is>
      </c>
      <c r="C158" t="n">
        <v>416.2</v>
      </c>
      <c r="D158" s="22" t="n">
        <v>45128</v>
      </c>
      <c r="E158" t="n">
        <v>444.5</v>
      </c>
      <c r="F158" s="22" t="n">
        <v>45133</v>
      </c>
      <c r="G158" t="n">
        <v>-6.799615569437774</v>
      </c>
    </row>
    <row r="159">
      <c r="A159" t="inlineStr">
        <is>
          <t>AMBUJACEM</t>
        </is>
      </c>
      <c r="B159" t="inlineStr">
        <is>
          <t>Bull</t>
        </is>
      </c>
      <c r="C159" t="n">
        <v>408.3</v>
      </c>
      <c r="D159" s="22" t="n">
        <v>45056</v>
      </c>
      <c r="E159" t="n">
        <v>419.35</v>
      </c>
      <c r="F159" s="22" t="n">
        <v>45126</v>
      </c>
      <c r="G159" t="n">
        <v>2.706343374969388</v>
      </c>
    </row>
    <row r="160">
      <c r="A160" t="inlineStr">
        <is>
          <t>AWHCL</t>
        </is>
      </c>
      <c r="B160" t="inlineStr">
        <is>
          <t>Bear</t>
        </is>
      </c>
      <c r="C160" t="n">
        <v>612.95</v>
      </c>
      <c r="D160" s="22" t="n">
        <v>45614</v>
      </c>
      <c r="E160" t="n">
        <v>635.5</v>
      </c>
      <c r="F160" s="22" t="n">
        <v>45660</v>
      </c>
      <c r="G160" t="n">
        <v>-3.67892976588628</v>
      </c>
    </row>
    <row r="161">
      <c r="A161" t="inlineStr">
        <is>
          <t>AWHCL</t>
        </is>
      </c>
      <c r="B161" t="inlineStr">
        <is>
          <t>Bull</t>
        </is>
      </c>
      <c r="C161" t="n">
        <v>538.65</v>
      </c>
      <c r="D161" s="22" t="n">
        <v>45474</v>
      </c>
      <c r="E161" t="n">
        <v>616.95</v>
      </c>
      <c r="F161" s="22" t="n">
        <v>45609</v>
      </c>
      <c r="G161" t="n">
        <v>14.53634085213034</v>
      </c>
    </row>
    <row r="162">
      <c r="A162" t="inlineStr">
        <is>
          <t>AWHCL</t>
        </is>
      </c>
      <c r="B162" t="inlineStr">
        <is>
          <t>Bear</t>
        </is>
      </c>
      <c r="C162" t="n">
        <v>470.25</v>
      </c>
      <c r="D162" s="22" t="n">
        <v>45422</v>
      </c>
      <c r="E162" t="n">
        <v>512.05</v>
      </c>
      <c r="F162" s="22" t="n">
        <v>45470</v>
      </c>
      <c r="G162" t="n">
        <v>-8.888888888888879</v>
      </c>
    </row>
    <row r="163">
      <c r="A163" t="inlineStr">
        <is>
          <t>AWHCL</t>
        </is>
      </c>
      <c r="B163" t="inlineStr">
        <is>
          <t>Bull</t>
        </is>
      </c>
      <c r="C163" t="n">
        <v>505.8</v>
      </c>
      <c r="D163" s="22" t="n">
        <v>45394</v>
      </c>
      <c r="E163" t="n">
        <v>484.35</v>
      </c>
      <c r="F163" s="22" t="n">
        <v>45420</v>
      </c>
      <c r="G163" t="n">
        <v>-4.240806642941871</v>
      </c>
    </row>
    <row r="164">
      <c r="A164" t="inlineStr">
        <is>
          <t>AWHCL</t>
        </is>
      </c>
      <c r="B164" t="inlineStr">
        <is>
          <t>Bear</t>
        </is>
      </c>
      <c r="C164" t="n">
        <v>444.2</v>
      </c>
      <c r="D164" s="22" t="n">
        <v>45364</v>
      </c>
      <c r="E164" t="n">
        <v>524.95</v>
      </c>
      <c r="F164" s="22" t="n">
        <v>45391</v>
      </c>
      <c r="G164" t="n">
        <v>-18.17874831157138</v>
      </c>
    </row>
    <row r="165">
      <c r="A165" t="inlineStr">
        <is>
          <t>AWHCL</t>
        </is>
      </c>
      <c r="B165" t="inlineStr">
        <is>
          <t>Bull</t>
        </is>
      </c>
      <c r="C165" t="n">
        <v>337.2</v>
      </c>
      <c r="D165" s="22" t="n">
        <v>45103</v>
      </c>
      <c r="E165" t="n">
        <v>466.9</v>
      </c>
      <c r="F165" s="22" t="n">
        <v>45362</v>
      </c>
      <c r="G165" t="n">
        <v>38.4638196915777</v>
      </c>
    </row>
    <row r="166">
      <c r="A166" t="inlineStr">
        <is>
          <t>AWHCL</t>
        </is>
      </c>
      <c r="B166" t="inlineStr">
        <is>
          <t>Bear</t>
        </is>
      </c>
      <c r="C166" t="n">
        <v>249.05</v>
      </c>
      <c r="D166" s="22" t="n">
        <v>45077</v>
      </c>
      <c r="E166" t="n">
        <v>284.2</v>
      </c>
      <c r="F166" s="22" t="n">
        <v>45099</v>
      </c>
      <c r="G166" t="n">
        <v>-14.11363180084319</v>
      </c>
    </row>
    <row r="167">
      <c r="A167" t="inlineStr">
        <is>
          <t>AWHCL</t>
        </is>
      </c>
      <c r="B167" t="inlineStr">
        <is>
          <t>Bull</t>
        </is>
      </c>
      <c r="C167" t="n">
        <v>275.95</v>
      </c>
      <c r="D167" s="22" t="n">
        <v>45058</v>
      </c>
      <c r="E167" t="n">
        <v>251.4</v>
      </c>
      <c r="F167" s="22" t="n">
        <v>45075</v>
      </c>
      <c r="G167" t="n">
        <v>-8.89653922812103</v>
      </c>
    </row>
    <row r="168">
      <c r="A168" t="inlineStr">
        <is>
          <t>APOLLOHOSP</t>
        </is>
      </c>
      <c r="B168" t="inlineStr">
        <is>
          <t>Bull</t>
        </is>
      </c>
      <c r="C168" t="n">
        <v>7274.75</v>
      </c>
      <c r="D168" s="22" t="n">
        <v>45631</v>
      </c>
      <c r="E168" t="n">
        <v>7298.35</v>
      </c>
      <c r="F168" s="22" t="n">
        <v>45660</v>
      </c>
      <c r="G168" t="n">
        <v>0.3244097735317415</v>
      </c>
    </row>
    <row r="169">
      <c r="A169" t="inlineStr">
        <is>
          <t>APOLLOHOSP</t>
        </is>
      </c>
      <c r="B169" t="inlineStr">
        <is>
          <t>Bear</t>
        </is>
      </c>
      <c r="C169" t="n">
        <v>7065.8</v>
      </c>
      <c r="D169" s="22" t="n">
        <v>45628</v>
      </c>
      <c r="E169" t="n">
        <v>7126.55</v>
      </c>
      <c r="F169" s="22" t="n">
        <v>45629</v>
      </c>
      <c r="G169" t="n">
        <v>-0.8597752554558578</v>
      </c>
    </row>
    <row r="170">
      <c r="A170" t="inlineStr">
        <is>
          <t>APOLLOHOSP</t>
        </is>
      </c>
      <c r="B170" t="inlineStr">
        <is>
          <t>Bull</t>
        </is>
      </c>
      <c r="C170" t="n">
        <v>6175.85</v>
      </c>
      <c r="D170" s="22" t="n">
        <v>45463</v>
      </c>
      <c r="E170" t="n">
        <v>6841.1</v>
      </c>
      <c r="F170" s="22" t="n">
        <v>45624</v>
      </c>
      <c r="G170" t="n">
        <v>10.77179659480071</v>
      </c>
    </row>
    <row r="171">
      <c r="A171" t="inlineStr">
        <is>
          <t>APOLLOHOSP</t>
        </is>
      </c>
      <c r="B171" t="inlineStr">
        <is>
          <t>Bear</t>
        </is>
      </c>
      <c r="C171" t="n">
        <v>5958.55</v>
      </c>
      <c r="D171" s="22" t="n">
        <v>45414</v>
      </c>
      <c r="E171" t="n">
        <v>6236.35</v>
      </c>
      <c r="F171" s="22" t="n">
        <v>45461</v>
      </c>
      <c r="G171" t="n">
        <v>-4.662208087538079</v>
      </c>
    </row>
    <row r="172">
      <c r="A172" t="inlineStr">
        <is>
          <t>APOLLOHOSP</t>
        </is>
      </c>
      <c r="B172" t="inlineStr">
        <is>
          <t>Bull</t>
        </is>
      </c>
      <c r="C172" t="n">
        <v>5297.6</v>
      </c>
      <c r="D172" s="22" t="n">
        <v>45239</v>
      </c>
      <c r="E172" t="n">
        <v>5968.35</v>
      </c>
      <c r="F172" s="22" t="n">
        <v>45411</v>
      </c>
      <c r="G172" t="n">
        <v>12.66139383871942</v>
      </c>
    </row>
    <row r="173">
      <c r="A173" t="inlineStr">
        <is>
          <t>APOLLOHOSP</t>
        </is>
      </c>
      <c r="B173" t="inlineStr">
        <is>
          <t>Bear</t>
        </is>
      </c>
      <c r="C173" t="n">
        <v>4760.3</v>
      </c>
      <c r="D173" s="22" t="n">
        <v>45225</v>
      </c>
      <c r="E173" t="n">
        <v>5136.85</v>
      </c>
      <c r="F173" s="22" t="n">
        <v>45237</v>
      </c>
      <c r="G173" t="n">
        <v>-7.910215742705295</v>
      </c>
    </row>
    <row r="174">
      <c r="A174" t="inlineStr">
        <is>
          <t>APOLLOHOSP</t>
        </is>
      </c>
      <c r="B174" t="inlineStr">
        <is>
          <t>Bull</t>
        </is>
      </c>
      <c r="C174" t="n">
        <v>5075.15</v>
      </c>
      <c r="D174" s="22" t="n">
        <v>45187</v>
      </c>
      <c r="E174" t="n">
        <v>4970</v>
      </c>
      <c r="F174" s="22" t="n">
        <v>45222</v>
      </c>
      <c r="G174" t="n">
        <v>-2.071859945026248</v>
      </c>
    </row>
    <row r="175">
      <c r="A175" t="inlineStr">
        <is>
          <t>APOLLOHOSP</t>
        </is>
      </c>
      <c r="B175" t="inlineStr">
        <is>
          <t>Bear</t>
        </is>
      </c>
      <c r="C175" t="n">
        <v>4927</v>
      </c>
      <c r="D175" s="22" t="n">
        <v>45159</v>
      </c>
      <c r="E175" t="n">
        <v>5084.55</v>
      </c>
      <c r="F175" s="22" t="n">
        <v>45183</v>
      </c>
      <c r="G175" t="n">
        <v>-3.197686218794402</v>
      </c>
    </row>
    <row r="176">
      <c r="A176" t="inlineStr">
        <is>
          <t>APOLLOHOSP</t>
        </is>
      </c>
      <c r="B176" t="inlineStr">
        <is>
          <t>Bull</t>
        </is>
      </c>
      <c r="C176" t="n">
        <v>4490.8</v>
      </c>
      <c r="D176" s="22" t="n">
        <v>45048</v>
      </c>
      <c r="E176" t="n">
        <v>4886</v>
      </c>
      <c r="F176" s="22" t="n">
        <v>45155</v>
      </c>
      <c r="G176" t="n">
        <v>8.800213770374985</v>
      </c>
    </row>
    <row r="177">
      <c r="A177" t="inlineStr">
        <is>
          <t>APOLLOTYRE</t>
        </is>
      </c>
      <c r="B177" t="inlineStr">
        <is>
          <t>Bull</t>
        </is>
      </c>
      <c r="C177" t="n">
        <v>540.45</v>
      </c>
      <c r="D177" s="22" t="n">
        <v>45631</v>
      </c>
      <c r="E177" t="n">
        <v>511.95</v>
      </c>
      <c r="F177" s="22" t="n">
        <v>45660</v>
      </c>
      <c r="G177" t="n">
        <v>-5.273383291701371</v>
      </c>
    </row>
    <row r="178">
      <c r="A178" t="inlineStr">
        <is>
          <t>APOLLOTYRE</t>
        </is>
      </c>
      <c r="B178" t="inlineStr">
        <is>
          <t>Bear</t>
        </is>
      </c>
      <c r="C178" t="n">
        <v>505.75</v>
      </c>
      <c r="D178" s="22" t="n">
        <v>45583</v>
      </c>
      <c r="E178" t="n">
        <v>521.45</v>
      </c>
      <c r="F178" s="22" t="n">
        <v>45629</v>
      </c>
      <c r="G178" t="n">
        <v>-3.104300543746919</v>
      </c>
    </row>
    <row r="179">
      <c r="A179" t="inlineStr">
        <is>
          <t>APOLLOTYRE</t>
        </is>
      </c>
      <c r="B179" t="inlineStr">
        <is>
          <t>Bull</t>
        </is>
      </c>
      <c r="C179" t="n">
        <v>526.35</v>
      </c>
      <c r="D179" s="22" t="n">
        <v>45551</v>
      </c>
      <c r="E179" t="n">
        <v>518.8</v>
      </c>
      <c r="F179" s="22" t="n">
        <v>45581</v>
      </c>
      <c r="G179" t="n">
        <v>-1.434406763560381</v>
      </c>
    </row>
    <row r="180">
      <c r="A180" t="inlineStr">
        <is>
          <t>APOLLOTYRE</t>
        </is>
      </c>
      <c r="B180" t="inlineStr">
        <is>
          <t>Bear</t>
        </is>
      </c>
      <c r="C180" t="n">
        <v>483</v>
      </c>
      <c r="D180" s="22" t="n">
        <v>45523</v>
      </c>
      <c r="E180" t="n">
        <v>518.05</v>
      </c>
      <c r="F180" s="22" t="n">
        <v>45547</v>
      </c>
      <c r="G180" t="n">
        <v>-7.2567287784679</v>
      </c>
    </row>
    <row r="181">
      <c r="A181" t="inlineStr">
        <is>
          <t>APOLLOTYRE</t>
        </is>
      </c>
      <c r="B181" t="inlineStr">
        <is>
          <t>Bull</t>
        </is>
      </c>
      <c r="C181" t="n">
        <v>499.15</v>
      </c>
      <c r="D181" s="22" t="n">
        <v>45467</v>
      </c>
      <c r="E181" t="n">
        <v>486.4</v>
      </c>
      <c r="F181" s="22" t="n">
        <v>45518</v>
      </c>
      <c r="G181" t="n">
        <v>-2.554342382049484</v>
      </c>
    </row>
    <row r="182">
      <c r="A182" t="inlineStr">
        <is>
          <t>APOLLOTYRE</t>
        </is>
      </c>
      <c r="B182" t="inlineStr">
        <is>
          <t>Bear</t>
        </is>
      </c>
      <c r="C182" t="n">
        <v>474.15</v>
      </c>
      <c r="D182" s="22" t="n">
        <v>45426</v>
      </c>
      <c r="E182" t="n">
        <v>494.05</v>
      </c>
      <c r="F182" s="22" t="n">
        <v>45463</v>
      </c>
      <c r="G182" t="n">
        <v>-4.196984076768962</v>
      </c>
    </row>
    <row r="183">
      <c r="A183" t="inlineStr">
        <is>
          <t>APOLLOTYRE</t>
        </is>
      </c>
      <c r="B183" t="inlineStr">
        <is>
          <t>Bull</t>
        </is>
      </c>
      <c r="C183" t="n">
        <v>502.55</v>
      </c>
      <c r="D183" s="22" t="n">
        <v>45415</v>
      </c>
      <c r="E183" t="n">
        <v>480.75</v>
      </c>
      <c r="F183" s="22" t="n">
        <v>45422</v>
      </c>
      <c r="G183" t="n">
        <v>-4.337876828176303</v>
      </c>
    </row>
    <row r="184">
      <c r="A184" t="inlineStr">
        <is>
          <t>APOLLOTYRE</t>
        </is>
      </c>
      <c r="B184" t="inlineStr">
        <is>
          <t>Bear</t>
        </is>
      </c>
      <c r="C184" t="n">
        <v>461</v>
      </c>
      <c r="D184" s="22" t="n">
        <v>45372</v>
      </c>
      <c r="E184" t="n">
        <v>510.1</v>
      </c>
      <c r="F184" s="22" t="n">
        <v>45412</v>
      </c>
      <c r="G184" t="n">
        <v>-10.65075921908894</v>
      </c>
    </row>
    <row r="185">
      <c r="A185" t="inlineStr">
        <is>
          <t>APOLLOTYRE</t>
        </is>
      </c>
      <c r="B185" t="inlineStr">
        <is>
          <t>Bull</t>
        </is>
      </c>
      <c r="C185" t="n">
        <v>418.7</v>
      </c>
      <c r="D185" s="22" t="n">
        <v>45240</v>
      </c>
      <c r="E185" t="n">
        <v>454.95</v>
      </c>
      <c r="F185" s="22" t="n">
        <v>45370</v>
      </c>
      <c r="G185" t="n">
        <v>8.657750179125866</v>
      </c>
    </row>
    <row r="186">
      <c r="A186" t="inlineStr">
        <is>
          <t>APOLLOTYRE</t>
        </is>
      </c>
      <c r="B186" t="inlineStr">
        <is>
          <t>Bear</t>
        </is>
      </c>
      <c r="C186" t="n">
        <v>388.35</v>
      </c>
      <c r="D186" s="22" t="n">
        <v>45163</v>
      </c>
      <c r="E186" t="n">
        <v>410.3</v>
      </c>
      <c r="F186" s="22" t="n">
        <v>45238</v>
      </c>
      <c r="G186" t="n">
        <v>-5.652117934852578</v>
      </c>
    </row>
    <row r="187">
      <c r="A187" t="inlineStr">
        <is>
          <t>APOLLOTYRE</t>
        </is>
      </c>
      <c r="B187" t="inlineStr">
        <is>
          <t>Bull</t>
        </is>
      </c>
      <c r="C187" t="n">
        <v>324.15</v>
      </c>
      <c r="D187" s="22" t="n">
        <v>45029</v>
      </c>
      <c r="E187" t="n">
        <v>393.7</v>
      </c>
      <c r="F187" s="22" t="n">
        <v>45161</v>
      </c>
      <c r="G187" t="n">
        <v>21.45611599568102</v>
      </c>
    </row>
    <row r="188">
      <c r="A188" t="inlineStr">
        <is>
          <t>APTECHT</t>
        </is>
      </c>
      <c r="B188" t="inlineStr">
        <is>
          <t>Bear</t>
        </is>
      </c>
      <c r="C188" t="n">
        <v>220.48</v>
      </c>
      <c r="D188" s="22" t="n">
        <v>45560</v>
      </c>
      <c r="E188" t="n">
        <v>183.47</v>
      </c>
      <c r="F188" s="22" t="n">
        <v>45660</v>
      </c>
      <c r="G188" t="n">
        <v>16.7861030478955</v>
      </c>
    </row>
    <row r="189">
      <c r="A189" t="inlineStr">
        <is>
          <t>APTECHT</t>
        </is>
      </c>
      <c r="B189" t="inlineStr">
        <is>
          <t>Bull</t>
        </is>
      </c>
      <c r="C189" t="n">
        <v>242.22</v>
      </c>
      <c r="D189" s="22" t="n">
        <v>45530</v>
      </c>
      <c r="E189" t="n">
        <v>218.44</v>
      </c>
      <c r="F189" s="22" t="n">
        <v>45558</v>
      </c>
      <c r="G189" t="n">
        <v>-9.81752126166295</v>
      </c>
    </row>
    <row r="190">
      <c r="A190" t="inlineStr">
        <is>
          <t>APTECHT</t>
        </is>
      </c>
      <c r="B190" t="inlineStr">
        <is>
          <t>Bear</t>
        </is>
      </c>
      <c r="C190" t="n">
        <v>218.6</v>
      </c>
      <c r="D190" s="22" t="n">
        <v>45425</v>
      </c>
      <c r="E190" t="n">
        <v>230.55</v>
      </c>
      <c r="F190" s="22" t="n">
        <v>45526</v>
      </c>
      <c r="G190" t="n">
        <v>-5.466605672461124</v>
      </c>
    </row>
    <row r="191">
      <c r="A191" t="inlineStr">
        <is>
          <t>APTECHT</t>
        </is>
      </c>
      <c r="B191" t="inlineStr">
        <is>
          <t>Bull</t>
        </is>
      </c>
      <c r="C191" t="n">
        <v>251.85</v>
      </c>
      <c r="D191" s="22" t="n">
        <v>45411</v>
      </c>
      <c r="E191" t="n">
        <v>229.8</v>
      </c>
      <c r="F191" s="22" t="n">
        <v>45421</v>
      </c>
      <c r="G191" t="n">
        <v>-8.755211435378195</v>
      </c>
    </row>
    <row r="192">
      <c r="A192" t="inlineStr">
        <is>
          <t>APTECHT</t>
        </is>
      </c>
      <c r="B192" t="inlineStr">
        <is>
          <t>Bear</t>
        </is>
      </c>
      <c r="C192" t="n">
        <v>239.75</v>
      </c>
      <c r="D192" s="22" t="n">
        <v>45330</v>
      </c>
      <c r="E192" t="n">
        <v>254.25</v>
      </c>
      <c r="F192" s="22" t="n">
        <v>45407</v>
      </c>
      <c r="G192" t="n">
        <v>-6.047966631908238</v>
      </c>
    </row>
    <row r="193">
      <c r="A193" t="inlineStr">
        <is>
          <t>APTECHT</t>
        </is>
      </c>
      <c r="B193" t="inlineStr">
        <is>
          <t>Bull</t>
        </is>
      </c>
      <c r="C193" t="n">
        <v>280.25</v>
      </c>
      <c r="D193" s="22" t="n">
        <v>45296</v>
      </c>
      <c r="E193" t="n">
        <v>268.3</v>
      </c>
      <c r="F193" s="22" t="n">
        <v>45328</v>
      </c>
      <c r="G193" t="n">
        <v>-4.264049955396963</v>
      </c>
    </row>
    <row r="194">
      <c r="A194" t="inlineStr">
        <is>
          <t>APTECHT</t>
        </is>
      </c>
      <c r="B194" t="inlineStr">
        <is>
          <t>Bear</t>
        </is>
      </c>
      <c r="C194" t="n">
        <v>325.65</v>
      </c>
      <c r="D194" s="22" t="n">
        <v>45135</v>
      </c>
      <c r="E194" t="n">
        <v>281.5</v>
      </c>
      <c r="F194" s="22" t="n">
        <v>45294</v>
      </c>
      <c r="G194" t="n">
        <v>13.55750038384768</v>
      </c>
    </row>
    <row r="195">
      <c r="A195" t="inlineStr">
        <is>
          <t>APTECHT</t>
        </is>
      </c>
      <c r="B195" t="inlineStr">
        <is>
          <t>Bull</t>
        </is>
      </c>
      <c r="C195" t="n">
        <v>293.75</v>
      </c>
      <c r="D195" s="22" t="n">
        <v>45022</v>
      </c>
      <c r="E195" t="n">
        <v>323.4</v>
      </c>
      <c r="F195" s="22" t="n">
        <v>45133</v>
      </c>
      <c r="G195" t="n">
        <v>10.09361702127659</v>
      </c>
    </row>
    <row r="196">
      <c r="A196" t="inlineStr">
        <is>
          <t>APTUS</t>
        </is>
      </c>
      <c r="B196" t="inlineStr">
        <is>
          <t>Bear</t>
        </is>
      </c>
      <c r="C196" t="n">
        <v>317.15</v>
      </c>
      <c r="D196" s="22" t="n">
        <v>45609</v>
      </c>
      <c r="E196" t="n">
        <v>296.9</v>
      </c>
      <c r="F196" s="22" t="n">
        <v>45660</v>
      </c>
      <c r="G196" t="n">
        <v>6.384991329024121</v>
      </c>
    </row>
    <row r="197">
      <c r="A197" t="inlineStr">
        <is>
          <t>APTUS</t>
        </is>
      </c>
      <c r="B197" t="inlineStr">
        <is>
          <t>Bull</t>
        </is>
      </c>
      <c r="C197" t="n">
        <v>323.65</v>
      </c>
      <c r="D197" s="22" t="n">
        <v>45547</v>
      </c>
      <c r="E197" t="n">
        <v>332.6</v>
      </c>
      <c r="F197" s="22" t="n">
        <v>45607</v>
      </c>
      <c r="G197" t="n">
        <v>2.765332921365687</v>
      </c>
    </row>
    <row r="198">
      <c r="A198" t="inlineStr">
        <is>
          <t>APTUS</t>
        </is>
      </c>
      <c r="B198" t="inlineStr">
        <is>
          <t>Bear</t>
        </is>
      </c>
      <c r="C198" t="n">
        <v>319.85</v>
      </c>
      <c r="D198" s="22" t="n">
        <v>45499</v>
      </c>
      <c r="E198" t="n">
        <v>322.5</v>
      </c>
      <c r="F198" s="22" t="n">
        <v>45545</v>
      </c>
      <c r="G198" t="n">
        <v>-0.8285133656401366</v>
      </c>
    </row>
    <row r="199">
      <c r="A199" t="inlineStr">
        <is>
          <t>APTUS</t>
        </is>
      </c>
      <c r="B199" t="inlineStr">
        <is>
          <t>Bull</t>
        </is>
      </c>
      <c r="C199" t="n">
        <v>343.6</v>
      </c>
      <c r="D199" s="22" t="n">
        <v>45461</v>
      </c>
      <c r="E199" t="n">
        <v>320.1</v>
      </c>
      <c r="F199" s="22" t="n">
        <v>45497</v>
      </c>
      <c r="G199" t="n">
        <v>-6.839348079161815</v>
      </c>
    </row>
    <row r="200">
      <c r="A200" t="inlineStr">
        <is>
          <t>APTUS</t>
        </is>
      </c>
      <c r="B200" t="inlineStr">
        <is>
          <t>Bear</t>
        </is>
      </c>
      <c r="C200" t="n">
        <v>318</v>
      </c>
      <c r="D200" s="22" t="n">
        <v>45365</v>
      </c>
      <c r="E200" t="n">
        <v>344.4</v>
      </c>
      <c r="F200" s="22" t="n">
        <v>45456</v>
      </c>
      <c r="G200" t="n">
        <v>-8.301886792452823</v>
      </c>
    </row>
    <row r="201">
      <c r="A201" t="inlineStr">
        <is>
          <t>APTUS</t>
        </is>
      </c>
      <c r="B201" t="inlineStr">
        <is>
          <t>Bull</t>
        </is>
      </c>
      <c r="C201" t="n">
        <v>266.55</v>
      </c>
      <c r="D201" s="22" t="n">
        <v>45125</v>
      </c>
      <c r="E201" t="n">
        <v>333.2</v>
      </c>
      <c r="F201" s="22" t="n">
        <v>45363</v>
      </c>
      <c r="G201" t="n">
        <v>25.00468955167885</v>
      </c>
    </row>
    <row r="202">
      <c r="A202" t="inlineStr">
        <is>
          <t>APTUS</t>
        </is>
      </c>
      <c r="B202" t="inlineStr">
        <is>
          <t>Bear</t>
        </is>
      </c>
      <c r="C202" t="n">
        <v>248.95</v>
      </c>
      <c r="D202" s="22" t="n">
        <v>45104</v>
      </c>
      <c r="E202" t="n">
        <v>284.3</v>
      </c>
      <c r="F202" s="22" t="n">
        <v>45121</v>
      </c>
      <c r="G202" t="n">
        <v>-14.19963848162283</v>
      </c>
    </row>
    <row r="203">
      <c r="A203" t="inlineStr">
        <is>
          <t>APTUS</t>
        </is>
      </c>
      <c r="B203" t="inlineStr">
        <is>
          <t>Bull</t>
        </is>
      </c>
      <c r="C203" t="n">
        <v>265.65</v>
      </c>
      <c r="D203" s="22" t="n">
        <v>45062</v>
      </c>
      <c r="E203" t="n">
        <v>244.9</v>
      </c>
      <c r="F203" s="22" t="n">
        <v>45100</v>
      </c>
      <c r="G203" t="n">
        <v>-7.811029550159974</v>
      </c>
    </row>
    <row r="204">
      <c r="A204" t="inlineStr">
        <is>
          <t>ACI</t>
        </is>
      </c>
      <c r="B204" t="inlineStr">
        <is>
          <t>Bear</t>
        </is>
      </c>
      <c r="C204" t="n">
        <v>655.35</v>
      </c>
      <c r="D204" s="22" t="n">
        <v>45646</v>
      </c>
      <c r="E204" t="n">
        <v>660.6</v>
      </c>
      <c r="F204" s="22" t="n">
        <v>45660</v>
      </c>
      <c r="G204" t="n">
        <v>-0.8010986495765621</v>
      </c>
    </row>
    <row r="205">
      <c r="A205" t="inlineStr">
        <is>
          <t>ACI</t>
        </is>
      </c>
      <c r="B205" t="inlineStr">
        <is>
          <t>Bull</t>
        </is>
      </c>
      <c r="C205" t="n">
        <v>688.7</v>
      </c>
      <c r="D205" s="22" t="n">
        <v>45624</v>
      </c>
      <c r="E205" t="n">
        <v>668.9</v>
      </c>
      <c r="F205" s="22" t="n">
        <v>45644</v>
      </c>
      <c r="G205" t="n">
        <v>-2.874981849862069</v>
      </c>
    </row>
    <row r="206">
      <c r="A206" t="inlineStr">
        <is>
          <t>ACI</t>
        </is>
      </c>
      <c r="B206" t="inlineStr">
        <is>
          <t>Bear</t>
        </is>
      </c>
      <c r="C206" t="n">
        <v>696.45</v>
      </c>
      <c r="D206" s="22" t="n">
        <v>45554</v>
      </c>
      <c r="E206" t="n">
        <v>708.55</v>
      </c>
      <c r="F206" s="22" t="n">
        <v>45622</v>
      </c>
      <c r="G206" t="n">
        <v>-1.737382439514669</v>
      </c>
    </row>
    <row r="207">
      <c r="A207" t="inlineStr">
        <is>
          <t>ACI</t>
        </is>
      </c>
      <c r="B207" t="inlineStr">
        <is>
          <t>Bull</t>
        </is>
      </c>
      <c r="C207" t="n">
        <v>696.7</v>
      </c>
      <c r="D207" s="22" t="n">
        <v>45464</v>
      </c>
      <c r="E207" t="n">
        <v>700.5</v>
      </c>
      <c r="F207" s="22" t="n">
        <v>45552</v>
      </c>
      <c r="G207" t="n">
        <v>0.5454284483995916</v>
      </c>
    </row>
    <row r="208">
      <c r="A208" t="inlineStr">
        <is>
          <t>ACI</t>
        </is>
      </c>
      <c r="B208" t="inlineStr">
        <is>
          <t>Bear</t>
        </is>
      </c>
      <c r="C208" t="n">
        <v>629</v>
      </c>
      <c r="D208" s="22" t="n">
        <v>45419</v>
      </c>
      <c r="E208" t="n">
        <v>671.9</v>
      </c>
      <c r="F208" s="22" t="n">
        <v>45462</v>
      </c>
      <c r="G208" t="n">
        <v>-6.820349761526229</v>
      </c>
    </row>
    <row r="209">
      <c r="A209" t="inlineStr">
        <is>
          <t>ACI</t>
        </is>
      </c>
      <c r="B209" t="inlineStr">
        <is>
          <t>Bull</t>
        </is>
      </c>
      <c r="C209" t="n">
        <v>692.85</v>
      </c>
      <c r="D209" s="22" t="n">
        <v>45404</v>
      </c>
      <c r="E209" t="n">
        <v>657.7</v>
      </c>
      <c r="F209" s="22" t="n">
        <v>45415</v>
      </c>
      <c r="G209" t="n">
        <v>-5.073248177816263</v>
      </c>
    </row>
    <row r="210">
      <c r="A210" t="inlineStr">
        <is>
          <t>ACI</t>
        </is>
      </c>
      <c r="B210" t="inlineStr">
        <is>
          <t>Bear</t>
        </is>
      </c>
      <c r="C210" t="n">
        <v>605.85</v>
      </c>
      <c r="D210" s="22" t="n">
        <v>45371</v>
      </c>
      <c r="E210" t="n">
        <v>660</v>
      </c>
      <c r="F210" s="22" t="n">
        <v>45400</v>
      </c>
      <c r="G210" t="n">
        <v>-8.937855904926959</v>
      </c>
    </row>
    <row r="211">
      <c r="A211" t="inlineStr">
        <is>
          <t>ACI</t>
        </is>
      </c>
      <c r="B211" t="inlineStr">
        <is>
          <t>Bull</t>
        </is>
      </c>
      <c r="C211" t="n">
        <v>641.75</v>
      </c>
      <c r="D211" s="22" t="n">
        <v>45271</v>
      </c>
      <c r="E211" t="n">
        <v>614.4</v>
      </c>
      <c r="F211" s="22" t="n">
        <v>45369</v>
      </c>
      <c r="G211" t="n">
        <v>-4.261784183872228</v>
      </c>
    </row>
    <row r="212">
      <c r="A212" t="inlineStr">
        <is>
          <t>ACI</t>
        </is>
      </c>
      <c r="B212" t="inlineStr">
        <is>
          <t>Bear</t>
        </is>
      </c>
      <c r="C212" t="n">
        <v>521</v>
      </c>
      <c r="D212" s="22" t="n">
        <v>45233</v>
      </c>
      <c r="E212" t="n">
        <v>612.1</v>
      </c>
      <c r="F212" s="22" t="n">
        <v>45267</v>
      </c>
      <c r="G212" t="n">
        <v>-17.48560460652592</v>
      </c>
    </row>
    <row r="213">
      <c r="A213" t="inlineStr">
        <is>
          <t>ACI</t>
        </is>
      </c>
      <c r="B213" t="inlineStr">
        <is>
          <t>Bull</t>
        </is>
      </c>
      <c r="C213" t="n">
        <v>590</v>
      </c>
      <c r="D213" s="22" t="n">
        <v>45161</v>
      </c>
      <c r="E213" t="n">
        <v>548.7</v>
      </c>
      <c r="F213" s="22" t="n">
        <v>45231</v>
      </c>
      <c r="G213" t="n">
        <v>-6.999999999999992</v>
      </c>
    </row>
    <row r="214">
      <c r="A214" t="inlineStr">
        <is>
          <t>ARMANFIN</t>
        </is>
      </c>
      <c r="B214" t="inlineStr">
        <is>
          <t>Bear</t>
        </is>
      </c>
      <c r="C214" t="n">
        <v>2065.9</v>
      </c>
      <c r="D214" s="22" t="n">
        <v>45485</v>
      </c>
      <c r="E214" t="n">
        <v>1251.65</v>
      </c>
      <c r="F214" s="22" t="n">
        <v>45660</v>
      </c>
      <c r="G214" t="n">
        <v>39.41381480226536</v>
      </c>
    </row>
    <row r="215">
      <c r="A215" t="inlineStr">
        <is>
          <t>ARMANFIN</t>
        </is>
      </c>
      <c r="B215" t="inlineStr">
        <is>
          <t>Bull</t>
        </is>
      </c>
      <c r="C215" t="n">
        <v>2240.35</v>
      </c>
      <c r="D215" s="22" t="n">
        <v>45450</v>
      </c>
      <c r="E215" t="n">
        <v>2082.9</v>
      </c>
      <c r="F215" s="22" t="n">
        <v>45483</v>
      </c>
      <c r="G215" t="n">
        <v>-7.027919744682743</v>
      </c>
    </row>
    <row r="216">
      <c r="A216" t="inlineStr">
        <is>
          <t>ARMANFIN</t>
        </is>
      </c>
      <c r="B216" t="inlineStr">
        <is>
          <t>Bear</t>
        </is>
      </c>
      <c r="C216" t="n">
        <v>2079.4</v>
      </c>
      <c r="D216" s="22" t="n">
        <v>45448</v>
      </c>
      <c r="E216" t="n">
        <v>2079.4</v>
      </c>
      <c r="F216" s="22" t="n">
        <v>45448</v>
      </c>
      <c r="G216" t="n">
        <v>0</v>
      </c>
    </row>
    <row r="217">
      <c r="A217" t="inlineStr">
        <is>
          <t>ARMANFIN</t>
        </is>
      </c>
      <c r="B217" t="inlineStr">
        <is>
          <t>Bull</t>
        </is>
      </c>
      <c r="C217" t="n">
        <v>2089.7</v>
      </c>
      <c r="D217" s="22" t="n">
        <v>45439</v>
      </c>
      <c r="E217" t="n">
        <v>2001.45</v>
      </c>
      <c r="F217" s="22" t="n">
        <v>45446</v>
      </c>
      <c r="G217" t="n">
        <v>-4.223094224051289</v>
      </c>
    </row>
    <row r="218">
      <c r="A218" t="inlineStr">
        <is>
          <t>ARMANFIN</t>
        </is>
      </c>
      <c r="B218" t="inlineStr">
        <is>
          <t>Bear</t>
        </is>
      </c>
      <c r="C218" t="n">
        <v>2274.35</v>
      </c>
      <c r="D218" s="22" t="n">
        <v>45330</v>
      </c>
      <c r="E218" t="n">
        <v>2099.1</v>
      </c>
      <c r="F218" s="22" t="n">
        <v>45435</v>
      </c>
      <c r="G218" t="n">
        <v>7.705498274232199</v>
      </c>
    </row>
    <row r="219">
      <c r="A219" t="inlineStr">
        <is>
          <t>ARMANFIN</t>
        </is>
      </c>
      <c r="B219" t="inlineStr">
        <is>
          <t>Bull</t>
        </is>
      </c>
      <c r="C219" t="n">
        <v>2425</v>
      </c>
      <c r="D219" s="22" t="n">
        <v>45273</v>
      </c>
      <c r="E219" t="n">
        <v>2347</v>
      </c>
      <c r="F219" s="22" t="n">
        <v>45328</v>
      </c>
      <c r="G219" t="n">
        <v>-3.216494845360825</v>
      </c>
    </row>
    <row r="220">
      <c r="A220" t="inlineStr">
        <is>
          <t>ARMANFIN</t>
        </is>
      </c>
      <c r="B220" t="inlineStr">
        <is>
          <t>Bear</t>
        </is>
      </c>
      <c r="C220" t="n">
        <v>2158</v>
      </c>
      <c r="D220" s="22" t="n">
        <v>45239</v>
      </c>
      <c r="E220" t="n">
        <v>2304.1</v>
      </c>
      <c r="F220" s="22" t="n">
        <v>45271</v>
      </c>
      <c r="G220" t="n">
        <v>-6.77015755329008</v>
      </c>
    </row>
    <row r="221">
      <c r="A221" t="inlineStr">
        <is>
          <t>ARMANFIN</t>
        </is>
      </c>
      <c r="B221" t="inlineStr">
        <is>
          <t>Bull</t>
        </is>
      </c>
      <c r="C221" t="n">
        <v>1408.1</v>
      </c>
      <c r="D221" s="22" t="n">
        <v>45040</v>
      </c>
      <c r="E221" t="n">
        <v>2172</v>
      </c>
      <c r="F221" s="22" t="n">
        <v>45237</v>
      </c>
      <c r="G221" t="n">
        <v>54.25040835167958</v>
      </c>
    </row>
    <row r="222">
      <c r="A222" t="inlineStr">
        <is>
          <t>ASAHIINDIA</t>
        </is>
      </c>
      <c r="B222" t="inlineStr">
        <is>
          <t>Bull</t>
        </is>
      </c>
      <c r="C222" t="n">
        <v>791.2</v>
      </c>
      <c r="D222" s="22" t="n">
        <v>45636</v>
      </c>
      <c r="E222" t="n">
        <v>730.25</v>
      </c>
      <c r="F222" s="22" t="n">
        <v>45660</v>
      </c>
      <c r="G222" t="n">
        <v>-7.703488372093029</v>
      </c>
    </row>
    <row r="223">
      <c r="A223" t="inlineStr">
        <is>
          <t>ASAHIINDIA</t>
        </is>
      </c>
      <c r="B223" t="inlineStr">
        <is>
          <t>Bear</t>
        </is>
      </c>
      <c r="C223" t="n">
        <v>665.65</v>
      </c>
      <c r="D223" s="22" t="n">
        <v>45610</v>
      </c>
      <c r="E223" t="n">
        <v>749.15</v>
      </c>
      <c r="F223" s="22" t="n">
        <v>45632</v>
      </c>
      <c r="G223" t="n">
        <v>-12.54412979794186</v>
      </c>
    </row>
    <row r="224">
      <c r="A224" t="inlineStr">
        <is>
          <t>ASAHIINDIA</t>
        </is>
      </c>
      <c r="B224" t="inlineStr">
        <is>
          <t>Bull</t>
        </is>
      </c>
      <c r="C224" t="n">
        <v>684.25</v>
      </c>
      <c r="D224" s="22" t="n">
        <v>45540</v>
      </c>
      <c r="E224" t="n">
        <v>680.95</v>
      </c>
      <c r="F224" s="22" t="n">
        <v>45608</v>
      </c>
      <c r="G224" t="n">
        <v>-0.4822798684691201</v>
      </c>
    </row>
    <row r="225">
      <c r="A225" t="inlineStr">
        <is>
          <t>ASAHIINDIA</t>
        </is>
      </c>
      <c r="B225" t="inlineStr">
        <is>
          <t>Bear</t>
        </is>
      </c>
      <c r="C225" t="n">
        <v>638.45</v>
      </c>
      <c r="D225" s="22" t="n">
        <v>45520</v>
      </c>
      <c r="E225" t="n">
        <v>656.5</v>
      </c>
      <c r="F225" s="22" t="n">
        <v>45538</v>
      </c>
      <c r="G225" t="n">
        <v>-2.827159526979396</v>
      </c>
    </row>
    <row r="226">
      <c r="A226" t="inlineStr">
        <is>
          <t>ASAHIINDIA</t>
        </is>
      </c>
      <c r="B226" t="inlineStr">
        <is>
          <t>Bull</t>
        </is>
      </c>
      <c r="C226" t="n">
        <v>595.55</v>
      </c>
      <c r="D226" s="22" t="n">
        <v>45387</v>
      </c>
      <c r="E226" t="n">
        <v>616.4</v>
      </c>
      <c r="F226" s="22" t="n">
        <v>45517</v>
      </c>
      <c r="G226" t="n">
        <v>3.500965494081106</v>
      </c>
    </row>
    <row r="227">
      <c r="A227" t="inlineStr">
        <is>
          <t>ASAHIINDIA</t>
        </is>
      </c>
      <c r="B227" t="inlineStr">
        <is>
          <t>Bear</t>
        </is>
      </c>
      <c r="C227" t="n">
        <v>565.15</v>
      </c>
      <c r="D227" s="22" t="n">
        <v>45302</v>
      </c>
      <c r="E227" t="n">
        <v>559.25</v>
      </c>
      <c r="F227" s="22" t="n">
        <v>45385</v>
      </c>
      <c r="G227" t="n">
        <v>1.043970627267093</v>
      </c>
    </row>
    <row r="228">
      <c r="A228" t="inlineStr">
        <is>
          <t>ASAHIINDIA</t>
        </is>
      </c>
      <c r="B228" t="inlineStr">
        <is>
          <t>Bull</t>
        </is>
      </c>
      <c r="C228" t="n">
        <v>576</v>
      </c>
      <c r="D228" s="22" t="n">
        <v>45295</v>
      </c>
      <c r="E228" t="n">
        <v>551.85</v>
      </c>
      <c r="F228" s="22" t="n">
        <v>45300</v>
      </c>
      <c r="G228" t="n">
        <v>-4.192708333333329</v>
      </c>
    </row>
    <row r="229">
      <c r="A229" t="inlineStr">
        <is>
          <t>ASAHIINDIA</t>
        </is>
      </c>
      <c r="B229" t="inlineStr">
        <is>
          <t>Bear</t>
        </is>
      </c>
      <c r="C229" t="n">
        <v>561.55</v>
      </c>
      <c r="D229" s="22" t="n">
        <v>45232</v>
      </c>
      <c r="E229" t="n">
        <v>582.75</v>
      </c>
      <c r="F229" s="22" t="n">
        <v>45293</v>
      </c>
      <c r="G229" t="n">
        <v>-3.7752648918173</v>
      </c>
    </row>
    <row r="230">
      <c r="A230" t="inlineStr">
        <is>
          <t>ASAHIINDIA</t>
        </is>
      </c>
      <c r="B230" t="inlineStr">
        <is>
          <t>Bull</t>
        </is>
      </c>
      <c r="C230" t="n">
        <v>490</v>
      </c>
      <c r="D230" s="22" t="n">
        <v>45098</v>
      </c>
      <c r="E230" t="n">
        <v>559.1</v>
      </c>
      <c r="F230" s="22" t="n">
        <v>45230</v>
      </c>
      <c r="G230" t="n">
        <v>14.10204081632654</v>
      </c>
    </row>
    <row r="231">
      <c r="A231" t="inlineStr">
        <is>
          <t>ASAHIINDIA</t>
        </is>
      </c>
      <c r="B231" t="inlineStr">
        <is>
          <t>Bear</t>
        </is>
      </c>
      <c r="C231" t="n">
        <v>452.6</v>
      </c>
      <c r="D231" s="22" t="n">
        <v>45069</v>
      </c>
      <c r="E231" t="n">
        <v>487</v>
      </c>
      <c r="F231" s="22" t="n">
        <v>45096</v>
      </c>
      <c r="G231" t="n">
        <v>-7.600530269553685</v>
      </c>
    </row>
    <row r="232">
      <c r="A232" t="inlineStr">
        <is>
          <t>ASAHIINDIA</t>
        </is>
      </c>
      <c r="B232" t="inlineStr">
        <is>
          <t>Bull</t>
        </is>
      </c>
      <c r="C232" t="n">
        <v>500.1</v>
      </c>
      <c r="D232" s="22" t="n">
        <v>45057</v>
      </c>
      <c r="E232" t="n">
        <v>455.95</v>
      </c>
      <c r="F232" s="22" t="n">
        <v>45065</v>
      </c>
      <c r="G232" t="n">
        <v>-8.82823435312938</v>
      </c>
    </row>
    <row r="233">
      <c r="A233" t="inlineStr">
        <is>
          <t>ASIANPAINT</t>
        </is>
      </c>
      <c r="B233" t="inlineStr">
        <is>
          <t>Bear</t>
        </is>
      </c>
      <c r="C233" t="n">
        <v>3082.1</v>
      </c>
      <c r="D233" s="22" t="n">
        <v>45581</v>
      </c>
      <c r="E233" t="n">
        <v>2335.95</v>
      </c>
      <c r="F233" s="22" t="n">
        <v>45660</v>
      </c>
      <c r="G233" t="n">
        <v>24.20914311670614</v>
      </c>
    </row>
    <row r="234">
      <c r="A234" t="inlineStr">
        <is>
          <t>ASIANPAINT</t>
        </is>
      </c>
      <c r="B234" t="inlineStr">
        <is>
          <t>Bull</t>
        </is>
      </c>
      <c r="C234" t="n">
        <v>2927.7</v>
      </c>
      <c r="D234" s="22" t="n">
        <v>45450</v>
      </c>
      <c r="E234" t="n">
        <v>3039.15</v>
      </c>
      <c r="F234" s="22" t="n">
        <v>45579</v>
      </c>
      <c r="G234" t="n">
        <v>3.806742494108013</v>
      </c>
    </row>
    <row r="235">
      <c r="A235" t="inlineStr">
        <is>
          <t>ASIANPAINT</t>
        </is>
      </c>
      <c r="B235" t="inlineStr">
        <is>
          <t>Bear</t>
        </is>
      </c>
      <c r="C235" t="n">
        <v>2999.45</v>
      </c>
      <c r="D235" s="22" t="n">
        <v>45315</v>
      </c>
      <c r="E235" t="n">
        <v>2961.75</v>
      </c>
      <c r="F235" s="22" t="n">
        <v>45448</v>
      </c>
      <c r="G235" t="n">
        <v>1.256897097801258</v>
      </c>
    </row>
    <row r="236">
      <c r="A236" t="inlineStr">
        <is>
          <t>ASIANPAINT</t>
        </is>
      </c>
      <c r="B236" t="inlineStr">
        <is>
          <t>Bull</t>
        </is>
      </c>
      <c r="C236" t="n">
        <v>3252.55</v>
      </c>
      <c r="D236" s="22" t="n">
        <v>45266</v>
      </c>
      <c r="E236" t="n">
        <v>3138.8</v>
      </c>
      <c r="F236" s="22" t="n">
        <v>45311</v>
      </c>
      <c r="G236" t="n">
        <v>-3.497255999139136</v>
      </c>
    </row>
    <row r="237">
      <c r="A237" t="inlineStr">
        <is>
          <t>ASIANPAINT</t>
        </is>
      </c>
      <c r="B237" t="inlineStr">
        <is>
          <t>Bear</t>
        </is>
      </c>
      <c r="C237" t="n">
        <v>3184</v>
      </c>
      <c r="D237" s="22" t="n">
        <v>45159</v>
      </c>
      <c r="E237" t="n">
        <v>3194.55</v>
      </c>
      <c r="F237" s="22" t="n">
        <v>45264</v>
      </c>
      <c r="G237" t="n">
        <v>-0.3313442211055334</v>
      </c>
    </row>
    <row r="238">
      <c r="A238" t="inlineStr">
        <is>
          <t>ASIANPAINT</t>
        </is>
      </c>
      <c r="B238" t="inlineStr">
        <is>
          <t>Bull</t>
        </is>
      </c>
      <c r="C238" t="n">
        <v>2899.95</v>
      </c>
      <c r="D238" s="22" t="n">
        <v>45043</v>
      </c>
      <c r="E238" t="n">
        <v>3180.3</v>
      </c>
      <c r="F238" s="22" t="n">
        <v>45155</v>
      </c>
      <c r="G238" t="n">
        <v>9.667408058759646</v>
      </c>
    </row>
    <row r="239">
      <c r="A239" t="inlineStr">
        <is>
          <t>ASTRAMICRO</t>
        </is>
      </c>
      <c r="B239" t="inlineStr">
        <is>
          <t>Bear</t>
        </is>
      </c>
      <c r="C239" t="n">
        <v>767.5</v>
      </c>
      <c r="D239" s="22" t="n">
        <v>45657</v>
      </c>
      <c r="E239" t="n">
        <v>788.45</v>
      </c>
      <c r="F239" s="22" t="n">
        <v>45660</v>
      </c>
      <c r="G239" t="n">
        <v>-2.729641693811081</v>
      </c>
    </row>
    <row r="240">
      <c r="A240" t="inlineStr">
        <is>
          <t>ASTRAMICRO</t>
        </is>
      </c>
      <c r="B240" t="inlineStr">
        <is>
          <t>Bull</t>
        </is>
      </c>
      <c r="C240" t="n">
        <v>829.45</v>
      </c>
      <c r="D240" s="22" t="n">
        <v>45644</v>
      </c>
      <c r="E240" t="n">
        <v>774.55</v>
      </c>
      <c r="F240" s="22" t="n">
        <v>45653</v>
      </c>
      <c r="G240" t="n">
        <v>-6.618843812164698</v>
      </c>
    </row>
    <row r="241">
      <c r="A241" t="inlineStr">
        <is>
          <t>ASTRAMICRO</t>
        </is>
      </c>
      <c r="B241" t="inlineStr">
        <is>
          <t>Bear</t>
        </is>
      </c>
      <c r="C241" t="n">
        <v>862.45</v>
      </c>
      <c r="D241" s="22" t="n">
        <v>45568</v>
      </c>
      <c r="E241" t="n">
        <v>853.15</v>
      </c>
      <c r="F241" s="22" t="n">
        <v>45642</v>
      </c>
      <c r="G241" t="n">
        <v>1.078323381065577</v>
      </c>
    </row>
    <row r="242">
      <c r="A242" t="inlineStr">
        <is>
          <t>ASTRAMICRO</t>
        </is>
      </c>
      <c r="B242" t="inlineStr">
        <is>
          <t>Bull</t>
        </is>
      </c>
      <c r="C242" t="n">
        <v>934.5</v>
      </c>
      <c r="D242" s="22" t="n">
        <v>45547</v>
      </c>
      <c r="E242" t="n">
        <v>843</v>
      </c>
      <c r="F242" s="22" t="n">
        <v>45565</v>
      </c>
      <c r="G242" t="n">
        <v>-9.791332263242374</v>
      </c>
    </row>
    <row r="243">
      <c r="A243" t="inlineStr">
        <is>
          <t>ASTRAMICRO</t>
        </is>
      </c>
      <c r="B243" t="inlineStr">
        <is>
          <t>Bear</t>
        </is>
      </c>
      <c r="C243" t="n">
        <v>830.25</v>
      </c>
      <c r="D243" s="22" t="n">
        <v>45518</v>
      </c>
      <c r="E243" t="n">
        <v>871.8</v>
      </c>
      <c r="F243" s="22" t="n">
        <v>45545</v>
      </c>
      <c r="G243" t="n">
        <v>-5.004516711833779</v>
      </c>
    </row>
    <row r="244">
      <c r="A244" t="inlineStr">
        <is>
          <t>ASTRAMICRO</t>
        </is>
      </c>
      <c r="B244" t="inlineStr">
        <is>
          <t>Bull</t>
        </is>
      </c>
      <c r="C244" t="n">
        <v>655.4</v>
      </c>
      <c r="D244" s="22" t="n">
        <v>45391</v>
      </c>
      <c r="E244" t="n">
        <v>843.1</v>
      </c>
      <c r="F244" s="22" t="n">
        <v>45516</v>
      </c>
      <c r="G244" t="n">
        <v>28.63899908452854</v>
      </c>
    </row>
    <row r="245">
      <c r="A245" t="inlineStr">
        <is>
          <t>ASTRAMICRO</t>
        </is>
      </c>
      <c r="B245" t="inlineStr">
        <is>
          <t>Bear</t>
        </is>
      </c>
      <c r="C245" t="n">
        <v>567.65</v>
      </c>
      <c r="D245" s="22" t="n">
        <v>45366</v>
      </c>
      <c r="E245" t="n">
        <v>633.35</v>
      </c>
      <c r="F245" s="22" t="n">
        <v>45387</v>
      </c>
      <c r="G245" t="n">
        <v>-11.57403329516428</v>
      </c>
    </row>
    <row r="246">
      <c r="A246" t="inlineStr">
        <is>
          <t>ASTRAMICRO</t>
        </is>
      </c>
      <c r="B246" t="inlineStr">
        <is>
          <t>Bull</t>
        </is>
      </c>
      <c r="C246" t="n">
        <v>308</v>
      </c>
      <c r="D246" s="22" t="n">
        <v>45044</v>
      </c>
      <c r="E246" t="n">
        <v>521.65</v>
      </c>
      <c r="F246" s="22" t="n">
        <v>45364</v>
      </c>
      <c r="G246" t="n">
        <v>69.3668831168831</v>
      </c>
    </row>
    <row r="247">
      <c r="A247" t="inlineStr">
        <is>
          <t>ASTRAL</t>
        </is>
      </c>
      <c r="B247" t="inlineStr">
        <is>
          <t>Bear</t>
        </is>
      </c>
      <c r="C247" t="n">
        <v>2105.5</v>
      </c>
      <c r="D247" s="22" t="n">
        <v>45509</v>
      </c>
      <c r="E247" t="n">
        <v>1621.6</v>
      </c>
      <c r="F247" s="22" t="n">
        <v>45660</v>
      </c>
      <c r="G247" t="n">
        <v>22.98266445024935</v>
      </c>
    </row>
    <row r="248">
      <c r="A248" t="inlineStr">
        <is>
          <t>ASTRAL</t>
        </is>
      </c>
      <c r="B248" t="inlineStr">
        <is>
          <t>Bull</t>
        </is>
      </c>
      <c r="C248" t="n">
        <v>1955.25</v>
      </c>
      <c r="D248" s="22" t="n">
        <v>45337</v>
      </c>
      <c r="E248" t="n">
        <v>2168.8</v>
      </c>
      <c r="F248" s="22" t="n">
        <v>45505</v>
      </c>
      <c r="G248" t="n">
        <v>10.92187699782637</v>
      </c>
    </row>
    <row r="249">
      <c r="A249" t="inlineStr">
        <is>
          <t>ASTRAL</t>
        </is>
      </c>
      <c r="B249" t="inlineStr">
        <is>
          <t>Bear</t>
        </is>
      </c>
      <c r="C249" t="n">
        <v>1853.3</v>
      </c>
      <c r="D249" s="22" t="n">
        <v>45295</v>
      </c>
      <c r="E249" t="n">
        <v>1899.7</v>
      </c>
      <c r="F249" s="22" t="n">
        <v>45335</v>
      </c>
      <c r="G249" t="n">
        <v>-2.503642151837268</v>
      </c>
    </row>
    <row r="250">
      <c r="A250" t="inlineStr">
        <is>
          <t>ASTRAL</t>
        </is>
      </c>
      <c r="B250" t="inlineStr">
        <is>
          <t>Bull</t>
        </is>
      </c>
      <c r="C250" t="n">
        <v>1953.95</v>
      </c>
      <c r="D250" s="22" t="n">
        <v>45253</v>
      </c>
      <c r="E250" t="n">
        <v>1899.7</v>
      </c>
      <c r="F250" s="22" t="n">
        <v>45293</v>
      </c>
      <c r="G250" t="n">
        <v>-2.776427237135034</v>
      </c>
    </row>
    <row r="251">
      <c r="A251" t="inlineStr">
        <is>
          <t>ASTRAL</t>
        </is>
      </c>
      <c r="B251" t="inlineStr">
        <is>
          <t>Bear</t>
        </is>
      </c>
      <c r="C251" t="n">
        <v>1823.45</v>
      </c>
      <c r="D251" s="22" t="n">
        <v>45222</v>
      </c>
      <c r="E251" t="n">
        <v>1941.4</v>
      </c>
      <c r="F251" s="22" t="n">
        <v>45251</v>
      </c>
      <c r="G251" t="n">
        <v>-6.468507499520143</v>
      </c>
    </row>
    <row r="252">
      <c r="A252" t="inlineStr">
        <is>
          <t>ASTRAL</t>
        </is>
      </c>
      <c r="B252" t="inlineStr">
        <is>
          <t>Bull</t>
        </is>
      </c>
      <c r="C252" t="n">
        <v>1963.4</v>
      </c>
      <c r="D252" s="22" t="n">
        <v>45217</v>
      </c>
      <c r="E252" t="n">
        <v>1843.85</v>
      </c>
      <c r="F252" s="22" t="n">
        <v>45218</v>
      </c>
      <c r="G252" t="n">
        <v>-6.088927370887245</v>
      </c>
    </row>
    <row r="253">
      <c r="A253" t="inlineStr">
        <is>
          <t>ASTRAL</t>
        </is>
      </c>
      <c r="B253" t="inlineStr">
        <is>
          <t>Bear</t>
        </is>
      </c>
      <c r="C253" t="n">
        <v>1868</v>
      </c>
      <c r="D253" s="22" t="n">
        <v>45194</v>
      </c>
      <c r="E253" t="n">
        <v>1949.45</v>
      </c>
      <c r="F253" s="22" t="n">
        <v>45215</v>
      </c>
      <c r="G253" t="n">
        <v>-4.360278372591009</v>
      </c>
    </row>
    <row r="254">
      <c r="A254" t="inlineStr">
        <is>
          <t>ASTRAL</t>
        </is>
      </c>
      <c r="B254" t="inlineStr">
        <is>
          <t>Bull</t>
        </is>
      </c>
      <c r="C254" t="n">
        <v>1490.05</v>
      </c>
      <c r="D254" s="22" t="n">
        <v>45050</v>
      </c>
      <c r="E254" t="n">
        <v>1893.15</v>
      </c>
      <c r="F254" s="22" t="n">
        <v>45190</v>
      </c>
      <c r="G254" t="n">
        <v>27.05278346364217</v>
      </c>
    </row>
    <row r="255">
      <c r="A255" t="inlineStr">
        <is>
          <t>AUROPHARMA</t>
        </is>
      </c>
      <c r="B255" t="inlineStr">
        <is>
          <t>Bear</t>
        </is>
      </c>
      <c r="C255" t="n">
        <v>1428.15</v>
      </c>
      <c r="D255" s="22" t="n">
        <v>45590</v>
      </c>
      <c r="E255" t="n">
        <v>1319.45</v>
      </c>
      <c r="F255" s="22" t="n">
        <v>45660</v>
      </c>
      <c r="G255" t="n">
        <v>7.611245317368627</v>
      </c>
    </row>
    <row r="256">
      <c r="A256" t="inlineStr">
        <is>
          <t>AUROPHARMA</t>
        </is>
      </c>
      <c r="B256" t="inlineStr">
        <is>
          <t>Bull</t>
        </is>
      </c>
      <c r="C256" t="n">
        <v>1137.65</v>
      </c>
      <c r="D256" s="22" t="n">
        <v>45385</v>
      </c>
      <c r="E256" t="n">
        <v>1434</v>
      </c>
      <c r="F256" s="22" t="n">
        <v>45588</v>
      </c>
      <c r="G256" t="n">
        <v>26.0493121786138</v>
      </c>
    </row>
    <row r="257">
      <c r="A257" t="inlineStr">
        <is>
          <t>AUROPHARMA</t>
        </is>
      </c>
      <c r="B257" t="inlineStr">
        <is>
          <t>Bear</t>
        </is>
      </c>
      <c r="C257" t="n">
        <v>1017.2</v>
      </c>
      <c r="D257" s="22" t="n">
        <v>45337</v>
      </c>
      <c r="E257" t="n">
        <v>1113.35</v>
      </c>
      <c r="F257" s="22" t="n">
        <v>45383</v>
      </c>
      <c r="G257" t="n">
        <v>-9.452418403460467</v>
      </c>
    </row>
    <row r="258">
      <c r="A258" t="inlineStr">
        <is>
          <t>AUROPHARMA</t>
        </is>
      </c>
      <c r="B258" t="inlineStr">
        <is>
          <t>Bull</t>
        </is>
      </c>
      <c r="C258" t="n">
        <v>464.9</v>
      </c>
      <c r="D258" s="22" t="n">
        <v>44977</v>
      </c>
      <c r="E258" t="n">
        <v>1026.4</v>
      </c>
      <c r="F258" s="22" t="n">
        <v>45335</v>
      </c>
      <c r="G258" t="n">
        <v>120.7786620778662</v>
      </c>
    </row>
    <row r="259">
      <c r="A259" t="inlineStr">
        <is>
          <t>AVTNPL</t>
        </is>
      </c>
      <c r="B259" t="inlineStr">
        <is>
          <t>Bear</t>
        </is>
      </c>
      <c r="C259" t="n">
        <v>84.48999999999999</v>
      </c>
      <c r="D259" s="22" t="n">
        <v>45572</v>
      </c>
      <c r="E259" t="n">
        <v>77.54000000000001</v>
      </c>
      <c r="F259" s="22" t="n">
        <v>45660</v>
      </c>
      <c r="G259" t="n">
        <v>8.225825541484186</v>
      </c>
    </row>
    <row r="260">
      <c r="A260" t="inlineStr">
        <is>
          <t>AVTNPL</t>
        </is>
      </c>
      <c r="B260" t="inlineStr">
        <is>
          <t>Bull</t>
        </is>
      </c>
      <c r="C260" t="n">
        <v>91.73</v>
      </c>
      <c r="D260" s="22" t="n">
        <v>45526</v>
      </c>
      <c r="E260" t="n">
        <v>88.95</v>
      </c>
      <c r="F260" s="22" t="n">
        <v>45568</v>
      </c>
      <c r="G260" t="n">
        <v>-3.030633380573423</v>
      </c>
    </row>
    <row r="261">
      <c r="A261" t="inlineStr">
        <is>
          <t>AVTNPL</t>
        </is>
      </c>
      <c r="B261" t="inlineStr">
        <is>
          <t>Bear</t>
        </is>
      </c>
      <c r="C261" t="n">
        <v>85.45999999999999</v>
      </c>
      <c r="D261" s="22" t="n">
        <v>45520</v>
      </c>
      <c r="E261" t="n">
        <v>93.27</v>
      </c>
      <c r="F261" s="22" t="n">
        <v>45524</v>
      </c>
      <c r="G261" t="n">
        <v>-9.138778375848354</v>
      </c>
    </row>
    <row r="262">
      <c r="A262" t="inlineStr">
        <is>
          <t>AVTNPL</t>
        </is>
      </c>
      <c r="B262" t="inlineStr">
        <is>
          <t>Bull</t>
        </is>
      </c>
      <c r="C262" t="n">
        <v>91.78</v>
      </c>
      <c r="D262" s="22" t="n">
        <v>45511</v>
      </c>
      <c r="E262" t="n">
        <v>85.23</v>
      </c>
      <c r="F262" s="22" t="n">
        <v>45517</v>
      </c>
      <c r="G262" t="n">
        <v>-7.136631074308125</v>
      </c>
    </row>
    <row r="263">
      <c r="A263" t="inlineStr">
        <is>
          <t>AVTNPL</t>
        </is>
      </c>
      <c r="B263" t="inlineStr">
        <is>
          <t>Bear</t>
        </is>
      </c>
      <c r="C263" t="n">
        <v>114.35</v>
      </c>
      <c r="D263" s="22" t="n">
        <v>44859</v>
      </c>
      <c r="E263" t="n">
        <v>85.52</v>
      </c>
      <c r="F263" s="22" t="n">
        <v>45509</v>
      </c>
      <c r="G263" t="n">
        <v>25.21206821163096</v>
      </c>
    </row>
    <row r="264">
      <c r="A264" t="inlineStr">
        <is>
          <t>AVTNPL</t>
        </is>
      </c>
      <c r="B264" t="inlineStr">
        <is>
          <t>Bull</t>
        </is>
      </c>
      <c r="C264" t="n">
        <v>89.64</v>
      </c>
      <c r="D264" s="22" t="n">
        <v>45488</v>
      </c>
      <c r="E264" t="n">
        <v>86.09</v>
      </c>
      <c r="F264" s="22" t="n">
        <v>45506</v>
      </c>
      <c r="G264" t="n">
        <v>-3.960285586791608</v>
      </c>
    </row>
    <row r="265">
      <c r="A265" t="inlineStr">
        <is>
          <t>AVTNPL</t>
        </is>
      </c>
      <c r="B265" t="inlineStr">
        <is>
          <t>Bear</t>
        </is>
      </c>
      <c r="C265" t="n">
        <v>83.7</v>
      </c>
      <c r="D265" s="22" t="n">
        <v>45442</v>
      </c>
      <c r="E265" t="n">
        <v>90.86</v>
      </c>
      <c r="F265" s="22" t="n">
        <v>45484</v>
      </c>
      <c r="G265" t="n">
        <v>-8.554360812425324</v>
      </c>
    </row>
    <row r="266">
      <c r="A266" t="inlineStr">
        <is>
          <t>AVTNPL</t>
        </is>
      </c>
      <c r="B266" t="inlineStr">
        <is>
          <t>Bull</t>
        </is>
      </c>
      <c r="C266" t="n">
        <v>93.7</v>
      </c>
      <c r="D266" s="22" t="n">
        <v>45427</v>
      </c>
      <c r="E266" t="n">
        <v>88.59999999999999</v>
      </c>
      <c r="F266" s="22" t="n">
        <v>45440</v>
      </c>
      <c r="G266" t="n">
        <v>-5.442902881536829</v>
      </c>
    </row>
    <row r="267">
      <c r="A267" t="inlineStr">
        <is>
          <t>AVTNPL</t>
        </is>
      </c>
      <c r="B267" t="inlineStr">
        <is>
          <t>Bear</t>
        </is>
      </c>
      <c r="C267" t="n">
        <v>84.05</v>
      </c>
      <c r="D267" s="22" t="n">
        <v>45366</v>
      </c>
      <c r="E267" t="n">
        <v>89.65000000000001</v>
      </c>
      <c r="F267" s="22" t="n">
        <v>45425</v>
      </c>
      <c r="G267" t="n">
        <v>-6.662700773349208</v>
      </c>
    </row>
    <row r="268">
      <c r="A268" t="inlineStr">
        <is>
          <t>AVTNPL</t>
        </is>
      </c>
      <c r="B268" t="inlineStr">
        <is>
          <t>Bull</t>
        </is>
      </c>
      <c r="C268" t="n">
        <v>90.25</v>
      </c>
      <c r="D268" s="22" t="n">
        <v>45219</v>
      </c>
      <c r="E268" t="n">
        <v>82.25</v>
      </c>
      <c r="F268" s="22" t="n">
        <v>45364</v>
      </c>
      <c r="G268" t="n">
        <v>-8.86426592797784</v>
      </c>
    </row>
    <row r="269">
      <c r="A269" t="inlineStr">
        <is>
          <t>AVTNPL</t>
        </is>
      </c>
      <c r="B269" t="inlineStr">
        <is>
          <t>Bear</t>
        </is>
      </c>
      <c r="C269" t="n">
        <v>86.15000000000001</v>
      </c>
      <c r="D269" s="22" t="n">
        <v>45121</v>
      </c>
      <c r="E269" t="n">
        <v>90.75</v>
      </c>
      <c r="F269" s="22" t="n">
        <v>45217</v>
      </c>
      <c r="G269" t="n">
        <v>-5.339524085896684</v>
      </c>
    </row>
    <row r="270">
      <c r="A270" t="inlineStr">
        <is>
          <t>AVTNPL</t>
        </is>
      </c>
      <c r="B270" t="inlineStr">
        <is>
          <t>Bull</t>
        </is>
      </c>
      <c r="C270" t="n">
        <v>92.7</v>
      </c>
      <c r="D270" s="22" t="n">
        <v>45061</v>
      </c>
      <c r="E270" t="n">
        <v>89.09999999999999</v>
      </c>
      <c r="F270" s="22" t="n">
        <v>45119</v>
      </c>
      <c r="G270" t="n">
        <v>-3.883495145631077</v>
      </c>
    </row>
    <row r="271">
      <c r="A271" t="inlineStr">
        <is>
          <t>AXISBANK</t>
        </is>
      </c>
      <c r="B271" t="inlineStr">
        <is>
          <t>Bear</t>
        </is>
      </c>
      <c r="C271" t="n">
        <v>1172.45</v>
      </c>
      <c r="D271" s="22" t="n">
        <v>45576</v>
      </c>
      <c r="E271" t="n">
        <v>1084.9</v>
      </c>
      <c r="F271" s="22" t="n">
        <v>45660</v>
      </c>
      <c r="G271" t="n">
        <v>7.467269393151089</v>
      </c>
    </row>
    <row r="272">
      <c r="A272" t="inlineStr">
        <is>
          <t>AXISBANK</t>
        </is>
      </c>
      <c r="B272" t="inlineStr">
        <is>
          <t>Bull</t>
        </is>
      </c>
      <c r="C272" t="n">
        <v>1240.45</v>
      </c>
      <c r="D272" s="22" t="n">
        <v>45553</v>
      </c>
      <c r="E272" t="n">
        <v>1170.15</v>
      </c>
      <c r="F272" s="22" t="n">
        <v>45574</v>
      </c>
      <c r="G272" t="n">
        <v>-5.667298157926555</v>
      </c>
    </row>
    <row r="273">
      <c r="A273" t="inlineStr">
        <is>
          <t>AXISBANK</t>
        </is>
      </c>
      <c r="B273" t="inlineStr">
        <is>
          <t>Bear</t>
        </is>
      </c>
      <c r="C273" t="n">
        <v>1126.1</v>
      </c>
      <c r="D273" s="22" t="n">
        <v>45510</v>
      </c>
      <c r="E273" t="n">
        <v>1231.05</v>
      </c>
      <c r="F273" s="22" t="n">
        <v>45551</v>
      </c>
      <c r="G273" t="n">
        <v>-9.319776218808281</v>
      </c>
    </row>
    <row r="274">
      <c r="A274" t="inlineStr">
        <is>
          <t>AXISBANK</t>
        </is>
      </c>
      <c r="B274" t="inlineStr">
        <is>
          <t>Bull</t>
        </is>
      </c>
      <c r="C274" t="n">
        <v>1159.25</v>
      </c>
      <c r="D274" s="22" t="n">
        <v>45411</v>
      </c>
      <c r="E274" t="n">
        <v>1160.85</v>
      </c>
      <c r="F274" s="22" t="n">
        <v>45506</v>
      </c>
      <c r="G274" t="n">
        <v>0.1380202717274021</v>
      </c>
    </row>
    <row r="275">
      <c r="A275" t="inlineStr">
        <is>
          <t>AXISBANK</t>
        </is>
      </c>
      <c r="B275" t="inlineStr">
        <is>
          <t>Bear</t>
        </is>
      </c>
      <c r="C275" t="n">
        <v>1034.75</v>
      </c>
      <c r="D275" s="22" t="n">
        <v>45371</v>
      </c>
      <c r="E275" t="n">
        <v>1127</v>
      </c>
      <c r="F275" s="22" t="n">
        <v>45407</v>
      </c>
      <c r="G275" t="n">
        <v>-8.915196907465571</v>
      </c>
    </row>
    <row r="276">
      <c r="A276" t="inlineStr">
        <is>
          <t>AXISBANK</t>
        </is>
      </c>
      <c r="B276" t="inlineStr">
        <is>
          <t>Bull</t>
        </is>
      </c>
      <c r="C276" t="n">
        <v>1106.75</v>
      </c>
      <c r="D276" s="22" t="n">
        <v>45355</v>
      </c>
      <c r="E276" t="n">
        <v>1061.35</v>
      </c>
      <c r="F276" s="22" t="n">
        <v>45369</v>
      </c>
      <c r="G276" t="n">
        <v>-4.102100745425805</v>
      </c>
    </row>
    <row r="277">
      <c r="A277" t="inlineStr">
        <is>
          <t>AXISBANK</t>
        </is>
      </c>
      <c r="B277" t="inlineStr">
        <is>
          <t>Bear</t>
        </is>
      </c>
      <c r="C277" t="n">
        <v>1069.1</v>
      </c>
      <c r="D277" s="22" t="n">
        <v>45329</v>
      </c>
      <c r="E277" t="n">
        <v>1099.25</v>
      </c>
      <c r="F277" s="22" t="n">
        <v>45352</v>
      </c>
      <c r="G277" t="n">
        <v>-2.820129080535038</v>
      </c>
    </row>
    <row r="278">
      <c r="A278" t="inlineStr">
        <is>
          <t>AXISBANK</t>
        </is>
      </c>
      <c r="B278" t="inlineStr">
        <is>
          <t>Bull</t>
        </is>
      </c>
      <c r="C278" t="n">
        <v>1021.9</v>
      </c>
      <c r="D278" s="22" t="n">
        <v>45239</v>
      </c>
      <c r="E278" t="n">
        <v>1061.5</v>
      </c>
      <c r="F278" s="22" t="n">
        <v>45327</v>
      </c>
      <c r="G278" t="n">
        <v>3.875134553283102</v>
      </c>
    </row>
    <row r="279">
      <c r="A279" t="inlineStr">
        <is>
          <t>AXISBANK</t>
        </is>
      </c>
      <c r="B279" t="inlineStr">
        <is>
          <t>Bear</t>
        </is>
      </c>
      <c r="C279" t="n">
        <v>982.95</v>
      </c>
      <c r="D279" s="22" t="n">
        <v>45232</v>
      </c>
      <c r="E279" t="n">
        <v>1020.9</v>
      </c>
      <c r="F279" s="22" t="n">
        <v>45237</v>
      </c>
      <c r="G279" t="n">
        <v>-3.860827102090639</v>
      </c>
    </row>
    <row r="280">
      <c r="A280" t="inlineStr">
        <is>
          <t>AXISBANK</t>
        </is>
      </c>
      <c r="B280" t="inlineStr">
        <is>
          <t>Bull</t>
        </is>
      </c>
      <c r="C280" t="n">
        <v>986.5</v>
      </c>
      <c r="D280" s="22" t="n">
        <v>45166</v>
      </c>
      <c r="E280" t="n">
        <v>981.85</v>
      </c>
      <c r="F280" s="22" t="n">
        <v>45230</v>
      </c>
      <c r="G280" t="n">
        <v>-0.4713634059807377</v>
      </c>
    </row>
    <row r="281">
      <c r="A281" t="inlineStr">
        <is>
          <t>AXISBANK</t>
        </is>
      </c>
      <c r="B281" t="inlineStr">
        <is>
          <t>Bear</t>
        </is>
      </c>
      <c r="C281" t="n">
        <v>937.25</v>
      </c>
      <c r="D281" s="22" t="n">
        <v>45155</v>
      </c>
      <c r="E281" t="n">
        <v>982.1</v>
      </c>
      <c r="F281" s="22" t="n">
        <v>45162</v>
      </c>
      <c r="G281" t="n">
        <v>-4.785276073619634</v>
      </c>
    </row>
    <row r="282">
      <c r="A282" t="inlineStr">
        <is>
          <t>AXISBANK</t>
        </is>
      </c>
      <c r="B282" t="inlineStr">
        <is>
          <t>Bull</t>
        </is>
      </c>
      <c r="C282" t="n">
        <v>887.65</v>
      </c>
      <c r="D282" s="22" t="n">
        <v>45042</v>
      </c>
      <c r="E282" t="n">
        <v>940</v>
      </c>
      <c r="F282" s="22" t="n">
        <v>45152</v>
      </c>
      <c r="G282" t="n">
        <v>5.897594772714474</v>
      </c>
    </row>
    <row r="283">
      <c r="A283" t="inlineStr">
        <is>
          <t>BAJAJ-AUTO</t>
        </is>
      </c>
      <c r="B283" t="inlineStr">
        <is>
          <t>Bear</t>
        </is>
      </c>
      <c r="C283" t="n">
        <v>10011.25</v>
      </c>
      <c r="D283" s="22" t="n">
        <v>45593</v>
      </c>
      <c r="E283" t="n">
        <v>8965.700000000001</v>
      </c>
      <c r="F283" s="22" t="n">
        <v>45660</v>
      </c>
      <c r="G283" t="n">
        <v>10.44375078037207</v>
      </c>
    </row>
    <row r="284">
      <c r="A284" t="inlineStr">
        <is>
          <t>BAJAJ-AUTO</t>
        </is>
      </c>
      <c r="B284" t="inlineStr">
        <is>
          <t>Bull</t>
        </is>
      </c>
      <c r="C284" t="n">
        <v>4808.3</v>
      </c>
      <c r="D284" s="22" t="n">
        <v>45182</v>
      </c>
      <c r="E284" t="n">
        <v>10302.5</v>
      </c>
      <c r="F284" s="22" t="n">
        <v>45589</v>
      </c>
      <c r="G284" t="n">
        <v>114.264916914502</v>
      </c>
    </row>
    <row r="285">
      <c r="A285" t="inlineStr">
        <is>
          <t>BAJAJ-AUTO</t>
        </is>
      </c>
      <c r="B285" t="inlineStr">
        <is>
          <t>Bear</t>
        </is>
      </c>
      <c r="C285" t="n">
        <v>4604</v>
      </c>
      <c r="D285" s="22" t="n">
        <v>45159</v>
      </c>
      <c r="E285" t="n">
        <v>4806.4</v>
      </c>
      <c r="F285" s="22" t="n">
        <v>45180</v>
      </c>
      <c r="G285" t="n">
        <v>-4.396177237185048</v>
      </c>
    </row>
    <row r="286">
      <c r="A286" t="inlineStr">
        <is>
          <t>BAJAJ-AUTO</t>
        </is>
      </c>
      <c r="B286" t="inlineStr">
        <is>
          <t>Bull</t>
        </is>
      </c>
      <c r="C286" t="n">
        <v>3841.15</v>
      </c>
      <c r="D286" s="22" t="n">
        <v>44956</v>
      </c>
      <c r="E286" t="n">
        <v>4652.05</v>
      </c>
      <c r="F286" s="22" t="n">
        <v>45155</v>
      </c>
      <c r="G286" t="n">
        <v>21.11086523567161</v>
      </c>
    </row>
    <row r="287">
      <c r="A287" t="inlineStr">
        <is>
          <t>BAJAJCON</t>
        </is>
      </c>
      <c r="B287" t="inlineStr">
        <is>
          <t>Bear</t>
        </is>
      </c>
      <c r="C287" t="n">
        <v>250.35</v>
      </c>
      <c r="D287" s="22" t="n">
        <v>45554</v>
      </c>
      <c r="E287" t="n">
        <v>203.99</v>
      </c>
      <c r="F287" s="22" t="n">
        <v>45660</v>
      </c>
      <c r="G287" t="n">
        <v>18.5180746954264</v>
      </c>
    </row>
    <row r="288">
      <c r="A288" t="inlineStr">
        <is>
          <t>BAJAJCON</t>
        </is>
      </c>
      <c r="B288" t="inlineStr">
        <is>
          <t>Bull</t>
        </is>
      </c>
      <c r="C288" t="n">
        <v>230.75</v>
      </c>
      <c r="D288" s="22" t="n">
        <v>45387</v>
      </c>
      <c r="E288" t="n">
        <v>261.55</v>
      </c>
      <c r="F288" s="22" t="n">
        <v>45552</v>
      </c>
      <c r="G288" t="n">
        <v>13.3477789815818</v>
      </c>
    </row>
    <row r="289">
      <c r="A289" t="inlineStr">
        <is>
          <t>BAJAJCON</t>
        </is>
      </c>
      <c r="B289" t="inlineStr">
        <is>
          <t>Bear</t>
        </is>
      </c>
      <c r="C289" t="n">
        <v>218.3</v>
      </c>
      <c r="D289" s="22" t="n">
        <v>45370</v>
      </c>
      <c r="E289" t="n">
        <v>233.1</v>
      </c>
      <c r="F289" s="22" t="n">
        <v>45385</v>
      </c>
      <c r="G289" t="n">
        <v>-6.779661016949144</v>
      </c>
    </row>
    <row r="290">
      <c r="A290" t="inlineStr">
        <is>
          <t>BAJAJCON</t>
        </is>
      </c>
      <c r="B290" t="inlineStr">
        <is>
          <t>Bull</t>
        </is>
      </c>
      <c r="C290" t="n">
        <v>239.3</v>
      </c>
      <c r="D290" s="22" t="n">
        <v>45345</v>
      </c>
      <c r="E290" t="n">
        <v>213.45</v>
      </c>
      <c r="F290" s="22" t="n">
        <v>45366</v>
      </c>
      <c r="G290" t="n">
        <v>-10.8023401587965</v>
      </c>
    </row>
    <row r="291">
      <c r="A291" t="inlineStr">
        <is>
          <t>BAJAJCON</t>
        </is>
      </c>
      <c r="B291" t="inlineStr">
        <is>
          <t>Bear</t>
        </is>
      </c>
      <c r="C291" t="n">
        <v>221.3</v>
      </c>
      <c r="D291" s="22" t="n">
        <v>45246</v>
      </c>
      <c r="E291" t="n">
        <v>241.2</v>
      </c>
      <c r="F291" s="22" t="n">
        <v>45343</v>
      </c>
      <c r="G291" t="n">
        <v>-8.992318120198814</v>
      </c>
    </row>
    <row r="292">
      <c r="A292" t="inlineStr">
        <is>
          <t>BAJAJCON</t>
        </is>
      </c>
      <c r="B292" t="inlineStr">
        <is>
          <t>Bull</t>
        </is>
      </c>
      <c r="C292" t="n">
        <v>175.25</v>
      </c>
      <c r="D292" s="22" t="n">
        <v>45054</v>
      </c>
      <c r="E292" t="n">
        <v>225.1</v>
      </c>
      <c r="F292" s="22" t="n">
        <v>45243</v>
      </c>
      <c r="G292" t="n">
        <v>28.44507845934379</v>
      </c>
    </row>
    <row r="293">
      <c r="A293" t="inlineStr">
        <is>
          <t>BAJFINANCE</t>
        </is>
      </c>
      <c r="B293" t="inlineStr">
        <is>
          <t>Bull</t>
        </is>
      </c>
      <c r="C293" t="n">
        <v>7074.45</v>
      </c>
      <c r="D293" s="22" t="n">
        <v>45644</v>
      </c>
      <c r="E293" t="n">
        <v>7407.25</v>
      </c>
      <c r="F293" s="22" t="n">
        <v>45660</v>
      </c>
      <c r="G293" t="n">
        <v>4.704252627412735</v>
      </c>
    </row>
    <row r="294">
      <c r="A294" t="inlineStr">
        <is>
          <t>BAJFINANCE</t>
        </is>
      </c>
      <c r="B294" t="inlineStr">
        <is>
          <t>Bear</t>
        </is>
      </c>
      <c r="C294" t="n">
        <v>6677.9</v>
      </c>
      <c r="D294" s="22" t="n">
        <v>45587</v>
      </c>
      <c r="E294" t="n">
        <v>7208.4</v>
      </c>
      <c r="F294" s="22" t="n">
        <v>45642</v>
      </c>
      <c r="G294" t="n">
        <v>-7.944114167627549</v>
      </c>
    </row>
    <row r="295">
      <c r="A295" t="inlineStr">
        <is>
          <t>BAJFINANCE</t>
        </is>
      </c>
      <c r="B295" t="inlineStr">
        <is>
          <t>Bull</t>
        </is>
      </c>
      <c r="C295" t="n">
        <v>7353.8</v>
      </c>
      <c r="D295" s="22" t="n">
        <v>45538</v>
      </c>
      <c r="E295" t="n">
        <v>6899.55</v>
      </c>
      <c r="F295" s="22" t="n">
        <v>45583</v>
      </c>
      <c r="G295" t="n">
        <v>-6.177078517229187</v>
      </c>
    </row>
    <row r="296">
      <c r="A296" t="inlineStr">
        <is>
          <t>BAJFINANCE</t>
        </is>
      </c>
      <c r="B296" t="inlineStr">
        <is>
          <t>Bear</t>
        </is>
      </c>
      <c r="C296" t="n">
        <v>6647.75</v>
      </c>
      <c r="D296" s="22" t="n">
        <v>45498</v>
      </c>
      <c r="E296" t="n">
        <v>7200.15</v>
      </c>
      <c r="F296" s="22" t="n">
        <v>45534</v>
      </c>
      <c r="G296" t="n">
        <v>-8.30957842879169</v>
      </c>
    </row>
    <row r="297">
      <c r="A297" t="inlineStr">
        <is>
          <t>BAJFINANCE</t>
        </is>
      </c>
      <c r="B297" t="inlineStr">
        <is>
          <t>Bull</t>
        </is>
      </c>
      <c r="C297" t="n">
        <v>7217.75</v>
      </c>
      <c r="D297" s="22" t="n">
        <v>45455</v>
      </c>
      <c r="E297" t="n">
        <v>6727.1</v>
      </c>
      <c r="F297" s="22" t="n">
        <v>45496</v>
      </c>
      <c r="G297" t="n">
        <v>-6.797824806899652</v>
      </c>
    </row>
    <row r="298">
      <c r="A298" t="inlineStr">
        <is>
          <t>BAJFINANCE</t>
        </is>
      </c>
      <c r="B298" t="inlineStr">
        <is>
          <t>Bear</t>
        </is>
      </c>
      <c r="C298" t="n">
        <v>6684.15</v>
      </c>
      <c r="D298" s="22" t="n">
        <v>45422</v>
      </c>
      <c r="E298" t="n">
        <v>7088.85</v>
      </c>
      <c r="F298" s="22" t="n">
        <v>45453</v>
      </c>
      <c r="G298" t="n">
        <v>-6.054621754448969</v>
      </c>
    </row>
    <row r="299">
      <c r="A299" t="inlineStr">
        <is>
          <t>BAJFINANCE</t>
        </is>
      </c>
      <c r="B299" t="inlineStr">
        <is>
          <t>Bull</t>
        </is>
      </c>
      <c r="C299" t="n">
        <v>7309.25</v>
      </c>
      <c r="D299" s="22" t="n">
        <v>45385</v>
      </c>
      <c r="E299" t="n">
        <v>6799.45</v>
      </c>
      <c r="F299" s="22" t="n">
        <v>45420</v>
      </c>
      <c r="G299" t="n">
        <v>-6.974723808872321</v>
      </c>
    </row>
    <row r="300">
      <c r="A300" t="inlineStr">
        <is>
          <t>BAJFINANCE</t>
        </is>
      </c>
      <c r="B300" t="inlineStr">
        <is>
          <t>Bear</t>
        </is>
      </c>
      <c r="C300" t="n">
        <v>7055.3</v>
      </c>
      <c r="D300" s="22" t="n">
        <v>45315</v>
      </c>
      <c r="E300" t="n">
        <v>7250.95</v>
      </c>
      <c r="F300" s="22" t="n">
        <v>45383</v>
      </c>
      <c r="G300" t="n">
        <v>-2.773092568707208</v>
      </c>
    </row>
    <row r="301">
      <c r="A301" t="inlineStr">
        <is>
          <t>BAJFINANCE</t>
        </is>
      </c>
      <c r="B301" t="inlineStr">
        <is>
          <t>Bull</t>
        </is>
      </c>
      <c r="C301" t="n">
        <v>7736</v>
      </c>
      <c r="D301" s="22" t="n">
        <v>45299</v>
      </c>
      <c r="E301" t="n">
        <v>7301.3</v>
      </c>
      <c r="F301" s="22" t="n">
        <v>45311</v>
      </c>
      <c r="G301" t="n">
        <v>-5.619183040330919</v>
      </c>
    </row>
    <row r="302">
      <c r="A302" t="inlineStr">
        <is>
          <t>BAJFINANCE</t>
        </is>
      </c>
      <c r="B302" t="inlineStr">
        <is>
          <t>Bear</t>
        </is>
      </c>
      <c r="C302" t="n">
        <v>7444.8</v>
      </c>
      <c r="D302" s="22" t="n">
        <v>45240</v>
      </c>
      <c r="E302" t="n">
        <v>7705.55</v>
      </c>
      <c r="F302" s="22" t="n">
        <v>45295</v>
      </c>
      <c r="G302" t="n">
        <v>-3.502444659359553</v>
      </c>
    </row>
    <row r="303">
      <c r="A303" t="inlineStr">
        <is>
          <t>BAJFINANCE</t>
        </is>
      </c>
      <c r="B303" t="inlineStr">
        <is>
          <t>Bull</t>
        </is>
      </c>
      <c r="C303" t="n">
        <v>7363.2</v>
      </c>
      <c r="D303" s="22" t="n">
        <v>45176</v>
      </c>
      <c r="E303" t="n">
        <v>7459.95</v>
      </c>
      <c r="F303" s="22" t="n">
        <v>45238</v>
      </c>
      <c r="G303" t="n">
        <v>1.313966753585398</v>
      </c>
    </row>
    <row r="304">
      <c r="A304" t="inlineStr">
        <is>
          <t>BAJFINANCE</t>
        </is>
      </c>
      <c r="B304" t="inlineStr">
        <is>
          <t>Bear</t>
        </is>
      </c>
      <c r="C304" t="n">
        <v>6848</v>
      </c>
      <c r="D304" s="22" t="n">
        <v>45156</v>
      </c>
      <c r="E304" t="n">
        <v>7345.1</v>
      </c>
      <c r="F304" s="22" t="n">
        <v>45174</v>
      </c>
      <c r="G304" t="n">
        <v>-7.259053738317762</v>
      </c>
    </row>
    <row r="305">
      <c r="A305" t="inlineStr">
        <is>
          <t>BAJFINANCE</t>
        </is>
      </c>
      <c r="B305" t="inlineStr">
        <is>
          <t>Bull</t>
        </is>
      </c>
      <c r="C305" t="n">
        <v>6180.25</v>
      </c>
      <c r="D305" s="22" t="n">
        <v>45049</v>
      </c>
      <c r="E305" t="n">
        <v>6970</v>
      </c>
      <c r="F305" s="22" t="n">
        <v>45154</v>
      </c>
      <c r="G305" t="n">
        <v>12.77860927955989</v>
      </c>
    </row>
    <row r="306">
      <c r="A306" t="inlineStr">
        <is>
          <t>BAJAJFINSV</t>
        </is>
      </c>
      <c r="B306" t="inlineStr">
        <is>
          <t>Bear</t>
        </is>
      </c>
      <c r="C306" t="n">
        <v>1750.75</v>
      </c>
      <c r="D306" s="22" t="n">
        <v>45596</v>
      </c>
      <c r="E306" t="n">
        <v>1701.1</v>
      </c>
      <c r="F306" s="22" t="n">
        <v>45660</v>
      </c>
      <c r="G306" t="n">
        <v>2.835927459660151</v>
      </c>
    </row>
    <row r="307">
      <c r="A307" t="inlineStr">
        <is>
          <t>BAJAJFINSV</t>
        </is>
      </c>
      <c r="B307" t="inlineStr">
        <is>
          <t>Bull</t>
        </is>
      </c>
      <c r="C307" t="n">
        <v>1719</v>
      </c>
      <c r="D307" s="22" t="n">
        <v>45531</v>
      </c>
      <c r="E307" t="n">
        <v>1766.7</v>
      </c>
      <c r="F307" s="22" t="n">
        <v>45594</v>
      </c>
      <c r="G307" t="n">
        <v>2.774869109947647</v>
      </c>
    </row>
    <row r="308">
      <c r="A308" t="inlineStr">
        <is>
          <t>BAJAJFINSV</t>
        </is>
      </c>
      <c r="B308" t="inlineStr">
        <is>
          <t>Bear</t>
        </is>
      </c>
      <c r="C308" t="n">
        <v>1560.2</v>
      </c>
      <c r="D308" s="22" t="n">
        <v>45513</v>
      </c>
      <c r="E308" t="n">
        <v>1639.9</v>
      </c>
      <c r="F308" s="22" t="n">
        <v>45527</v>
      </c>
      <c r="G308" t="n">
        <v>-5.108319446224846</v>
      </c>
    </row>
    <row r="309">
      <c r="A309" t="inlineStr">
        <is>
          <t>BAJAJFINSV</t>
        </is>
      </c>
      <c r="B309" t="inlineStr">
        <is>
          <t>Bull</t>
        </is>
      </c>
      <c r="C309" t="n">
        <v>1651.25</v>
      </c>
      <c r="D309" s="22" t="n">
        <v>45491</v>
      </c>
      <c r="E309" t="n">
        <v>1571.4</v>
      </c>
      <c r="F309" s="22" t="n">
        <v>45511</v>
      </c>
      <c r="G309" t="n">
        <v>-4.835730507191515</v>
      </c>
    </row>
    <row r="310">
      <c r="A310" t="inlineStr">
        <is>
          <t>BAJAJFINSV</t>
        </is>
      </c>
      <c r="B310" t="inlineStr">
        <is>
          <t>Bear</t>
        </is>
      </c>
      <c r="C310" t="n">
        <v>1572.7</v>
      </c>
      <c r="D310" s="22" t="n">
        <v>45422</v>
      </c>
      <c r="E310" t="n">
        <v>1602.2</v>
      </c>
      <c r="F310" s="22" t="n">
        <v>45488</v>
      </c>
      <c r="G310" t="n">
        <v>-1.875755070897183</v>
      </c>
    </row>
    <row r="311">
      <c r="A311" t="inlineStr">
        <is>
          <t>BAJAJFINSV</t>
        </is>
      </c>
      <c r="B311" t="inlineStr">
        <is>
          <t>Bull</t>
        </is>
      </c>
      <c r="C311" t="n">
        <v>1655.8</v>
      </c>
      <c r="D311" s="22" t="n">
        <v>45386</v>
      </c>
      <c r="E311" t="n">
        <v>1603.05</v>
      </c>
      <c r="F311" s="22" t="n">
        <v>45420</v>
      </c>
      <c r="G311" t="n">
        <v>-3.185771228409228</v>
      </c>
    </row>
    <row r="312">
      <c r="A312" t="inlineStr">
        <is>
          <t>BAJAJFINSV</t>
        </is>
      </c>
      <c r="B312" t="inlineStr">
        <is>
          <t>Bear</t>
        </is>
      </c>
      <c r="C312" t="n">
        <v>1581</v>
      </c>
      <c r="D312" s="22" t="n">
        <v>45311</v>
      </c>
      <c r="E312" t="n">
        <v>1656.55</v>
      </c>
      <c r="F312" s="22" t="n">
        <v>45384</v>
      </c>
      <c r="G312" t="n">
        <v>-4.7786211258697</v>
      </c>
    </row>
    <row r="313">
      <c r="A313" t="inlineStr">
        <is>
          <t>BAJAJFINSV</t>
        </is>
      </c>
      <c r="B313" t="inlineStr">
        <is>
          <t>Bull</t>
        </is>
      </c>
      <c r="C313" t="n">
        <v>1538.1</v>
      </c>
      <c r="D313" s="22" t="n">
        <v>45184</v>
      </c>
      <c r="E313" t="n">
        <v>1581.15</v>
      </c>
      <c r="F313" s="22" t="n">
        <v>45309</v>
      </c>
      <c r="G313" t="n">
        <v>2.798907743319692</v>
      </c>
    </row>
    <row r="314">
      <c r="A314" t="inlineStr">
        <is>
          <t>BAJAJFINSV</t>
        </is>
      </c>
      <c r="B314" t="inlineStr">
        <is>
          <t>Bear</t>
        </is>
      </c>
      <c r="C314" t="n">
        <v>1459</v>
      </c>
      <c r="D314" s="22" t="n">
        <v>45156</v>
      </c>
      <c r="E314" t="n">
        <v>1552.8</v>
      </c>
      <c r="F314" s="22" t="n">
        <v>45182</v>
      </c>
      <c r="G314" t="n">
        <v>-6.429061000685397</v>
      </c>
    </row>
    <row r="315">
      <c r="A315" t="inlineStr">
        <is>
          <t>BAJAJFINSV</t>
        </is>
      </c>
      <c r="B315" t="inlineStr">
        <is>
          <t>Bull</t>
        </is>
      </c>
      <c r="C315" t="n">
        <v>1408.7</v>
      </c>
      <c r="D315" s="22" t="n">
        <v>45055</v>
      </c>
      <c r="E315" t="n">
        <v>1469.9</v>
      </c>
      <c r="F315" s="22" t="n">
        <v>45154</v>
      </c>
      <c r="G315" t="n">
        <v>4.344431035706683</v>
      </c>
    </row>
    <row r="316">
      <c r="A316" t="inlineStr">
        <is>
          <t>BAJAJHLDNG</t>
        </is>
      </c>
      <c r="B316" t="inlineStr">
        <is>
          <t>Bull</t>
        </is>
      </c>
      <c r="C316" t="n">
        <v>8199.700000000001</v>
      </c>
      <c r="D316" s="22" t="n">
        <v>45462</v>
      </c>
      <c r="E316" t="n">
        <v>11607.95</v>
      </c>
      <c r="F316" s="22" t="n">
        <v>45660</v>
      </c>
      <c r="G316" t="n">
        <v>41.56554508091759</v>
      </c>
    </row>
    <row r="317">
      <c r="A317" t="inlineStr">
        <is>
          <t>BAJAJHLDNG</t>
        </is>
      </c>
      <c r="B317" t="inlineStr">
        <is>
          <t>Bear</t>
        </is>
      </c>
      <c r="C317" t="n">
        <v>8031.95</v>
      </c>
      <c r="D317" s="22" t="n">
        <v>45436</v>
      </c>
      <c r="E317" t="n">
        <v>8302.85</v>
      </c>
      <c r="F317" s="22" t="n">
        <v>45457</v>
      </c>
      <c r="G317" t="n">
        <v>-3.372779960034618</v>
      </c>
    </row>
    <row r="318">
      <c r="A318" t="inlineStr">
        <is>
          <t>BAJAJHLDNG</t>
        </is>
      </c>
      <c r="B318" t="inlineStr">
        <is>
          <t>Bull</t>
        </is>
      </c>
      <c r="C318" t="n">
        <v>8336.299999999999</v>
      </c>
      <c r="D318" s="22" t="n">
        <v>45428</v>
      </c>
      <c r="E318" t="n">
        <v>8123.95</v>
      </c>
      <c r="F318" s="22" t="n">
        <v>45434</v>
      </c>
      <c r="G318" t="n">
        <v>-2.54729316363374</v>
      </c>
    </row>
    <row r="319">
      <c r="A319" t="inlineStr">
        <is>
          <t>BAJAJHLDNG</t>
        </is>
      </c>
      <c r="B319" t="inlineStr">
        <is>
          <t>Bear</t>
        </is>
      </c>
      <c r="C319" t="n">
        <v>8407.549999999999</v>
      </c>
      <c r="D319" s="22" t="n">
        <v>45383</v>
      </c>
      <c r="E319" t="n">
        <v>8436.15</v>
      </c>
      <c r="F319" s="22" t="n">
        <v>45426</v>
      </c>
      <c r="G319" t="n">
        <v>-0.3401704420431679</v>
      </c>
    </row>
    <row r="320">
      <c r="A320" t="inlineStr">
        <is>
          <t>BAJAJHLDNG</t>
        </is>
      </c>
      <c r="B320" t="inlineStr">
        <is>
          <t>Bull</t>
        </is>
      </c>
      <c r="C320" t="n">
        <v>7299.95</v>
      </c>
      <c r="D320" s="22" t="n">
        <v>45250</v>
      </c>
      <c r="E320" t="n">
        <v>8096.3</v>
      </c>
      <c r="F320" s="22" t="n">
        <v>45378</v>
      </c>
      <c r="G320" t="n">
        <v>10.90897882862212</v>
      </c>
    </row>
    <row r="321">
      <c r="A321" t="inlineStr">
        <is>
          <t>BAJAJHLDNG</t>
        </is>
      </c>
      <c r="B321" t="inlineStr">
        <is>
          <t>Bear</t>
        </is>
      </c>
      <c r="C321" t="n">
        <v>6819.3</v>
      </c>
      <c r="D321" s="22" t="n">
        <v>45203</v>
      </c>
      <c r="E321" t="n">
        <v>7125</v>
      </c>
      <c r="F321" s="22" t="n">
        <v>45246</v>
      </c>
      <c r="G321" t="n">
        <v>-4.482864810171129</v>
      </c>
    </row>
    <row r="322">
      <c r="A322" t="inlineStr">
        <is>
          <t>BAJAJHLDNG</t>
        </is>
      </c>
      <c r="B322" t="inlineStr">
        <is>
          <t>Bull</t>
        </is>
      </c>
      <c r="C322" t="n">
        <v>7300</v>
      </c>
      <c r="D322" s="22" t="n">
        <v>45196</v>
      </c>
      <c r="E322" t="n">
        <v>7106.45</v>
      </c>
      <c r="F322" s="22" t="n">
        <v>45198</v>
      </c>
      <c r="G322" t="n">
        <v>-2.651369863013701</v>
      </c>
    </row>
    <row r="323">
      <c r="A323" t="inlineStr">
        <is>
          <t>BAJAJHLDNG</t>
        </is>
      </c>
      <c r="B323" t="inlineStr">
        <is>
          <t>Bear</t>
        </is>
      </c>
      <c r="C323" t="n">
        <v>7103.1</v>
      </c>
      <c r="D323" s="22" t="n">
        <v>45184</v>
      </c>
      <c r="E323" t="n">
        <v>7300</v>
      </c>
      <c r="F323" s="22" t="n">
        <v>45194</v>
      </c>
      <c r="G323" t="n">
        <v>-2.77202911404879</v>
      </c>
    </row>
    <row r="324">
      <c r="A324" t="inlineStr">
        <is>
          <t>BAJAJHLDNG</t>
        </is>
      </c>
      <c r="B324" t="inlineStr">
        <is>
          <t>Bull</t>
        </is>
      </c>
      <c r="C324" t="n">
        <v>6315.55</v>
      </c>
      <c r="D324" s="22" t="n">
        <v>45035</v>
      </c>
      <c r="E324" t="n">
        <v>7100</v>
      </c>
      <c r="F324" s="22" t="n">
        <v>45182</v>
      </c>
      <c r="G324" t="n">
        <v>12.42092929356904</v>
      </c>
    </row>
    <row r="325">
      <c r="A325" t="inlineStr">
        <is>
          <t>BALAMINES</t>
        </is>
      </c>
      <c r="B325" t="inlineStr">
        <is>
          <t>Bear</t>
        </is>
      </c>
      <c r="C325" t="n">
        <v>2247</v>
      </c>
      <c r="D325" s="22" t="n">
        <v>45575</v>
      </c>
      <c r="E325" t="n">
        <v>1772.3</v>
      </c>
      <c r="F325" s="22" t="n">
        <v>45660</v>
      </c>
      <c r="G325" t="n">
        <v>21.12594570538496</v>
      </c>
    </row>
    <row r="326">
      <c r="A326" t="inlineStr">
        <is>
          <t>BALAMINES</t>
        </is>
      </c>
      <c r="B326" t="inlineStr">
        <is>
          <t>Bull</t>
        </is>
      </c>
      <c r="C326" t="n">
        <v>2349.25</v>
      </c>
      <c r="D326" s="22" t="n">
        <v>45554</v>
      </c>
      <c r="E326" t="n">
        <v>2230.75</v>
      </c>
      <c r="F326" s="22" t="n">
        <v>45573</v>
      </c>
      <c r="G326" t="n">
        <v>-5.044163030754496</v>
      </c>
    </row>
    <row r="327">
      <c r="A327" t="inlineStr">
        <is>
          <t>BALAMINES</t>
        </is>
      </c>
      <c r="B327" t="inlineStr">
        <is>
          <t>Bear</t>
        </is>
      </c>
      <c r="C327" t="n">
        <v>2174</v>
      </c>
      <c r="D327" s="22" t="n">
        <v>45520</v>
      </c>
      <c r="E327" t="n">
        <v>2301.55</v>
      </c>
      <c r="F327" s="22" t="n">
        <v>45552</v>
      </c>
      <c r="G327" t="n">
        <v>-5.867065317387313</v>
      </c>
    </row>
    <row r="328">
      <c r="A328" t="inlineStr">
        <is>
          <t>BALAMINES</t>
        </is>
      </c>
      <c r="B328" t="inlineStr">
        <is>
          <t>Bull</t>
        </is>
      </c>
      <c r="C328" t="n">
        <v>2397.45</v>
      </c>
      <c r="D328" s="22" t="n">
        <v>45463</v>
      </c>
      <c r="E328" t="n">
        <v>2123.75</v>
      </c>
      <c r="F328" s="22" t="n">
        <v>45517</v>
      </c>
      <c r="G328" t="n">
        <v>-11.41629648167844</v>
      </c>
    </row>
    <row r="329">
      <c r="A329" t="inlineStr">
        <is>
          <t>BALAMINES</t>
        </is>
      </c>
      <c r="B329" t="inlineStr">
        <is>
          <t>Bear</t>
        </is>
      </c>
      <c r="C329" t="n">
        <v>2112</v>
      </c>
      <c r="D329" s="22" t="n">
        <v>45442</v>
      </c>
      <c r="E329" t="n">
        <v>2246.9</v>
      </c>
      <c r="F329" s="22" t="n">
        <v>45461</v>
      </c>
      <c r="G329" t="n">
        <v>-6.38731060606061</v>
      </c>
    </row>
    <row r="330">
      <c r="A330" t="inlineStr">
        <is>
          <t>BALAMINES</t>
        </is>
      </c>
      <c r="B330" t="inlineStr">
        <is>
          <t>Bull</t>
        </is>
      </c>
      <c r="C330" t="n">
        <v>2238.35</v>
      </c>
      <c r="D330" s="22" t="n">
        <v>45434</v>
      </c>
      <c r="E330" t="n">
        <v>2146.15</v>
      </c>
      <c r="F330" s="22" t="n">
        <v>45440</v>
      </c>
      <c r="G330" t="n">
        <v>-4.119105591172061</v>
      </c>
    </row>
    <row r="331">
      <c r="A331" t="inlineStr">
        <is>
          <t>BALAMINES</t>
        </is>
      </c>
      <c r="B331" t="inlineStr">
        <is>
          <t>Bear</t>
        </is>
      </c>
      <c r="C331" t="n">
        <v>2182.8</v>
      </c>
      <c r="D331" s="22" t="n">
        <v>45334</v>
      </c>
      <c r="E331" t="n">
        <v>2277.3</v>
      </c>
      <c r="F331" s="22" t="n">
        <v>45430</v>
      </c>
      <c r="G331" t="n">
        <v>-4.329301814183617</v>
      </c>
    </row>
    <row r="332">
      <c r="A332" t="inlineStr">
        <is>
          <t>BALAMINES</t>
        </is>
      </c>
      <c r="B332" t="inlineStr">
        <is>
          <t>Bull</t>
        </is>
      </c>
      <c r="C332" t="n">
        <v>2267.25</v>
      </c>
      <c r="D332" s="22" t="n">
        <v>45271</v>
      </c>
      <c r="E332" t="n">
        <v>2260.5</v>
      </c>
      <c r="F332" s="22" t="n">
        <v>45330</v>
      </c>
      <c r="G332" t="n">
        <v>-0.2977174991730069</v>
      </c>
    </row>
    <row r="333">
      <c r="A333" t="inlineStr">
        <is>
          <t>BALAMINES</t>
        </is>
      </c>
      <c r="B333" t="inlineStr">
        <is>
          <t>Bear</t>
        </is>
      </c>
      <c r="C333" t="n">
        <v>2196</v>
      </c>
      <c r="D333" s="22" t="n">
        <v>45216</v>
      </c>
      <c r="E333" t="n">
        <v>2351</v>
      </c>
      <c r="F333" s="22" t="n">
        <v>45267</v>
      </c>
      <c r="G333" t="n">
        <v>-7.058287795992714</v>
      </c>
    </row>
    <row r="334">
      <c r="A334" t="inlineStr">
        <is>
          <t>BALAMINES</t>
        </is>
      </c>
      <c r="B334" t="inlineStr">
        <is>
          <t>Bull</t>
        </is>
      </c>
      <c r="C334" t="n">
        <v>2235.75</v>
      </c>
      <c r="D334" s="22" t="n">
        <v>45177</v>
      </c>
      <c r="E334" t="n">
        <v>2199.95</v>
      </c>
      <c r="F334" s="22" t="n">
        <v>45212</v>
      </c>
      <c r="G334" t="n">
        <v>-1.601252376160133</v>
      </c>
    </row>
    <row r="335">
      <c r="A335" t="inlineStr">
        <is>
          <t>BALAMINES</t>
        </is>
      </c>
      <c r="B335" t="inlineStr">
        <is>
          <t>Bear</t>
        </is>
      </c>
      <c r="C335" t="n">
        <v>2210</v>
      </c>
      <c r="D335" s="22" t="n">
        <v>45125</v>
      </c>
      <c r="E335" t="n">
        <v>2226.55</v>
      </c>
      <c r="F335" s="22" t="n">
        <v>45175</v>
      </c>
      <c r="G335" t="n">
        <v>-0.7488687782805512</v>
      </c>
    </row>
    <row r="336">
      <c r="A336" t="inlineStr">
        <is>
          <t>BALAMINES</t>
        </is>
      </c>
      <c r="B336" t="inlineStr">
        <is>
          <t>Bull</t>
        </is>
      </c>
      <c r="C336" t="n">
        <v>2396.95</v>
      </c>
      <c r="D336" s="22" t="n">
        <v>45098</v>
      </c>
      <c r="E336" t="n">
        <v>2207.7</v>
      </c>
      <c r="F336" s="22" t="n">
        <v>45121</v>
      </c>
      <c r="G336" t="n">
        <v>-7.895450468303469</v>
      </c>
    </row>
    <row r="337">
      <c r="A337" t="inlineStr">
        <is>
          <t>BALAMINES</t>
        </is>
      </c>
      <c r="B337" t="inlineStr">
        <is>
          <t>Bear</t>
        </is>
      </c>
      <c r="C337" t="n">
        <v>2121.25</v>
      </c>
      <c r="D337" s="22" t="n">
        <v>45076</v>
      </c>
      <c r="E337" t="n">
        <v>2371</v>
      </c>
      <c r="F337" s="22" t="n">
        <v>45096</v>
      </c>
      <c r="G337" t="n">
        <v>-11.77371832645846</v>
      </c>
    </row>
    <row r="338">
      <c r="A338" t="inlineStr">
        <is>
          <t>BALAMINES</t>
        </is>
      </c>
      <c r="B338" t="inlineStr">
        <is>
          <t>Bull</t>
        </is>
      </c>
      <c r="C338" t="n">
        <v>2387.05</v>
      </c>
      <c r="D338" s="22" t="n">
        <v>45055</v>
      </c>
      <c r="E338" t="n">
        <v>2158.75</v>
      </c>
      <c r="F338" s="22" t="n">
        <v>45072</v>
      </c>
      <c r="G338" t="n">
        <v>-9.564106323704999</v>
      </c>
    </row>
    <row r="339">
      <c r="A339" t="inlineStr">
        <is>
          <t>BALKRISIND</t>
        </is>
      </c>
      <c r="B339" t="inlineStr">
        <is>
          <t>Bear</t>
        </is>
      </c>
      <c r="C339" t="n">
        <v>3004.35</v>
      </c>
      <c r="D339" s="22" t="n">
        <v>45573</v>
      </c>
      <c r="E339" t="n">
        <v>2818.7</v>
      </c>
      <c r="F339" s="22" t="n">
        <v>45660</v>
      </c>
      <c r="G339" t="n">
        <v>6.179373242132245</v>
      </c>
    </row>
    <row r="340">
      <c r="A340" t="inlineStr">
        <is>
          <t>BALKRISIND</t>
        </is>
      </c>
      <c r="B340" t="inlineStr">
        <is>
          <t>Bull</t>
        </is>
      </c>
      <c r="C340" t="n">
        <v>3077.9</v>
      </c>
      <c r="D340" s="22" t="n">
        <v>45555</v>
      </c>
      <c r="E340" t="n">
        <v>2859.55</v>
      </c>
      <c r="F340" s="22" t="n">
        <v>45569</v>
      </c>
      <c r="G340" t="n">
        <v>-7.094122616069395</v>
      </c>
    </row>
    <row r="341">
      <c r="A341" t="inlineStr">
        <is>
          <t>BALKRISIND</t>
        </is>
      </c>
      <c r="B341" t="inlineStr">
        <is>
          <t>Bear</t>
        </is>
      </c>
      <c r="C341" t="n">
        <v>2802.3</v>
      </c>
      <c r="D341" s="22" t="n">
        <v>45523</v>
      </c>
      <c r="E341" t="n">
        <v>3035.55</v>
      </c>
      <c r="F341" s="22" t="n">
        <v>45553</v>
      </c>
      <c r="G341" t="n">
        <v>-8.323519965742426</v>
      </c>
    </row>
    <row r="342">
      <c r="A342" t="inlineStr">
        <is>
          <t>BALKRISIND</t>
        </is>
      </c>
      <c r="B342" t="inlineStr">
        <is>
          <t>Bull</t>
        </is>
      </c>
      <c r="C342" t="n">
        <v>2396</v>
      </c>
      <c r="D342" s="22" t="n">
        <v>45411</v>
      </c>
      <c r="E342" t="n">
        <v>2781.45</v>
      </c>
      <c r="F342" s="22" t="n">
        <v>45518</v>
      </c>
      <c r="G342" t="n">
        <v>16.0872287145242</v>
      </c>
    </row>
    <row r="343">
      <c r="A343" t="inlineStr">
        <is>
          <t>BALKRISIND</t>
        </is>
      </c>
      <c r="B343" t="inlineStr">
        <is>
          <t>Bear</t>
        </is>
      </c>
      <c r="C343" t="n">
        <v>2452.4</v>
      </c>
      <c r="D343" s="22" t="n">
        <v>45324</v>
      </c>
      <c r="E343" t="n">
        <v>2390.75</v>
      </c>
      <c r="F343" s="22" t="n">
        <v>45407</v>
      </c>
      <c r="G343" t="n">
        <v>2.513863969988586</v>
      </c>
    </row>
    <row r="344">
      <c r="A344" t="inlineStr">
        <is>
          <t>BALKRISIND</t>
        </is>
      </c>
      <c r="B344" t="inlineStr">
        <is>
          <t>Bull</t>
        </is>
      </c>
      <c r="C344" t="n">
        <v>2665.5</v>
      </c>
      <c r="D344" s="22" t="n">
        <v>45302</v>
      </c>
      <c r="E344" t="n">
        <v>2454.25</v>
      </c>
      <c r="F344" s="22" t="n">
        <v>45322</v>
      </c>
      <c r="G344" t="n">
        <v>-7.925342337272556</v>
      </c>
    </row>
    <row r="345">
      <c r="A345" t="inlineStr">
        <is>
          <t>BALKRISIND</t>
        </is>
      </c>
      <c r="B345" t="inlineStr">
        <is>
          <t>Bear</t>
        </is>
      </c>
      <c r="C345" t="n">
        <v>2501.6</v>
      </c>
      <c r="D345" s="22" t="n">
        <v>45282</v>
      </c>
      <c r="E345" t="n">
        <v>2623.5</v>
      </c>
      <c r="F345" s="22" t="n">
        <v>45300</v>
      </c>
      <c r="G345" t="n">
        <v>-4.872881355932207</v>
      </c>
    </row>
    <row r="346">
      <c r="A346" t="inlineStr">
        <is>
          <t>BALKRISIND</t>
        </is>
      </c>
      <c r="B346" t="inlineStr">
        <is>
          <t>Bull</t>
        </is>
      </c>
      <c r="C346" t="n">
        <v>2094.9</v>
      </c>
      <c r="D346" s="22" t="n">
        <v>45049</v>
      </c>
      <c r="E346" t="n">
        <v>2435.65</v>
      </c>
      <c r="F346" s="22" t="n">
        <v>45280</v>
      </c>
      <c r="G346" t="n">
        <v>16.26569287316817</v>
      </c>
    </row>
    <row r="347">
      <c r="A347" t="inlineStr">
        <is>
          <t>BALRAMCHIN</t>
        </is>
      </c>
      <c r="B347" t="inlineStr">
        <is>
          <t>Bear</t>
        </is>
      </c>
      <c r="C347" t="n">
        <v>525.3</v>
      </c>
      <c r="D347" s="22" t="n">
        <v>45614</v>
      </c>
      <c r="E347" t="n">
        <v>521.75</v>
      </c>
      <c r="F347" s="22" t="n">
        <v>45660</v>
      </c>
      <c r="G347" t="n">
        <v>0.675804302303437</v>
      </c>
    </row>
    <row r="348">
      <c r="A348" t="inlineStr">
        <is>
          <t>BALRAMCHIN</t>
        </is>
      </c>
      <c r="B348" t="inlineStr">
        <is>
          <t>Bull</t>
        </is>
      </c>
      <c r="C348" t="n">
        <v>386.35</v>
      </c>
      <c r="D348" s="22" t="n">
        <v>45449</v>
      </c>
      <c r="E348" t="n">
        <v>547.6</v>
      </c>
      <c r="F348" s="22" t="n">
        <v>45609</v>
      </c>
      <c r="G348" t="n">
        <v>41.73676718001811</v>
      </c>
    </row>
    <row r="349">
      <c r="A349" t="inlineStr">
        <is>
          <t>BALRAMCHIN</t>
        </is>
      </c>
      <c r="B349" t="inlineStr">
        <is>
          <t>Bear</t>
        </is>
      </c>
      <c r="C349" t="n">
        <v>344.15</v>
      </c>
      <c r="D349" s="22" t="n">
        <v>44797</v>
      </c>
      <c r="E349" t="n">
        <v>364.1</v>
      </c>
      <c r="F349" s="22" t="n">
        <v>45447</v>
      </c>
      <c r="G349" t="n">
        <v>-5.796890890600043</v>
      </c>
    </row>
    <row r="350">
      <c r="A350" t="inlineStr">
        <is>
          <t>BALRAMCHIN</t>
        </is>
      </c>
      <c r="B350" t="inlineStr">
        <is>
          <t>Bull</t>
        </is>
      </c>
      <c r="C350" t="n">
        <v>401.7</v>
      </c>
      <c r="D350" s="22" t="n">
        <v>45411</v>
      </c>
      <c r="E350" t="n">
        <v>391.1</v>
      </c>
      <c r="F350" s="22" t="n">
        <v>45446</v>
      </c>
      <c r="G350" t="n">
        <v>-2.638785163056999</v>
      </c>
    </row>
    <row r="351">
      <c r="A351" t="inlineStr">
        <is>
          <t>BALRAMCHIN</t>
        </is>
      </c>
      <c r="B351" t="inlineStr">
        <is>
          <t>Bear</t>
        </is>
      </c>
      <c r="C351" t="n">
        <v>386.5</v>
      </c>
      <c r="D351" s="22" t="n">
        <v>45274</v>
      </c>
      <c r="E351" t="n">
        <v>388.05</v>
      </c>
      <c r="F351" s="22" t="n">
        <v>45407</v>
      </c>
      <c r="G351" t="n">
        <v>-0.4010349288486447</v>
      </c>
    </row>
    <row r="352">
      <c r="A352" t="inlineStr">
        <is>
          <t>BALRAMCHIN</t>
        </is>
      </c>
      <c r="B352" t="inlineStr">
        <is>
          <t>Bull</t>
        </is>
      </c>
      <c r="C352" t="n">
        <v>404.4</v>
      </c>
      <c r="D352" s="22" t="n">
        <v>45174</v>
      </c>
      <c r="E352" t="n">
        <v>389.7</v>
      </c>
      <c r="F352" s="22" t="n">
        <v>45272</v>
      </c>
      <c r="G352" t="n">
        <v>-3.63501483679525</v>
      </c>
    </row>
    <row r="353">
      <c r="A353" t="inlineStr">
        <is>
          <t>BALRAMCHIN</t>
        </is>
      </c>
      <c r="B353" t="inlineStr">
        <is>
          <t>Bear</t>
        </is>
      </c>
      <c r="C353" t="n">
        <v>388</v>
      </c>
      <c r="D353" s="22" t="n">
        <v>45166</v>
      </c>
      <c r="E353" t="n">
        <v>395.5</v>
      </c>
      <c r="F353" s="22" t="n">
        <v>45170</v>
      </c>
      <c r="G353" t="n">
        <v>-1.93298969072165</v>
      </c>
    </row>
    <row r="354">
      <c r="A354" t="inlineStr">
        <is>
          <t>BALRAMCHIN</t>
        </is>
      </c>
      <c r="B354" t="inlineStr">
        <is>
          <t>Bull</t>
        </is>
      </c>
      <c r="C354" t="n">
        <v>408.45</v>
      </c>
      <c r="D354" s="22" t="n">
        <v>45139</v>
      </c>
      <c r="E354" t="n">
        <v>393.25</v>
      </c>
      <c r="F354" s="22" t="n">
        <v>45162</v>
      </c>
      <c r="G354" t="n">
        <v>-3.721385726527112</v>
      </c>
    </row>
    <row r="355">
      <c r="A355" t="inlineStr">
        <is>
          <t>BALRAMCHIN</t>
        </is>
      </c>
      <c r="B355" t="inlineStr">
        <is>
          <t>Bear</t>
        </is>
      </c>
      <c r="C355" t="n">
        <v>382.5</v>
      </c>
      <c r="D355" s="22" t="n">
        <v>45104</v>
      </c>
      <c r="E355" t="n">
        <v>394.55</v>
      </c>
      <c r="F355" s="22" t="n">
        <v>45135</v>
      </c>
      <c r="G355" t="n">
        <v>-3.150326797385624</v>
      </c>
    </row>
    <row r="356">
      <c r="A356" t="inlineStr">
        <is>
          <t>BALRAMCHIN</t>
        </is>
      </c>
      <c r="B356" t="inlineStr">
        <is>
          <t>Bull</t>
        </is>
      </c>
      <c r="C356" t="n">
        <v>390.5</v>
      </c>
      <c r="D356" s="22" t="n">
        <v>45100</v>
      </c>
      <c r="E356" t="n">
        <v>390.5</v>
      </c>
      <c r="F356" s="22" t="n">
        <v>45100</v>
      </c>
      <c r="G356" t="n">
        <v>0</v>
      </c>
    </row>
    <row r="357">
      <c r="A357" t="inlineStr">
        <is>
          <t>BALRAMCHIN</t>
        </is>
      </c>
      <c r="B357" t="inlineStr">
        <is>
          <t>Bear</t>
        </is>
      </c>
      <c r="C357" t="n">
        <v>389.95</v>
      </c>
      <c r="D357" s="22" t="n">
        <v>45072</v>
      </c>
      <c r="E357" t="n">
        <v>399.05</v>
      </c>
      <c r="F357" s="22" t="n">
        <v>45098</v>
      </c>
      <c r="G357" t="n">
        <v>-2.333632516989363</v>
      </c>
    </row>
    <row r="358">
      <c r="A358" t="inlineStr">
        <is>
          <t>BALRAMCHIN</t>
        </is>
      </c>
      <c r="B358" t="inlineStr">
        <is>
          <t>Bull</t>
        </is>
      </c>
      <c r="C358" t="n">
        <v>406.65</v>
      </c>
      <c r="D358" s="22" t="n">
        <v>45019</v>
      </c>
      <c r="E358" t="n">
        <v>391.05</v>
      </c>
      <c r="F358" s="22" t="n">
        <v>45070</v>
      </c>
      <c r="G358" t="n">
        <v>-3.836222796016222</v>
      </c>
    </row>
    <row r="359">
      <c r="A359" t="inlineStr">
        <is>
          <t>BANKBARODA</t>
        </is>
      </c>
      <c r="B359" t="inlineStr">
        <is>
          <t>Bear</t>
        </is>
      </c>
      <c r="C359" t="n">
        <v>240.55</v>
      </c>
      <c r="D359" s="22" t="n">
        <v>45657</v>
      </c>
      <c r="E359" t="n">
        <v>241.64</v>
      </c>
      <c r="F359" s="22" t="n">
        <v>45660</v>
      </c>
      <c r="G359" t="n">
        <v>-0.4531282477655269</v>
      </c>
    </row>
    <row r="360">
      <c r="A360" t="inlineStr">
        <is>
          <t>BANKBARODA</t>
        </is>
      </c>
      <c r="B360" t="inlineStr">
        <is>
          <t>Bull</t>
        </is>
      </c>
      <c r="C360" t="n">
        <v>259.98</v>
      </c>
      <c r="D360" s="22" t="n">
        <v>45631</v>
      </c>
      <c r="E360" t="n">
        <v>244.99</v>
      </c>
      <c r="F360" s="22" t="n">
        <v>45653</v>
      </c>
      <c r="G360" t="n">
        <v>-5.765828140626205</v>
      </c>
    </row>
    <row r="361">
      <c r="A361" t="inlineStr">
        <is>
          <t>BANKBARODA</t>
        </is>
      </c>
      <c r="B361" t="inlineStr">
        <is>
          <t>Bear</t>
        </is>
      </c>
      <c r="C361" t="n">
        <v>236</v>
      </c>
      <c r="D361" s="22" t="n">
        <v>45618</v>
      </c>
      <c r="E361" t="n">
        <v>254.55</v>
      </c>
      <c r="F361" s="22" t="n">
        <v>45629</v>
      </c>
      <c r="G361" t="n">
        <v>-7.860169491525429</v>
      </c>
    </row>
    <row r="362">
      <c r="A362" t="inlineStr">
        <is>
          <t>BANKBARODA</t>
        </is>
      </c>
      <c r="B362" t="inlineStr">
        <is>
          <t>Bull</t>
        </is>
      </c>
      <c r="C362" t="n">
        <v>252.65</v>
      </c>
      <c r="D362" s="22" t="n">
        <v>45600</v>
      </c>
      <c r="E362" t="n">
        <v>237.2</v>
      </c>
      <c r="F362" s="22" t="n">
        <v>45615</v>
      </c>
      <c r="G362" t="n">
        <v>-6.115179101523854</v>
      </c>
    </row>
    <row r="363">
      <c r="A363" t="inlineStr">
        <is>
          <t>BANKBARODA</t>
        </is>
      </c>
      <c r="B363" t="inlineStr">
        <is>
          <t>Bear</t>
        </is>
      </c>
      <c r="C363" t="n">
        <v>250.6</v>
      </c>
      <c r="D363" s="22" t="n">
        <v>45485</v>
      </c>
      <c r="E363" t="n">
        <v>250.96</v>
      </c>
      <c r="F363" s="22" t="n">
        <v>45596</v>
      </c>
      <c r="G363" t="n">
        <v>-0.1436552274541156</v>
      </c>
    </row>
    <row r="364">
      <c r="A364" t="inlineStr">
        <is>
          <t>BANKBARODA</t>
        </is>
      </c>
      <c r="B364" t="inlineStr">
        <is>
          <t>Bull</t>
        </is>
      </c>
      <c r="C364" t="n">
        <v>211.15</v>
      </c>
      <c r="D364" s="22" t="n">
        <v>45267</v>
      </c>
      <c r="E364" t="n">
        <v>256.55</v>
      </c>
      <c r="F364" s="22" t="n">
        <v>45483</v>
      </c>
      <c r="G364" t="n">
        <v>21.50130239166469</v>
      </c>
    </row>
    <row r="365">
      <c r="A365" t="inlineStr">
        <is>
          <t>BANKBARODA</t>
        </is>
      </c>
      <c r="B365" t="inlineStr">
        <is>
          <t>Bear</t>
        </is>
      </c>
      <c r="C365" t="n">
        <v>198.25</v>
      </c>
      <c r="D365" s="22" t="n">
        <v>45229</v>
      </c>
      <c r="E365" t="n">
        <v>210.85</v>
      </c>
      <c r="F365" s="22" t="n">
        <v>45265</v>
      </c>
      <c r="G365" t="n">
        <v>-6.355611601513238</v>
      </c>
    </row>
    <row r="366">
      <c r="A366" t="inlineStr">
        <is>
          <t>BANKBARODA</t>
        </is>
      </c>
      <c r="B366" t="inlineStr">
        <is>
          <t>Bull</t>
        </is>
      </c>
      <c r="C366" t="n">
        <v>199.95</v>
      </c>
      <c r="D366" s="22" t="n">
        <v>45181</v>
      </c>
      <c r="E366" t="n">
        <v>189.15</v>
      </c>
      <c r="F366" s="22" t="n">
        <v>45225</v>
      </c>
      <c r="G366" t="n">
        <v>-5.401350337584388</v>
      </c>
    </row>
    <row r="367">
      <c r="A367" t="inlineStr">
        <is>
          <t>BANKBARODA</t>
        </is>
      </c>
      <c r="B367" t="inlineStr">
        <is>
          <t>Bear</t>
        </is>
      </c>
      <c r="C367" t="n">
        <v>190.2</v>
      </c>
      <c r="D367" s="22" t="n">
        <v>45160</v>
      </c>
      <c r="E367" t="n">
        <v>197.8</v>
      </c>
      <c r="F367" s="22" t="n">
        <v>45177</v>
      </c>
      <c r="G367" t="n">
        <v>-3.995793901156689</v>
      </c>
    </row>
    <row r="368">
      <c r="A368" t="inlineStr">
        <is>
          <t>BANKBARODA</t>
        </is>
      </c>
      <c r="B368" t="inlineStr">
        <is>
          <t>Bull</t>
        </is>
      </c>
      <c r="C368" t="n">
        <v>176</v>
      </c>
      <c r="D368" s="22" t="n">
        <v>45033</v>
      </c>
      <c r="E368" t="n">
        <v>191.35</v>
      </c>
      <c r="F368" s="22" t="n">
        <v>45156</v>
      </c>
      <c r="G368" t="n">
        <v>8.721590909090905</v>
      </c>
    </row>
    <row r="369">
      <c r="A369" t="inlineStr">
        <is>
          <t>MAHABANK</t>
        </is>
      </c>
      <c r="B369" t="inlineStr">
        <is>
          <t>Bear</t>
        </is>
      </c>
      <c r="C369" t="n">
        <v>53.65</v>
      </c>
      <c r="D369" s="22" t="n">
        <v>45650</v>
      </c>
      <c r="E369" t="n">
        <v>55.13</v>
      </c>
      <c r="F369" s="22" t="n">
        <v>45660</v>
      </c>
      <c r="G369" t="n">
        <v>-2.75862068965518</v>
      </c>
    </row>
    <row r="370">
      <c r="A370" t="inlineStr">
        <is>
          <t>MAHABANK</t>
        </is>
      </c>
      <c r="B370" t="inlineStr">
        <is>
          <t>Bull</t>
        </is>
      </c>
      <c r="C370" t="n">
        <v>57.29</v>
      </c>
      <c r="D370" s="22" t="n">
        <v>45635</v>
      </c>
      <c r="E370" t="n">
        <v>54.74</v>
      </c>
      <c r="F370" s="22" t="n">
        <v>45646</v>
      </c>
      <c r="G370" t="n">
        <v>-4.451038575667651</v>
      </c>
    </row>
    <row r="371">
      <c r="A371" t="inlineStr">
        <is>
          <t>MAHABANK</t>
        </is>
      </c>
      <c r="B371" t="inlineStr">
        <is>
          <t>Bear</t>
        </is>
      </c>
      <c r="C371" t="n">
        <v>62.86</v>
      </c>
      <c r="D371" s="22" t="n">
        <v>45511</v>
      </c>
      <c r="E371" t="n">
        <v>58.33</v>
      </c>
      <c r="F371" s="22" t="n">
        <v>45631</v>
      </c>
      <c r="G371" t="n">
        <v>7.206490614062999</v>
      </c>
    </row>
    <row r="372">
      <c r="A372" t="inlineStr">
        <is>
          <t>MAHABANK</t>
        </is>
      </c>
      <c r="B372" t="inlineStr">
        <is>
          <t>Bull</t>
        </is>
      </c>
      <c r="C372" t="n">
        <v>65.65000000000001</v>
      </c>
      <c r="D372" s="22" t="n">
        <v>45492</v>
      </c>
      <c r="E372" t="n">
        <v>62.17</v>
      </c>
      <c r="F372" s="22" t="n">
        <v>45509</v>
      </c>
      <c r="G372" t="n">
        <v>-5.300837776085307</v>
      </c>
    </row>
    <row r="373">
      <c r="A373" t="inlineStr">
        <is>
          <t>MAHABANK</t>
        </is>
      </c>
      <c r="B373" t="inlineStr">
        <is>
          <t>Bear</t>
        </is>
      </c>
      <c r="C373" t="n">
        <v>63.77</v>
      </c>
      <c r="D373" s="22" t="n">
        <v>45478</v>
      </c>
      <c r="E373" t="n">
        <v>67.69</v>
      </c>
      <c r="F373" s="22" t="n">
        <v>45489</v>
      </c>
      <c r="G373" t="n">
        <v>-6.147091108671781</v>
      </c>
    </row>
    <row r="374">
      <c r="A374" t="inlineStr">
        <is>
          <t>MAHABANK</t>
        </is>
      </c>
      <c r="B374" t="inlineStr">
        <is>
          <t>Bull</t>
        </is>
      </c>
      <c r="C374" t="n">
        <v>32</v>
      </c>
      <c r="D374" s="22" t="n">
        <v>45114</v>
      </c>
      <c r="E374" t="n">
        <v>63.84</v>
      </c>
      <c r="F374" s="22" t="n">
        <v>45476</v>
      </c>
      <c r="G374" t="n">
        <v>99.50000000000001</v>
      </c>
    </row>
    <row r="375">
      <c r="A375" t="inlineStr">
        <is>
          <t>MAHABANK</t>
        </is>
      </c>
      <c r="B375" t="inlineStr">
        <is>
          <t>Bear</t>
        </is>
      </c>
      <c r="C375" t="n">
        <v>28.15</v>
      </c>
      <c r="D375" s="22" t="n">
        <v>45098</v>
      </c>
      <c r="E375" t="n">
        <v>30.85</v>
      </c>
      <c r="F375" s="22" t="n">
        <v>45112</v>
      </c>
      <c r="G375" t="n">
        <v>-9.591474245115464</v>
      </c>
    </row>
    <row r="376">
      <c r="A376" t="inlineStr">
        <is>
          <t>MAHABANK</t>
        </is>
      </c>
      <c r="B376" t="inlineStr">
        <is>
          <t>Bull</t>
        </is>
      </c>
      <c r="C376" t="n">
        <v>27.85</v>
      </c>
      <c r="D376" s="22" t="n">
        <v>45037</v>
      </c>
      <c r="E376" t="n">
        <v>27.9</v>
      </c>
      <c r="F376" s="22" t="n">
        <v>45096</v>
      </c>
      <c r="G376" t="n">
        <v>0.179533213644514</v>
      </c>
    </row>
    <row r="377">
      <c r="A377" t="inlineStr">
        <is>
          <t>BATAINDIA</t>
        </is>
      </c>
      <c r="B377" t="inlineStr">
        <is>
          <t>Bull</t>
        </is>
      </c>
      <c r="C377" t="n">
        <v>1399.3</v>
      </c>
      <c r="D377" s="22" t="n">
        <v>45012</v>
      </c>
      <c r="E377" t="n">
        <v>1460.8</v>
      </c>
      <c r="F377" s="22" t="n">
        <v>45660</v>
      </c>
      <c r="G377" t="n">
        <v>4.395054670192239</v>
      </c>
    </row>
    <row r="378">
      <c r="A378" t="inlineStr">
        <is>
          <t>BATAINDIA</t>
        </is>
      </c>
      <c r="B378" t="inlineStr">
        <is>
          <t>Bear</t>
        </is>
      </c>
      <c r="C378" t="n">
        <v>1381.3</v>
      </c>
      <c r="D378" s="22" t="n">
        <v>45653</v>
      </c>
      <c r="E378" t="n">
        <v>1421.6</v>
      </c>
      <c r="F378" s="22" t="n">
        <v>45659</v>
      </c>
      <c r="G378" t="n">
        <v>-2.917541446463473</v>
      </c>
    </row>
    <row r="379">
      <c r="A379" t="inlineStr">
        <is>
          <t>BATAINDIA</t>
        </is>
      </c>
      <c r="B379" t="inlineStr">
        <is>
          <t>Bull</t>
        </is>
      </c>
      <c r="C379" t="n">
        <v>1448.25</v>
      </c>
      <c r="D379" s="22" t="n">
        <v>45635</v>
      </c>
      <c r="E379" t="n">
        <v>1361.5</v>
      </c>
      <c r="F379" s="22" t="n">
        <v>45650</v>
      </c>
      <c r="G379" t="n">
        <v>-5.989987916450889</v>
      </c>
    </row>
    <row r="380">
      <c r="A380" t="inlineStr">
        <is>
          <t>BATAINDIA</t>
        </is>
      </c>
      <c r="B380" t="inlineStr">
        <is>
          <t>Bear</t>
        </is>
      </c>
      <c r="C380" t="n">
        <v>1419.25</v>
      </c>
      <c r="D380" s="22" t="n">
        <v>45524</v>
      </c>
      <c r="E380" t="n">
        <v>1439.75</v>
      </c>
      <c r="F380" s="22" t="n">
        <v>45631</v>
      </c>
      <c r="G380" t="n">
        <v>-1.444424872291703</v>
      </c>
    </row>
    <row r="381">
      <c r="A381" t="inlineStr">
        <is>
          <t>BATAINDIA</t>
        </is>
      </c>
      <c r="B381" t="inlineStr">
        <is>
          <t>Bull</t>
        </is>
      </c>
      <c r="C381" t="n">
        <v>1465.9</v>
      </c>
      <c r="D381" s="22" t="n">
        <v>45450</v>
      </c>
      <c r="E381" t="n">
        <v>1421.15</v>
      </c>
      <c r="F381" s="22" t="n">
        <v>45520</v>
      </c>
      <c r="G381" t="n">
        <v>-3.052732109966573</v>
      </c>
    </row>
    <row r="382">
      <c r="A382" t="inlineStr">
        <is>
          <t>BATAINDIA</t>
        </is>
      </c>
      <c r="B382" t="inlineStr">
        <is>
          <t>Bear</t>
        </is>
      </c>
      <c r="C382" t="n">
        <v>1569.2</v>
      </c>
      <c r="D382" s="22" t="n">
        <v>45300</v>
      </c>
      <c r="E382" t="n">
        <v>1423.95</v>
      </c>
      <c r="F382" s="22" t="n">
        <v>45448</v>
      </c>
      <c r="G382" t="n">
        <v>9.25630894723426</v>
      </c>
    </row>
    <row r="383">
      <c r="A383" t="inlineStr">
        <is>
          <t>BATAINDIA</t>
        </is>
      </c>
      <c r="B383" t="inlineStr">
        <is>
          <t>Bull</t>
        </is>
      </c>
      <c r="C383" t="n">
        <v>1663.35</v>
      </c>
      <c r="D383" s="22" t="n">
        <v>45268</v>
      </c>
      <c r="E383" t="n">
        <v>1621.2</v>
      </c>
      <c r="F383" s="22" t="n">
        <v>45296</v>
      </c>
      <c r="G383" t="n">
        <v>-2.534042745062667</v>
      </c>
    </row>
    <row r="384">
      <c r="A384" t="inlineStr">
        <is>
          <t>BATAINDIA</t>
        </is>
      </c>
      <c r="B384" t="inlineStr">
        <is>
          <t>Bear</t>
        </is>
      </c>
      <c r="C384" t="n">
        <v>1615.7</v>
      </c>
      <c r="D384" s="22" t="n">
        <v>45195</v>
      </c>
      <c r="E384" t="n">
        <v>1644.45</v>
      </c>
      <c r="F384" s="22" t="n">
        <v>45266</v>
      </c>
      <c r="G384" t="n">
        <v>-1.77941449526521</v>
      </c>
    </row>
    <row r="385">
      <c r="A385" t="inlineStr">
        <is>
          <t>BATAINDIA</t>
        </is>
      </c>
      <c r="B385" t="inlineStr">
        <is>
          <t>Bull</t>
        </is>
      </c>
      <c r="C385" t="n">
        <v>1505.05</v>
      </c>
      <c r="D385" s="22" t="n">
        <v>45050</v>
      </c>
      <c r="E385" t="n">
        <v>1633.6</v>
      </c>
      <c r="F385" s="22" t="n">
        <v>45191</v>
      </c>
      <c r="G385" t="n">
        <v>8.541244476927675</v>
      </c>
    </row>
    <row r="386">
      <c r="A386" t="inlineStr">
        <is>
          <t>BAYERCROP</t>
        </is>
      </c>
      <c r="B386" t="inlineStr">
        <is>
          <t>Bear</t>
        </is>
      </c>
      <c r="C386" t="n">
        <v>5686.7</v>
      </c>
      <c r="D386" s="22" t="n">
        <v>45614</v>
      </c>
      <c r="E386" t="n">
        <v>5627.3</v>
      </c>
      <c r="F386" s="22" t="n">
        <v>45660</v>
      </c>
      <c r="G386" t="n">
        <v>1.044542529059026</v>
      </c>
    </row>
    <row r="387">
      <c r="A387" t="inlineStr">
        <is>
          <t>BAYERCROP</t>
        </is>
      </c>
      <c r="B387" t="inlineStr">
        <is>
          <t>Bull</t>
        </is>
      </c>
      <c r="C387" t="n">
        <v>6587.45</v>
      </c>
      <c r="D387" s="22" t="n">
        <v>45572</v>
      </c>
      <c r="E387" t="n">
        <v>6078.8</v>
      </c>
      <c r="F387" s="22" t="n">
        <v>45609</v>
      </c>
      <c r="G387" t="n">
        <v>-7.721500732453372</v>
      </c>
    </row>
    <row r="388">
      <c r="A388" t="inlineStr">
        <is>
          <t>BAYERCROP</t>
        </is>
      </c>
      <c r="B388" t="inlineStr">
        <is>
          <t>Bear</t>
        </is>
      </c>
      <c r="C388" t="n">
        <v>6250.4</v>
      </c>
      <c r="D388" s="22" t="n">
        <v>45560</v>
      </c>
      <c r="E388" t="n">
        <v>6497.05</v>
      </c>
      <c r="F388" s="22" t="n">
        <v>45568</v>
      </c>
      <c r="G388" t="n">
        <v>-3.946147446563429</v>
      </c>
    </row>
    <row r="389">
      <c r="A389" t="inlineStr">
        <is>
          <t>BAYERCROP</t>
        </is>
      </c>
      <c r="B389" t="inlineStr">
        <is>
          <t>Bull</t>
        </is>
      </c>
      <c r="C389" t="n">
        <v>6080.5</v>
      </c>
      <c r="D389" s="22" t="n">
        <v>45455</v>
      </c>
      <c r="E389" t="n">
        <v>6238.15</v>
      </c>
      <c r="F389" s="22" t="n">
        <v>45558</v>
      </c>
      <c r="G389" t="n">
        <v>2.592714414932977</v>
      </c>
    </row>
    <row r="390">
      <c r="A390" t="inlineStr">
        <is>
          <t>BAYERCROP</t>
        </is>
      </c>
      <c r="B390" t="inlineStr">
        <is>
          <t>Bear</t>
        </is>
      </c>
      <c r="C390" t="n">
        <v>5226.85</v>
      </c>
      <c r="D390" s="22" t="n">
        <v>45440</v>
      </c>
      <c r="E390" t="n">
        <v>5911.9</v>
      </c>
      <c r="F390" s="22" t="n">
        <v>45453</v>
      </c>
      <c r="G390" t="n">
        <v>-13.10636425380486</v>
      </c>
    </row>
    <row r="391">
      <c r="A391" t="inlineStr">
        <is>
          <t>BAYERCROP</t>
        </is>
      </c>
      <c r="B391" t="inlineStr">
        <is>
          <t>Bull</t>
        </is>
      </c>
      <c r="C391" t="n">
        <v>5591.1</v>
      </c>
      <c r="D391" s="22" t="n">
        <v>45435</v>
      </c>
      <c r="E391" t="n">
        <v>5281</v>
      </c>
      <c r="F391" s="22" t="n">
        <v>45436</v>
      </c>
      <c r="G391" t="n">
        <v>-5.546314678685774</v>
      </c>
    </row>
    <row r="392">
      <c r="A392" t="inlineStr">
        <is>
          <t>BAYERCROP</t>
        </is>
      </c>
      <c r="B392" t="inlineStr">
        <is>
          <t>Bear</t>
        </is>
      </c>
      <c r="C392" t="n">
        <v>5346.55</v>
      </c>
      <c r="D392" s="22" t="n">
        <v>45362</v>
      </c>
      <c r="E392" t="n">
        <v>5717.65</v>
      </c>
      <c r="F392" s="22" t="n">
        <v>45433</v>
      </c>
      <c r="G392" t="n">
        <v>-6.940924521420344</v>
      </c>
    </row>
    <row r="393">
      <c r="A393" t="inlineStr">
        <is>
          <t>BAYERCROP</t>
        </is>
      </c>
      <c r="B393" t="inlineStr">
        <is>
          <t>Bull</t>
        </is>
      </c>
      <c r="C393" t="n">
        <v>4412.3</v>
      </c>
      <c r="D393" s="22" t="n">
        <v>45082</v>
      </c>
      <c r="E393" t="n">
        <v>5469.2</v>
      </c>
      <c r="F393" s="22" t="n">
        <v>45357</v>
      </c>
      <c r="G393" t="n">
        <v>23.95349364277133</v>
      </c>
    </row>
    <row r="394">
      <c r="A394" t="inlineStr">
        <is>
          <t>BAYERCROP</t>
        </is>
      </c>
      <c r="B394" t="inlineStr">
        <is>
          <t>Bear</t>
        </is>
      </c>
      <c r="C394" t="n">
        <v>4629.55</v>
      </c>
      <c r="D394" s="22" t="n">
        <v>44946</v>
      </c>
      <c r="E394" t="n">
        <v>4293.95</v>
      </c>
      <c r="F394" s="22" t="n">
        <v>45078</v>
      </c>
      <c r="G394" t="n">
        <v>7.249084684256577</v>
      </c>
    </row>
    <row r="395">
      <c r="A395" t="inlineStr">
        <is>
          <t>BERGEPAINT</t>
        </is>
      </c>
      <c r="B395" t="inlineStr">
        <is>
          <t>Bear</t>
        </is>
      </c>
      <c r="C395" t="n">
        <v>534.6</v>
      </c>
      <c r="D395" s="22" t="n">
        <v>45588</v>
      </c>
      <c r="E395" t="n">
        <v>457.85</v>
      </c>
      <c r="F395" s="22" t="n">
        <v>45660</v>
      </c>
      <c r="G395" t="n">
        <v>14.35652824541713</v>
      </c>
    </row>
    <row r="396">
      <c r="A396" t="inlineStr">
        <is>
          <t>BERGEPAINT</t>
        </is>
      </c>
      <c r="B396" t="inlineStr">
        <is>
          <t>Bull</t>
        </is>
      </c>
      <c r="C396" t="n">
        <v>523.4</v>
      </c>
      <c r="D396" s="22" t="n">
        <v>45484</v>
      </c>
      <c r="E396" t="n">
        <v>556.65</v>
      </c>
      <c r="F396" s="22" t="n">
        <v>45586</v>
      </c>
      <c r="G396" t="n">
        <v>6.35269392434085</v>
      </c>
    </row>
    <row r="397">
      <c r="A397" t="inlineStr">
        <is>
          <t>BERGEPAINT</t>
        </is>
      </c>
      <c r="B397" t="inlineStr">
        <is>
          <t>Bear</t>
        </is>
      </c>
      <c r="C397" t="n">
        <v>557.8</v>
      </c>
      <c r="D397" s="22" t="n">
        <v>45366</v>
      </c>
      <c r="E397" t="n">
        <v>513.85</v>
      </c>
      <c r="F397" s="22" t="n">
        <v>45482</v>
      </c>
      <c r="G397" t="n">
        <v>7.879168160631039</v>
      </c>
    </row>
    <row r="398">
      <c r="A398" t="inlineStr">
        <is>
          <t>BERGEPAINT</t>
        </is>
      </c>
      <c r="B398" t="inlineStr">
        <is>
          <t>Bull</t>
        </is>
      </c>
      <c r="C398" t="n">
        <v>578.9</v>
      </c>
      <c r="D398" s="22" t="n">
        <v>45355</v>
      </c>
      <c r="E398" t="n">
        <v>556.75</v>
      </c>
      <c r="F398" s="22" t="n">
        <v>45364</v>
      </c>
      <c r="G398" t="n">
        <v>-3.82622214544826</v>
      </c>
    </row>
    <row r="399">
      <c r="A399" t="inlineStr">
        <is>
          <t>BERGEPAINT</t>
        </is>
      </c>
      <c r="B399" t="inlineStr">
        <is>
          <t>Bear</t>
        </is>
      </c>
      <c r="C399" t="n">
        <v>554.7</v>
      </c>
      <c r="D399" s="22" t="n">
        <v>45316</v>
      </c>
      <c r="E399" t="n">
        <v>589.15</v>
      </c>
      <c r="F399" s="22" t="n">
        <v>45352</v>
      </c>
      <c r="G399" t="n">
        <v>-6.210564268974207</v>
      </c>
    </row>
    <row r="400">
      <c r="A400" t="inlineStr">
        <is>
          <t>BERGEPAINT</t>
        </is>
      </c>
      <c r="B400" t="inlineStr">
        <is>
          <t>Bull</t>
        </is>
      </c>
      <c r="C400" t="n">
        <v>585.6</v>
      </c>
      <c r="D400" s="22" t="n">
        <v>45264</v>
      </c>
      <c r="E400" t="n">
        <v>547</v>
      </c>
      <c r="F400" s="22" t="n">
        <v>45314</v>
      </c>
      <c r="G400" t="n">
        <v>-6.591530054644812</v>
      </c>
    </row>
    <row r="401">
      <c r="A401" t="inlineStr">
        <is>
          <t>BERGEPAINT</t>
        </is>
      </c>
      <c r="B401" t="inlineStr">
        <is>
          <t>Bear</t>
        </is>
      </c>
      <c r="C401" t="n">
        <v>561.8</v>
      </c>
      <c r="D401" s="22" t="n">
        <v>45209</v>
      </c>
      <c r="E401" t="n">
        <v>574.4</v>
      </c>
      <c r="F401" s="22" t="n">
        <v>45260</v>
      </c>
      <c r="G401" t="n">
        <v>-2.242791028835889</v>
      </c>
    </row>
    <row r="402">
      <c r="A402" t="inlineStr">
        <is>
          <t>BERGEPAINT</t>
        </is>
      </c>
      <c r="B402" t="inlineStr">
        <is>
          <t>Bull</t>
        </is>
      </c>
      <c r="C402" t="n">
        <v>490.92</v>
      </c>
      <c r="D402" s="22" t="n">
        <v>44995</v>
      </c>
      <c r="E402" t="n">
        <v>565.35</v>
      </c>
      <c r="F402" s="22" t="n">
        <v>45205</v>
      </c>
      <c r="G402" t="n">
        <v>15.16132974822782</v>
      </c>
    </row>
    <row r="403">
      <c r="A403" t="inlineStr">
        <is>
          <t>BEPL</t>
        </is>
      </c>
      <c r="B403" t="inlineStr">
        <is>
          <t>Bull</t>
        </is>
      </c>
      <c r="C403" t="n">
        <v>151.8</v>
      </c>
      <c r="D403" s="22" t="n">
        <v>45643</v>
      </c>
      <c r="E403" t="n">
        <v>135.03</v>
      </c>
      <c r="F403" s="22" t="n">
        <v>45660</v>
      </c>
      <c r="G403" t="n">
        <v>-11.04743083003953</v>
      </c>
    </row>
    <row r="404">
      <c r="A404" t="inlineStr">
        <is>
          <t>BEPL</t>
        </is>
      </c>
      <c r="B404" t="inlineStr">
        <is>
          <t>Bear</t>
        </is>
      </c>
      <c r="C404" t="n">
        <v>133.99</v>
      </c>
      <c r="D404" s="22" t="n">
        <v>45589</v>
      </c>
      <c r="E404" t="n">
        <v>150.6</v>
      </c>
      <c r="F404" s="22" t="n">
        <v>45639</v>
      </c>
      <c r="G404" t="n">
        <v>-12.39644749608178</v>
      </c>
    </row>
    <row r="405">
      <c r="A405" t="inlineStr">
        <is>
          <t>BEPL</t>
        </is>
      </c>
      <c r="B405" t="inlineStr">
        <is>
          <t>Bull</t>
        </is>
      </c>
      <c r="C405" t="n">
        <v>106.98</v>
      </c>
      <c r="D405" s="22" t="n">
        <v>45461</v>
      </c>
      <c r="E405" t="n">
        <v>138.12</v>
      </c>
      <c r="F405" s="22" t="n">
        <v>45587</v>
      </c>
      <c r="G405" t="n">
        <v>29.10824453168816</v>
      </c>
    </row>
    <row r="406">
      <c r="A406" t="inlineStr">
        <is>
          <t>BEPL</t>
        </is>
      </c>
      <c r="B406" t="inlineStr">
        <is>
          <t>Bear</t>
        </is>
      </c>
      <c r="C406" t="n">
        <v>98.59999999999999</v>
      </c>
      <c r="D406" s="22" t="n">
        <v>45428</v>
      </c>
      <c r="E406" t="n">
        <v>103.58</v>
      </c>
      <c r="F406" s="22" t="n">
        <v>45456</v>
      </c>
      <c r="G406" t="n">
        <v>-5.050709939148077</v>
      </c>
    </row>
    <row r="407">
      <c r="A407" t="inlineStr">
        <is>
          <t>BEPL</t>
        </is>
      </c>
      <c r="B407" t="inlineStr">
        <is>
          <t>Bull</t>
        </is>
      </c>
      <c r="C407" t="n">
        <v>100.25</v>
      </c>
      <c r="D407" s="22" t="n">
        <v>45397</v>
      </c>
      <c r="E407" t="n">
        <v>97.15000000000001</v>
      </c>
      <c r="F407" s="22" t="n">
        <v>45426</v>
      </c>
      <c r="G407" t="n">
        <v>-3.092269326683286</v>
      </c>
    </row>
    <row r="408">
      <c r="A408" t="inlineStr">
        <is>
          <t>BEPL</t>
        </is>
      </c>
      <c r="B408" t="inlineStr">
        <is>
          <t>Bear</t>
        </is>
      </c>
      <c r="C408" t="n">
        <v>100.85</v>
      </c>
      <c r="D408" s="22" t="n">
        <v>45342</v>
      </c>
      <c r="E408" t="n">
        <v>105</v>
      </c>
      <c r="F408" s="22" t="n">
        <v>45392</v>
      </c>
      <c r="G408" t="n">
        <v>-4.11502231036193</v>
      </c>
    </row>
    <row r="409">
      <c r="A409" t="inlineStr">
        <is>
          <t>BEPL</t>
        </is>
      </c>
      <c r="B409" t="inlineStr">
        <is>
          <t>Bull</t>
        </is>
      </c>
      <c r="C409" t="n">
        <v>96.75</v>
      </c>
      <c r="D409" s="22" t="n">
        <v>45252</v>
      </c>
      <c r="E409" t="n">
        <v>101.5</v>
      </c>
      <c r="F409" s="22" t="n">
        <v>45338</v>
      </c>
      <c r="G409" t="n">
        <v>4.909560723514212</v>
      </c>
    </row>
    <row r="410">
      <c r="A410" t="inlineStr">
        <is>
          <t>BEPL</t>
        </is>
      </c>
      <c r="B410" t="inlineStr">
        <is>
          <t>Bear</t>
        </is>
      </c>
      <c r="C410" t="n">
        <v>87.09999999999999</v>
      </c>
      <c r="D410" s="22" t="n">
        <v>45230</v>
      </c>
      <c r="E410" t="n">
        <v>92.7</v>
      </c>
      <c r="F410" s="22" t="n">
        <v>45250</v>
      </c>
      <c r="G410" t="n">
        <v>-6.42939150401838</v>
      </c>
    </row>
    <row r="411">
      <c r="A411" t="inlineStr">
        <is>
          <t>BEPL</t>
        </is>
      </c>
      <c r="B411" t="inlineStr">
        <is>
          <t>Bull</t>
        </is>
      </c>
      <c r="C411" t="n">
        <v>91.7</v>
      </c>
      <c r="D411" s="22" t="n">
        <v>45210</v>
      </c>
      <c r="E411" t="n">
        <v>88.90000000000001</v>
      </c>
      <c r="F411" s="22" t="n">
        <v>45226</v>
      </c>
      <c r="G411" t="n">
        <v>-3.053435114503813</v>
      </c>
    </row>
    <row r="412">
      <c r="A412" t="inlineStr">
        <is>
          <t>BEPL</t>
        </is>
      </c>
      <c r="B412" t="inlineStr">
        <is>
          <t>Bear</t>
        </is>
      </c>
      <c r="C412" t="n">
        <v>87.7</v>
      </c>
      <c r="D412" s="22" t="n">
        <v>45203</v>
      </c>
      <c r="E412" t="n">
        <v>90.40000000000001</v>
      </c>
      <c r="F412" s="22" t="n">
        <v>45208</v>
      </c>
      <c r="G412" t="n">
        <v>-3.078677309007985</v>
      </c>
    </row>
    <row r="413">
      <c r="A413" t="inlineStr">
        <is>
          <t>BEPL</t>
        </is>
      </c>
      <c r="B413" t="inlineStr">
        <is>
          <t>Bull</t>
        </is>
      </c>
      <c r="C413" t="n">
        <v>95.5</v>
      </c>
      <c r="D413" s="22" t="n">
        <v>45173</v>
      </c>
      <c r="E413" t="n">
        <v>88.05</v>
      </c>
      <c r="F413" s="22" t="n">
        <v>45198</v>
      </c>
      <c r="G413" t="n">
        <v>-7.801047120418851</v>
      </c>
    </row>
    <row r="414">
      <c r="A414" t="inlineStr">
        <is>
          <t>BEPL</t>
        </is>
      </c>
      <c r="B414" t="inlineStr">
        <is>
          <t>Bear</t>
        </is>
      </c>
      <c r="C414" t="n">
        <v>85.55</v>
      </c>
      <c r="D414" s="22" t="n">
        <v>45142</v>
      </c>
      <c r="E414" t="n">
        <v>93.25</v>
      </c>
      <c r="F414" s="22" t="n">
        <v>45169</v>
      </c>
      <c r="G414" t="n">
        <v>-9.000584453535948</v>
      </c>
    </row>
    <row r="415">
      <c r="A415" t="inlineStr">
        <is>
          <t>BEPL</t>
        </is>
      </c>
      <c r="B415" t="inlineStr">
        <is>
          <t>Bull</t>
        </is>
      </c>
      <c r="C415" t="n">
        <v>75.93000000000001</v>
      </c>
      <c r="D415" s="22" t="n">
        <v>45051</v>
      </c>
      <c r="E415" t="n">
        <v>86.3</v>
      </c>
      <c r="F415" s="22" t="n">
        <v>45140</v>
      </c>
      <c r="G415" t="n">
        <v>13.65731594890029</v>
      </c>
    </row>
    <row r="416">
      <c r="A416" t="inlineStr">
        <is>
          <t>BHARATFORG</t>
        </is>
      </c>
      <c r="B416" t="inlineStr">
        <is>
          <t>Bear</t>
        </is>
      </c>
      <c r="C416" t="n">
        <v>1567.1</v>
      </c>
      <c r="D416" s="22" t="n">
        <v>45538</v>
      </c>
      <c r="E416" t="n">
        <v>1296.15</v>
      </c>
      <c r="F416" s="22" t="n">
        <v>45660</v>
      </c>
      <c r="G416" t="n">
        <v>17.28989853870205</v>
      </c>
    </row>
    <row r="417">
      <c r="A417" t="inlineStr">
        <is>
          <t>BHARATFORG</t>
        </is>
      </c>
      <c r="B417" t="inlineStr">
        <is>
          <t>Bull</t>
        </is>
      </c>
      <c r="C417" t="n">
        <v>1204.5</v>
      </c>
      <c r="D417" s="22" t="n">
        <v>45404</v>
      </c>
      <c r="E417" t="n">
        <v>1587</v>
      </c>
      <c r="F417" s="22" t="n">
        <v>45534</v>
      </c>
      <c r="G417" t="n">
        <v>31.75591531755915</v>
      </c>
    </row>
    <row r="418">
      <c r="A418" t="inlineStr">
        <is>
          <t>BHARATFORG</t>
        </is>
      </c>
      <c r="B418" t="inlineStr">
        <is>
          <t>Bear</t>
        </is>
      </c>
      <c r="C418" t="n">
        <v>1124.75</v>
      </c>
      <c r="D418" s="22" t="n">
        <v>45341</v>
      </c>
      <c r="E418" t="n">
        <v>1186.2</v>
      </c>
      <c r="F418" s="22" t="n">
        <v>45400</v>
      </c>
      <c r="G418" t="n">
        <v>-5.463436319182045</v>
      </c>
    </row>
    <row r="419">
      <c r="A419" t="inlineStr">
        <is>
          <t>BHARATFORG</t>
        </is>
      </c>
      <c r="B419" t="inlineStr">
        <is>
          <t>Bull</t>
        </is>
      </c>
      <c r="C419" t="n">
        <v>1115.55</v>
      </c>
      <c r="D419" s="22" t="n">
        <v>45254</v>
      </c>
      <c r="E419" t="n">
        <v>1110.45</v>
      </c>
      <c r="F419" s="22" t="n">
        <v>45337</v>
      </c>
      <c r="G419" t="n">
        <v>-0.4571735915019416</v>
      </c>
    </row>
    <row r="420">
      <c r="A420" t="inlineStr">
        <is>
          <t>BHARATFORG</t>
        </is>
      </c>
      <c r="B420" t="inlineStr">
        <is>
          <t>Bear</t>
        </is>
      </c>
      <c r="C420" t="n">
        <v>1061.8</v>
      </c>
      <c r="D420" s="22" t="n">
        <v>45245</v>
      </c>
      <c r="E420" t="n">
        <v>1096.75</v>
      </c>
      <c r="F420" s="22" t="n">
        <v>45252</v>
      </c>
      <c r="G420" t="n">
        <v>-3.291580335279718</v>
      </c>
    </row>
    <row r="421">
      <c r="A421" t="inlineStr">
        <is>
          <t>BHARATFORG</t>
        </is>
      </c>
      <c r="B421" t="inlineStr">
        <is>
          <t>Bull</t>
        </is>
      </c>
      <c r="C421" t="n">
        <v>815.6</v>
      </c>
      <c r="D421" s="22" t="n">
        <v>45086</v>
      </c>
      <c r="E421" t="n">
        <v>1045.65</v>
      </c>
      <c r="F421" s="22" t="n">
        <v>45242</v>
      </c>
      <c r="G421" t="n">
        <v>28.20622854340364</v>
      </c>
    </row>
    <row r="422">
      <c r="A422" t="inlineStr">
        <is>
          <t>BHARATFORG</t>
        </is>
      </c>
      <c r="B422" t="inlineStr">
        <is>
          <t>Bear</t>
        </is>
      </c>
      <c r="C422" t="n">
        <v>828.95</v>
      </c>
      <c r="D422" s="22" t="n">
        <v>44981</v>
      </c>
      <c r="E422" t="n">
        <v>808.45</v>
      </c>
      <c r="F422" s="22" t="n">
        <v>45084</v>
      </c>
      <c r="G422" t="n">
        <v>2.473008022196755</v>
      </c>
    </row>
    <row r="423">
      <c r="A423" t="inlineStr">
        <is>
          <t>BHARATRAS</t>
        </is>
      </c>
      <c r="B423" t="inlineStr">
        <is>
          <t>Bear</t>
        </is>
      </c>
      <c r="C423" t="n">
        <v>11112.7</v>
      </c>
      <c r="D423" s="22" t="n">
        <v>45638</v>
      </c>
      <c r="E423" t="n">
        <v>10068.9</v>
      </c>
      <c r="F423" s="22" t="n">
        <v>45660</v>
      </c>
      <c r="G423" t="n">
        <v>9.392856821474538</v>
      </c>
    </row>
    <row r="424">
      <c r="A424" t="inlineStr">
        <is>
          <t>BHARATRAS</t>
        </is>
      </c>
      <c r="B424" t="inlineStr">
        <is>
          <t>Bull</t>
        </is>
      </c>
      <c r="C424" t="n">
        <v>11766.1</v>
      </c>
      <c r="D424" s="22" t="n">
        <v>45628</v>
      </c>
      <c r="E424" t="n">
        <v>11206.2</v>
      </c>
      <c r="F424" s="22" t="n">
        <v>45636</v>
      </c>
      <c r="G424" t="n">
        <v>-4.758586107546252</v>
      </c>
    </row>
    <row r="425">
      <c r="A425" t="inlineStr">
        <is>
          <t>BHARATRAS</t>
        </is>
      </c>
      <c r="B425" t="inlineStr">
        <is>
          <t>Bear</t>
        </is>
      </c>
      <c r="C425" t="n">
        <v>11303.3</v>
      </c>
      <c r="D425" s="22" t="n">
        <v>45569</v>
      </c>
      <c r="E425" t="n">
        <v>11915</v>
      </c>
      <c r="F425" s="22" t="n">
        <v>45624</v>
      </c>
      <c r="G425" t="n">
        <v>-5.41169393009122</v>
      </c>
    </row>
    <row r="426">
      <c r="A426" t="inlineStr">
        <is>
          <t>BHARATRAS</t>
        </is>
      </c>
      <c r="B426" t="inlineStr">
        <is>
          <t>Bull</t>
        </is>
      </c>
      <c r="C426" t="n">
        <v>9502.25</v>
      </c>
      <c r="D426" s="22" t="n">
        <v>45400</v>
      </c>
      <c r="E426" t="n">
        <v>11677.45</v>
      </c>
      <c r="F426" s="22" t="n">
        <v>45566</v>
      </c>
      <c r="G426" t="n">
        <v>22.8914204530506</v>
      </c>
    </row>
    <row r="427">
      <c r="A427" t="inlineStr">
        <is>
          <t>BHARATRAS</t>
        </is>
      </c>
      <c r="B427" t="inlineStr">
        <is>
          <t>Bear</t>
        </is>
      </c>
      <c r="C427" t="n">
        <v>9035</v>
      </c>
      <c r="D427" s="22" t="n">
        <v>45329</v>
      </c>
      <c r="E427" t="n">
        <v>9145.25</v>
      </c>
      <c r="F427" s="22" t="n">
        <v>45397</v>
      </c>
      <c r="G427" t="n">
        <v>-1.220254565578307</v>
      </c>
    </row>
    <row r="428">
      <c r="A428" t="inlineStr">
        <is>
          <t>BHARATRAS</t>
        </is>
      </c>
      <c r="B428" t="inlineStr">
        <is>
          <t>Bull</t>
        </is>
      </c>
      <c r="C428" t="n">
        <v>9119</v>
      </c>
      <c r="D428" s="22" t="n">
        <v>45300</v>
      </c>
      <c r="E428" t="n">
        <v>8951</v>
      </c>
      <c r="F428" s="22" t="n">
        <v>45327</v>
      </c>
      <c r="G428" t="n">
        <v>-1.84230727053405</v>
      </c>
    </row>
    <row r="429">
      <c r="A429" t="inlineStr">
        <is>
          <t>BHARATRAS</t>
        </is>
      </c>
      <c r="B429" t="inlineStr">
        <is>
          <t>Bear</t>
        </is>
      </c>
      <c r="C429" t="n">
        <v>8983.799999999999</v>
      </c>
      <c r="D429" s="22" t="n">
        <v>45286</v>
      </c>
      <c r="E429" t="n">
        <v>9260</v>
      </c>
      <c r="F429" s="22" t="n">
        <v>45296</v>
      </c>
      <c r="G429" t="n">
        <v>-3.074422850018931</v>
      </c>
    </row>
    <row r="430">
      <c r="A430" t="inlineStr">
        <is>
          <t>BHARATRAS</t>
        </is>
      </c>
      <c r="B430" t="inlineStr">
        <is>
          <t>Bull</t>
        </is>
      </c>
      <c r="C430" t="n">
        <v>9384.15</v>
      </c>
      <c r="D430" s="22" t="n">
        <v>45267</v>
      </c>
      <c r="E430" t="n">
        <v>9000.049999999999</v>
      </c>
      <c r="F430" s="22" t="n">
        <v>45281</v>
      </c>
      <c r="G430" t="n">
        <v>-4.093071828561994</v>
      </c>
    </row>
    <row r="431">
      <c r="A431" t="inlineStr">
        <is>
          <t>BHARATRAS</t>
        </is>
      </c>
      <c r="B431" t="inlineStr">
        <is>
          <t>Bear</t>
        </is>
      </c>
      <c r="C431" t="n">
        <v>9054</v>
      </c>
      <c r="D431" s="22" t="n">
        <v>45211</v>
      </c>
      <c r="E431" t="n">
        <v>9052</v>
      </c>
      <c r="F431" s="22" t="n">
        <v>45265</v>
      </c>
      <c r="G431" t="n">
        <v>0.02208968411751712</v>
      </c>
    </row>
    <row r="432">
      <c r="A432" t="inlineStr">
        <is>
          <t>BHARATRAS</t>
        </is>
      </c>
      <c r="B432" t="inlineStr">
        <is>
          <t>Bull</t>
        </is>
      </c>
      <c r="C432" t="n">
        <v>9320</v>
      </c>
      <c r="D432" s="22" t="n">
        <v>45205</v>
      </c>
      <c r="E432" t="n">
        <v>9119.65</v>
      </c>
      <c r="F432" s="22" t="n">
        <v>45209</v>
      </c>
      <c r="G432" t="n">
        <v>-2.149678111587987</v>
      </c>
    </row>
    <row r="433">
      <c r="A433" t="inlineStr">
        <is>
          <t>BHARATRAS</t>
        </is>
      </c>
      <c r="B433" t="inlineStr">
        <is>
          <t>Bear</t>
        </is>
      </c>
      <c r="C433" t="n">
        <v>9564.799999999999</v>
      </c>
      <c r="D433" s="22" t="n">
        <v>45107</v>
      </c>
      <c r="E433" t="n">
        <v>9480</v>
      </c>
      <c r="F433" s="22" t="n">
        <v>45203</v>
      </c>
      <c r="G433" t="n">
        <v>0.8865841418534551</v>
      </c>
    </row>
    <row r="434">
      <c r="A434" t="inlineStr">
        <is>
          <t>BHARATRAS</t>
        </is>
      </c>
      <c r="B434" t="inlineStr">
        <is>
          <t>Bull</t>
        </is>
      </c>
      <c r="C434" t="n">
        <v>9531.25</v>
      </c>
      <c r="D434" s="22" t="n">
        <v>45026</v>
      </c>
      <c r="E434" t="n">
        <v>9649.950000000001</v>
      </c>
      <c r="F434" s="22" t="n">
        <v>45104</v>
      </c>
      <c r="G434" t="n">
        <v>1.245377049180336</v>
      </c>
    </row>
    <row r="435">
      <c r="A435" t="inlineStr">
        <is>
          <t>BHARATWIRE</t>
        </is>
      </c>
      <c r="B435" t="inlineStr">
        <is>
          <t>Bear</t>
        </is>
      </c>
      <c r="C435" t="n">
        <v>259.2</v>
      </c>
      <c r="D435" s="22" t="n">
        <v>45573</v>
      </c>
      <c r="E435" t="n">
        <v>218.68</v>
      </c>
      <c r="F435" s="22" t="n">
        <v>45660</v>
      </c>
      <c r="G435" t="n">
        <v>15.63271604938271</v>
      </c>
    </row>
    <row r="436">
      <c r="A436" t="inlineStr">
        <is>
          <t>BHARATWIRE</t>
        </is>
      </c>
      <c r="B436" t="inlineStr">
        <is>
          <t>Bull</t>
        </is>
      </c>
      <c r="C436" t="n">
        <v>290.1</v>
      </c>
      <c r="D436" s="22" t="n">
        <v>45533</v>
      </c>
      <c r="E436" t="n">
        <v>262.25</v>
      </c>
      <c r="F436" s="22" t="n">
        <v>45569</v>
      </c>
      <c r="G436" t="n">
        <v>-9.600137883488459</v>
      </c>
    </row>
    <row r="437">
      <c r="A437" t="inlineStr">
        <is>
          <t>BHARATWIRE</t>
        </is>
      </c>
      <c r="B437" t="inlineStr">
        <is>
          <t>Bear</t>
        </is>
      </c>
      <c r="C437" t="n">
        <v>302.4</v>
      </c>
      <c r="D437" s="22" t="n">
        <v>45351</v>
      </c>
      <c r="E437" t="n">
        <v>283.45</v>
      </c>
      <c r="F437" s="22" t="n">
        <v>45531</v>
      </c>
      <c r="G437" t="n">
        <v>6.266534391534388</v>
      </c>
    </row>
    <row r="438">
      <c r="A438" t="inlineStr">
        <is>
          <t>BHARATWIRE</t>
        </is>
      </c>
      <c r="B438" t="inlineStr">
        <is>
          <t>Bull</t>
        </is>
      </c>
      <c r="C438" t="n">
        <v>108.8</v>
      </c>
      <c r="D438" s="22" t="n">
        <v>45000</v>
      </c>
      <c r="E438" t="n">
        <v>321.65</v>
      </c>
      <c r="F438" s="22" t="n">
        <v>45349</v>
      </c>
      <c r="G438" t="n">
        <v>195.6341911764706</v>
      </c>
    </row>
    <row r="439">
      <c r="A439" t="inlineStr">
        <is>
          <t>BHARTIARTL</t>
        </is>
      </c>
      <c r="B439" t="inlineStr">
        <is>
          <t>Bear</t>
        </is>
      </c>
      <c r="C439" t="n">
        <v>1599.5</v>
      </c>
      <c r="D439" s="22" t="n">
        <v>45652</v>
      </c>
      <c r="E439" t="n">
        <v>1598.85</v>
      </c>
      <c r="F439" s="22" t="n">
        <v>45660</v>
      </c>
      <c r="G439" t="n">
        <v>0.040637699281031</v>
      </c>
    </row>
    <row r="440">
      <c r="A440" t="inlineStr">
        <is>
          <t>BHARTIARTL</t>
        </is>
      </c>
      <c r="B440" t="inlineStr">
        <is>
          <t>Bull</t>
        </is>
      </c>
      <c r="C440" t="n">
        <v>1615.3</v>
      </c>
      <c r="D440" s="22" t="n">
        <v>45643</v>
      </c>
      <c r="E440" t="n">
        <v>1586.9</v>
      </c>
      <c r="F440" s="22" t="n">
        <v>45649</v>
      </c>
      <c r="G440" t="n">
        <v>-1.758187333622229</v>
      </c>
    </row>
    <row r="441">
      <c r="A441" t="inlineStr">
        <is>
          <t>BHARTIARTL</t>
        </is>
      </c>
      <c r="B441" t="inlineStr">
        <is>
          <t>Bear</t>
        </is>
      </c>
      <c r="C441" t="n">
        <v>1555.65</v>
      </c>
      <c r="D441" s="22" t="n">
        <v>45608</v>
      </c>
      <c r="E441" t="n">
        <v>1681.75</v>
      </c>
      <c r="F441" s="22" t="n">
        <v>45639</v>
      </c>
      <c r="G441" t="n">
        <v>-8.105936425288458</v>
      </c>
    </row>
    <row r="442">
      <c r="A442" t="inlineStr">
        <is>
          <t>BHARTIARTL</t>
        </is>
      </c>
      <c r="B442" t="inlineStr">
        <is>
          <t>Bull</t>
        </is>
      </c>
      <c r="C442" t="n">
        <v>786.5</v>
      </c>
      <c r="D442" s="22" t="n">
        <v>45043</v>
      </c>
      <c r="E442" t="n">
        <v>1569.9</v>
      </c>
      <c r="F442" s="22" t="n">
        <v>45604</v>
      </c>
      <c r="G442" t="n">
        <v>99.6058486967578</v>
      </c>
    </row>
    <row r="443">
      <c r="A443" t="inlineStr">
        <is>
          <t>BLS</t>
        </is>
      </c>
      <c r="B443" t="inlineStr">
        <is>
          <t>Bull</t>
        </is>
      </c>
      <c r="C443" t="n">
        <v>417.85</v>
      </c>
      <c r="D443" s="22" t="n">
        <v>45602</v>
      </c>
      <c r="E443" t="n">
        <v>505.5</v>
      </c>
      <c r="F443" s="22" t="n">
        <v>45660</v>
      </c>
      <c r="G443" t="n">
        <v>20.97642694746918</v>
      </c>
    </row>
    <row r="444">
      <c r="A444" t="inlineStr">
        <is>
          <t>BLS</t>
        </is>
      </c>
      <c r="B444" t="inlineStr">
        <is>
          <t>Bear</t>
        </is>
      </c>
      <c r="C444" t="n">
        <v>354.5</v>
      </c>
      <c r="D444" s="22" t="n">
        <v>45569</v>
      </c>
      <c r="E444" t="n">
        <v>402.1</v>
      </c>
      <c r="F444" s="22" t="n">
        <v>45600</v>
      </c>
      <c r="G444" t="n">
        <v>-13.42736248236954</v>
      </c>
    </row>
    <row r="445">
      <c r="A445" t="inlineStr">
        <is>
          <t>BLS</t>
        </is>
      </c>
      <c r="B445" t="inlineStr">
        <is>
          <t>Bull</t>
        </is>
      </c>
      <c r="C445" t="n">
        <v>366.75</v>
      </c>
      <c r="D445" s="22" t="n">
        <v>45463</v>
      </c>
      <c r="E445" t="n">
        <v>374.95</v>
      </c>
      <c r="F445" s="22" t="n">
        <v>45566</v>
      </c>
      <c r="G445" t="n">
        <v>2.235855487389227</v>
      </c>
    </row>
    <row r="446">
      <c r="A446" t="inlineStr">
        <is>
          <t>BLS</t>
        </is>
      </c>
      <c r="B446" t="inlineStr">
        <is>
          <t>Bear</t>
        </is>
      </c>
      <c r="C446" t="n">
        <v>343.15</v>
      </c>
      <c r="D446" s="22" t="n">
        <v>45365</v>
      </c>
      <c r="E446" t="n">
        <v>358.55</v>
      </c>
      <c r="F446" s="22" t="n">
        <v>45461</v>
      </c>
      <c r="G446" t="n">
        <v>-4.487833309048531</v>
      </c>
    </row>
    <row r="447">
      <c r="A447" t="inlineStr">
        <is>
          <t>BLS</t>
        </is>
      </c>
      <c r="B447" t="inlineStr">
        <is>
          <t>Bull</t>
        </is>
      </c>
      <c r="C447" t="n">
        <v>276.2</v>
      </c>
      <c r="D447" s="22" t="n">
        <v>45237</v>
      </c>
      <c r="E447" t="n">
        <v>328.65</v>
      </c>
      <c r="F447" s="22" t="n">
        <v>45363</v>
      </c>
      <c r="G447" t="n">
        <v>18.98986241853729</v>
      </c>
    </row>
    <row r="448">
      <c r="A448" t="inlineStr">
        <is>
          <t>BLS</t>
        </is>
      </c>
      <c r="B448" t="inlineStr">
        <is>
          <t>Bear</t>
        </is>
      </c>
      <c r="C448" t="n">
        <v>250.1</v>
      </c>
      <c r="D448" s="22" t="n">
        <v>45212</v>
      </c>
      <c r="E448" t="n">
        <v>277.55</v>
      </c>
      <c r="F448" s="22" t="n">
        <v>45233</v>
      </c>
      <c r="G448" t="n">
        <v>-10.97560975609757</v>
      </c>
    </row>
    <row r="449">
      <c r="A449" t="inlineStr">
        <is>
          <t>BLS</t>
        </is>
      </c>
      <c r="B449" t="inlineStr">
        <is>
          <t>Bull</t>
        </is>
      </c>
      <c r="C449" t="n">
        <v>167.7</v>
      </c>
      <c r="D449" s="22" t="n">
        <v>45036</v>
      </c>
      <c r="E449" t="n">
        <v>250</v>
      </c>
      <c r="F449" s="22" t="n">
        <v>45210</v>
      </c>
      <c r="G449" t="n">
        <v>49.07573047107932</v>
      </c>
    </row>
    <row r="450">
      <c r="A450" t="inlineStr">
        <is>
          <t>BLUEDART</t>
        </is>
      </c>
      <c r="B450" t="inlineStr">
        <is>
          <t>Bear</t>
        </is>
      </c>
      <c r="C450" t="n">
        <v>7639.5</v>
      </c>
      <c r="D450" s="22" t="n">
        <v>45593</v>
      </c>
      <c r="E450" t="n">
        <v>6829.1</v>
      </c>
      <c r="F450" s="22" t="n">
        <v>45660</v>
      </c>
      <c r="G450" t="n">
        <v>10.60802408534589</v>
      </c>
    </row>
    <row r="451">
      <c r="A451" t="inlineStr">
        <is>
          <t>BLUEDART</t>
        </is>
      </c>
      <c r="B451" t="inlineStr">
        <is>
          <t>Bull</t>
        </is>
      </c>
      <c r="C451" t="n">
        <v>6311.3</v>
      </c>
      <c r="D451" s="22" t="n">
        <v>45412</v>
      </c>
      <c r="E451" t="n">
        <v>7818.7</v>
      </c>
      <c r="F451" s="22" t="n">
        <v>45589</v>
      </c>
      <c r="G451" t="n">
        <v>23.88414431258219</v>
      </c>
    </row>
    <row r="452">
      <c r="A452" t="inlineStr">
        <is>
          <t>BLUEDART</t>
        </is>
      </c>
      <c r="B452" t="inlineStr">
        <is>
          <t>Bear</t>
        </is>
      </c>
      <c r="C452" t="n">
        <v>6560</v>
      </c>
      <c r="D452" s="22" t="n">
        <v>45320</v>
      </c>
      <c r="E452" t="n">
        <v>6318.75</v>
      </c>
      <c r="F452" s="22" t="n">
        <v>45408</v>
      </c>
      <c r="G452" t="n">
        <v>3.677591463414634</v>
      </c>
    </row>
    <row r="453">
      <c r="A453" t="inlineStr">
        <is>
          <t>BLUEDART</t>
        </is>
      </c>
      <c r="B453" t="inlineStr">
        <is>
          <t>Bull</t>
        </is>
      </c>
      <c r="C453" t="n">
        <v>6770</v>
      </c>
      <c r="D453" s="22" t="n">
        <v>45242</v>
      </c>
      <c r="E453" t="n">
        <v>6875.05</v>
      </c>
      <c r="F453" s="22" t="n">
        <v>45315</v>
      </c>
      <c r="G453" t="n">
        <v>1.551698670605616</v>
      </c>
    </row>
    <row r="454">
      <c r="A454" t="inlineStr">
        <is>
          <t>BLUEDART</t>
        </is>
      </c>
      <c r="B454" t="inlineStr">
        <is>
          <t>Bear</t>
        </is>
      </c>
      <c r="C454" t="n">
        <v>6406.55</v>
      </c>
      <c r="D454" s="22" t="n">
        <v>45229</v>
      </c>
      <c r="E454" t="n">
        <v>6709</v>
      </c>
      <c r="F454" s="22" t="n">
        <v>45239</v>
      </c>
      <c r="G454" t="n">
        <v>-4.720949653089413</v>
      </c>
    </row>
    <row r="455">
      <c r="A455" t="inlineStr">
        <is>
          <t>BLUEDART</t>
        </is>
      </c>
      <c r="B455" t="inlineStr">
        <is>
          <t>Bull</t>
        </is>
      </c>
      <c r="C455" t="n">
        <v>6790.05</v>
      </c>
      <c r="D455" s="22" t="n">
        <v>45191</v>
      </c>
      <c r="E455" t="n">
        <v>6449.65</v>
      </c>
      <c r="F455" s="22" t="n">
        <v>45225</v>
      </c>
      <c r="G455" t="n">
        <v>-5.013217870266059</v>
      </c>
    </row>
    <row r="456">
      <c r="A456" t="inlineStr">
        <is>
          <t>BLUEDART</t>
        </is>
      </c>
      <c r="B456" t="inlineStr">
        <is>
          <t>Bear</t>
        </is>
      </c>
      <c r="C456" t="n">
        <v>6286</v>
      </c>
      <c r="D456" s="22" t="n">
        <v>45147</v>
      </c>
      <c r="E456" t="n">
        <v>6801.75</v>
      </c>
      <c r="F456" s="22" t="n">
        <v>45189</v>
      </c>
      <c r="G456" t="n">
        <v>-8.204740693604837</v>
      </c>
    </row>
    <row r="457">
      <c r="A457" t="inlineStr">
        <is>
          <t>BLUEDART</t>
        </is>
      </c>
      <c r="B457" t="inlineStr">
        <is>
          <t>Bull</t>
        </is>
      </c>
      <c r="C457" t="n">
        <v>6374.1</v>
      </c>
      <c r="D457" s="22" t="n">
        <v>45084</v>
      </c>
      <c r="E457" t="n">
        <v>6432</v>
      </c>
      <c r="F457" s="22" t="n">
        <v>45145</v>
      </c>
      <c r="G457" t="n">
        <v>0.9083635336753366</v>
      </c>
    </row>
    <row r="458">
      <c r="A458" t="inlineStr">
        <is>
          <t>BLUEDART</t>
        </is>
      </c>
      <c r="B458" t="inlineStr">
        <is>
          <t>Bear</t>
        </is>
      </c>
      <c r="C458" t="n">
        <v>7943.5</v>
      </c>
      <c r="D458" s="22" t="n">
        <v>44862</v>
      </c>
      <c r="E458" t="n">
        <v>6277.6</v>
      </c>
      <c r="F458" s="22" t="n">
        <v>45082</v>
      </c>
      <c r="G458" t="n">
        <v>20.97186378800276</v>
      </c>
    </row>
    <row r="459">
      <c r="A459" t="inlineStr">
        <is>
          <t>BLUESTARCO</t>
        </is>
      </c>
      <c r="B459" t="inlineStr">
        <is>
          <t>Bull</t>
        </is>
      </c>
      <c r="C459" t="n">
        <v>2106.3</v>
      </c>
      <c r="D459" s="22" t="n">
        <v>45635</v>
      </c>
      <c r="E459" t="n">
        <v>2337.55</v>
      </c>
      <c r="F459" s="22" t="n">
        <v>45660</v>
      </c>
      <c r="G459" t="n">
        <v>10.97896785832977</v>
      </c>
    </row>
    <row r="460">
      <c r="A460" t="inlineStr">
        <is>
          <t>BLUESTARCO</t>
        </is>
      </c>
      <c r="B460" t="inlineStr">
        <is>
          <t>Bear</t>
        </is>
      </c>
      <c r="C460" t="n">
        <v>1795.05</v>
      </c>
      <c r="D460" s="22" t="n">
        <v>45607</v>
      </c>
      <c r="E460" t="n">
        <v>1965.95</v>
      </c>
      <c r="F460" s="22" t="n">
        <v>45631</v>
      </c>
      <c r="G460" t="n">
        <v>-9.520626166402055</v>
      </c>
    </row>
    <row r="461">
      <c r="A461" t="inlineStr">
        <is>
          <t>BLUESTARCO</t>
        </is>
      </c>
      <c r="B461" t="inlineStr">
        <is>
          <t>Bull</t>
        </is>
      </c>
      <c r="C461" t="n">
        <v>782.15</v>
      </c>
      <c r="D461" s="22" t="n">
        <v>45181</v>
      </c>
      <c r="E461" t="n">
        <v>1778.55</v>
      </c>
      <c r="F461" s="22" t="n">
        <v>45603</v>
      </c>
      <c r="G461" t="n">
        <v>127.3924439046219</v>
      </c>
    </row>
    <row r="462">
      <c r="A462" t="inlineStr">
        <is>
          <t>BLUESTARCO</t>
        </is>
      </c>
      <c r="B462" t="inlineStr">
        <is>
          <t>Bear</t>
        </is>
      </c>
      <c r="C462" t="n">
        <v>740</v>
      </c>
      <c r="D462" s="22" t="n">
        <v>45152</v>
      </c>
      <c r="E462" t="n">
        <v>807.1</v>
      </c>
      <c r="F462" s="22" t="n">
        <v>45177</v>
      </c>
      <c r="G462" t="n">
        <v>-9.06756756756757</v>
      </c>
    </row>
    <row r="463">
      <c r="A463" t="inlineStr">
        <is>
          <t>BLUESTARCO</t>
        </is>
      </c>
      <c r="B463" t="inlineStr">
        <is>
          <t>Bull</t>
        </is>
      </c>
      <c r="C463" t="n">
        <v>720.95</v>
      </c>
      <c r="D463" s="22" t="n">
        <v>45077</v>
      </c>
      <c r="E463" t="n">
        <v>749.8</v>
      </c>
      <c r="F463" s="22" t="n">
        <v>45148</v>
      </c>
      <c r="G463" t="n">
        <v>4.001664470490312</v>
      </c>
    </row>
    <row r="464">
      <c r="A464" t="inlineStr">
        <is>
          <t>BLUESTARCO</t>
        </is>
      </c>
      <c r="B464" t="inlineStr">
        <is>
          <t>Bear</t>
        </is>
      </c>
      <c r="C464" t="n">
        <v>718</v>
      </c>
      <c r="D464" s="22" t="n">
        <v>45070</v>
      </c>
      <c r="E464" t="n">
        <v>735.63</v>
      </c>
      <c r="F464" s="22" t="n">
        <v>45075</v>
      </c>
      <c r="G464" t="n">
        <v>-2.455431754874651</v>
      </c>
    </row>
    <row r="465">
      <c r="A465" t="inlineStr">
        <is>
          <t>BLUESTARCO</t>
        </is>
      </c>
      <c r="B465" t="inlineStr">
        <is>
          <t>Bull</t>
        </is>
      </c>
      <c r="C465" t="n">
        <v>480.38</v>
      </c>
      <c r="D465" s="22" t="n">
        <v>44774</v>
      </c>
      <c r="E465" t="n">
        <v>705.9299999999999</v>
      </c>
      <c r="F465" s="22" t="n">
        <v>45068</v>
      </c>
      <c r="G465" t="n">
        <v>46.95241267330029</v>
      </c>
    </row>
    <row r="466">
      <c r="A466" t="inlineStr">
        <is>
          <t>BBTC</t>
        </is>
      </c>
      <c r="B466" t="inlineStr">
        <is>
          <t>Bear</t>
        </is>
      </c>
      <c r="C466" t="n">
        <v>2516</v>
      </c>
      <c r="D466" s="22" t="n">
        <v>45622</v>
      </c>
      <c r="E466" t="n">
        <v>2193.85</v>
      </c>
      <c r="F466" s="22" t="n">
        <v>45660</v>
      </c>
      <c r="G466" t="n">
        <v>12.80405405405406</v>
      </c>
    </row>
    <row r="467">
      <c r="A467" t="inlineStr">
        <is>
          <t>BBTC</t>
        </is>
      </c>
      <c r="B467" t="inlineStr">
        <is>
          <t>Bull</t>
        </is>
      </c>
      <c r="C467" t="n">
        <v>1641.4</v>
      </c>
      <c r="D467" s="22" t="n">
        <v>45461</v>
      </c>
      <c r="E467" t="n">
        <v>2463.45</v>
      </c>
      <c r="F467" s="22" t="n">
        <v>45618</v>
      </c>
      <c r="G467" t="n">
        <v>50.08224686243449</v>
      </c>
    </row>
    <row r="468">
      <c r="A468" t="inlineStr">
        <is>
          <t>BBTC</t>
        </is>
      </c>
      <c r="B468" t="inlineStr">
        <is>
          <t>Bear</t>
        </is>
      </c>
      <c r="C468" t="n">
        <v>1574.8</v>
      </c>
      <c r="D468" s="22" t="n">
        <v>45373</v>
      </c>
      <c r="E468" t="n">
        <v>1652.7</v>
      </c>
      <c r="F468" s="22" t="n">
        <v>45456</v>
      </c>
      <c r="G468" t="n">
        <v>-4.946659893319792</v>
      </c>
    </row>
    <row r="469">
      <c r="A469" t="inlineStr">
        <is>
          <t>BBTC</t>
        </is>
      </c>
      <c r="B469" t="inlineStr">
        <is>
          <t>Bull</t>
        </is>
      </c>
      <c r="C469" t="n">
        <v>1243.65</v>
      </c>
      <c r="D469" s="22" t="n">
        <v>45180</v>
      </c>
      <c r="E469" t="n">
        <v>1540.75</v>
      </c>
      <c r="F469" s="22" t="n">
        <v>45371</v>
      </c>
      <c r="G469" t="n">
        <v>23.88935793832669</v>
      </c>
    </row>
    <row r="470">
      <c r="A470" t="inlineStr">
        <is>
          <t>BBTC</t>
        </is>
      </c>
      <c r="B470" t="inlineStr">
        <is>
          <t>Bear</t>
        </is>
      </c>
      <c r="C470" t="n">
        <v>988.75</v>
      </c>
      <c r="D470" s="22" t="n">
        <v>45156</v>
      </c>
      <c r="E470" t="n">
        <v>1107.15</v>
      </c>
      <c r="F470" s="22" t="n">
        <v>45176</v>
      </c>
      <c r="G470" t="n">
        <v>-11.9747155499368</v>
      </c>
    </row>
    <row r="471">
      <c r="A471" t="inlineStr">
        <is>
          <t>BBTC</t>
        </is>
      </c>
      <c r="B471" t="inlineStr">
        <is>
          <t>Bull</t>
        </is>
      </c>
      <c r="C471" t="n">
        <v>977.85</v>
      </c>
      <c r="D471" s="22" t="n">
        <v>45040</v>
      </c>
      <c r="E471" t="n">
        <v>999</v>
      </c>
      <c r="F471" s="22" t="n">
        <v>45154</v>
      </c>
      <c r="G471" t="n">
        <v>2.162908421537043</v>
      </c>
    </row>
    <row r="472">
      <c r="A472" t="inlineStr">
        <is>
          <t>BOROLTD</t>
        </is>
      </c>
      <c r="B472" t="inlineStr">
        <is>
          <t>Bear</t>
        </is>
      </c>
      <c r="C472" t="n">
        <v>396.1</v>
      </c>
      <c r="D472" s="22" t="n">
        <v>45650</v>
      </c>
      <c r="E472" t="n">
        <v>414.35</v>
      </c>
      <c r="F472" s="22" t="n">
        <v>45660</v>
      </c>
      <c r="G472" t="n">
        <v>-4.607422368088867</v>
      </c>
    </row>
    <row r="473">
      <c r="A473" t="inlineStr">
        <is>
          <t>BOROLTD</t>
        </is>
      </c>
      <c r="B473" t="inlineStr">
        <is>
          <t>Bull</t>
        </is>
      </c>
      <c r="C473" t="n">
        <v>383.35</v>
      </c>
      <c r="D473" s="22" t="n">
        <v>45478</v>
      </c>
      <c r="E473" t="n">
        <v>419.4</v>
      </c>
      <c r="F473" s="22" t="n">
        <v>45646</v>
      </c>
      <c r="G473" t="n">
        <v>9.403938959175676</v>
      </c>
    </row>
    <row r="474">
      <c r="A474" t="inlineStr">
        <is>
          <t>BOROLTD</t>
        </is>
      </c>
      <c r="B474" t="inlineStr">
        <is>
          <t>Bear</t>
        </is>
      </c>
      <c r="C474" t="n">
        <v>362.2</v>
      </c>
      <c r="D474" s="22" t="n">
        <v>45397</v>
      </c>
      <c r="E474" t="n">
        <v>382.35</v>
      </c>
      <c r="F474" s="22" t="n">
        <v>45476</v>
      </c>
      <c r="G474" t="n">
        <v>-5.56322473771398</v>
      </c>
    </row>
    <row r="475">
      <c r="A475" t="inlineStr">
        <is>
          <t>BOROLTD</t>
        </is>
      </c>
      <c r="B475" t="inlineStr">
        <is>
          <t>Bull</t>
        </is>
      </c>
      <c r="C475" t="n">
        <v>401.2</v>
      </c>
      <c r="D475" s="22" t="n">
        <v>45338</v>
      </c>
      <c r="E475" t="n">
        <v>373.6</v>
      </c>
      <c r="F475" s="22" t="n">
        <v>45392</v>
      </c>
      <c r="G475" t="n">
        <v>-6.87936191425722</v>
      </c>
    </row>
    <row r="476">
      <c r="A476" t="inlineStr">
        <is>
          <t>BOROLTD</t>
        </is>
      </c>
      <c r="B476" t="inlineStr">
        <is>
          <t>Bear</t>
        </is>
      </c>
      <c r="C476" t="n">
        <v>352</v>
      </c>
      <c r="D476" s="22" t="n">
        <v>45268</v>
      </c>
      <c r="E476" t="n">
        <v>398.3</v>
      </c>
      <c r="F476" s="22" t="n">
        <v>45336</v>
      </c>
      <c r="G476" t="n">
        <v>-13.15340909090909</v>
      </c>
    </row>
    <row r="477">
      <c r="A477" t="inlineStr">
        <is>
          <t>BOROLTD</t>
        </is>
      </c>
      <c r="B477" t="inlineStr">
        <is>
          <t>Bull</t>
        </is>
      </c>
      <c r="C477" t="n">
        <v>422.3</v>
      </c>
      <c r="D477" s="22" t="n">
        <v>45260</v>
      </c>
      <c r="E477" t="n">
        <v>364.7</v>
      </c>
      <c r="F477" s="22" t="n">
        <v>45266</v>
      </c>
      <c r="G477" t="n">
        <v>-13.63959270660668</v>
      </c>
    </row>
    <row r="478">
      <c r="A478" t="inlineStr">
        <is>
          <t>BOROLTD</t>
        </is>
      </c>
      <c r="B478" t="inlineStr">
        <is>
          <t>Bear</t>
        </is>
      </c>
      <c r="C478" t="n">
        <v>418.55</v>
      </c>
      <c r="D478" s="22" t="n">
        <v>45180</v>
      </c>
      <c r="E478" t="n">
        <v>414.3</v>
      </c>
      <c r="F478" s="22" t="n">
        <v>45258</v>
      </c>
      <c r="G478" t="n">
        <v>1.015410345239517</v>
      </c>
    </row>
    <row r="479">
      <c r="A479" t="inlineStr">
        <is>
          <t>BOROLTD</t>
        </is>
      </c>
      <c r="B479" t="inlineStr">
        <is>
          <t>Bull</t>
        </is>
      </c>
      <c r="C479" t="n">
        <v>373.15</v>
      </c>
      <c r="D479" s="22" t="n">
        <v>45029</v>
      </c>
      <c r="E479" t="n">
        <v>420.05</v>
      </c>
      <c r="F479" s="22" t="n">
        <v>45176</v>
      </c>
      <c r="G479" t="n">
        <v>12.56867211577115</v>
      </c>
    </row>
    <row r="480">
      <c r="A480" t="inlineStr">
        <is>
          <t>BRITANNIA</t>
        </is>
      </c>
      <c r="B480" t="inlineStr">
        <is>
          <t>Bear</t>
        </is>
      </c>
      <c r="C480" t="n">
        <v>5669.4</v>
      </c>
      <c r="D480" s="22" t="n">
        <v>45590</v>
      </c>
      <c r="E480" t="n">
        <v>4834.1</v>
      </c>
      <c r="F480" s="22" t="n">
        <v>45660</v>
      </c>
      <c r="G480" t="n">
        <v>14.73348149716018</v>
      </c>
    </row>
    <row r="481">
      <c r="A481" t="inlineStr">
        <is>
          <t>BRITANNIA</t>
        </is>
      </c>
      <c r="B481" t="inlineStr">
        <is>
          <t>Bull</t>
        </is>
      </c>
      <c r="C481" t="n">
        <v>5070.1</v>
      </c>
      <c r="D481" s="22" t="n">
        <v>45421</v>
      </c>
      <c r="E481" t="n">
        <v>5748.85</v>
      </c>
      <c r="F481" s="22" t="n">
        <v>45588</v>
      </c>
      <c r="G481" t="n">
        <v>13.38730991499181</v>
      </c>
    </row>
    <row r="482">
      <c r="A482" t="inlineStr">
        <is>
          <t>BRITANNIA</t>
        </is>
      </c>
      <c r="B482" t="inlineStr">
        <is>
          <t>Bear</t>
        </is>
      </c>
      <c r="C482" t="n">
        <v>4921.15</v>
      </c>
      <c r="D482" s="22" t="n">
        <v>45342</v>
      </c>
      <c r="E482" t="n">
        <v>5173.85</v>
      </c>
      <c r="F482" s="22" t="n">
        <v>45419</v>
      </c>
      <c r="G482" t="n">
        <v>-5.134978612722651</v>
      </c>
    </row>
    <row r="483">
      <c r="A483" t="inlineStr">
        <is>
          <t>BRITANNIA</t>
        </is>
      </c>
      <c r="B483" t="inlineStr">
        <is>
          <t>Bull</t>
        </is>
      </c>
      <c r="C483" t="n">
        <v>4696.35</v>
      </c>
      <c r="D483" s="22" t="n">
        <v>45243</v>
      </c>
      <c r="E483" t="n">
        <v>4913.7</v>
      </c>
      <c r="F483" s="22" t="n">
        <v>45338</v>
      </c>
      <c r="G483" t="n">
        <v>4.628062218531401</v>
      </c>
    </row>
    <row r="484">
      <c r="A484" t="inlineStr">
        <is>
          <t>BRITANNIA</t>
        </is>
      </c>
      <c r="B484" t="inlineStr">
        <is>
          <t>Bear</t>
        </is>
      </c>
      <c r="C484" t="n">
        <v>4602.95</v>
      </c>
      <c r="D484" s="22" t="n">
        <v>45147</v>
      </c>
      <c r="E484" t="n">
        <v>4681.95</v>
      </c>
      <c r="F484" s="22" t="n">
        <v>45240</v>
      </c>
      <c r="G484" t="n">
        <v>-1.716290639698455</v>
      </c>
    </row>
    <row r="485">
      <c r="A485" t="inlineStr">
        <is>
          <t>BRITANNIA</t>
        </is>
      </c>
      <c r="B485" t="inlineStr">
        <is>
          <t>Bull</t>
        </is>
      </c>
      <c r="C485" t="n">
        <v>4511.05</v>
      </c>
      <c r="D485" s="22" t="n">
        <v>45048</v>
      </c>
      <c r="E485" t="n">
        <v>4670</v>
      </c>
      <c r="F485" s="22" t="n">
        <v>45145</v>
      </c>
      <c r="G485" t="n">
        <v>3.523569900577467</v>
      </c>
    </row>
    <row r="486">
      <c r="A486" t="inlineStr">
        <is>
          <t>CAMS</t>
        </is>
      </c>
      <c r="B486" t="inlineStr">
        <is>
          <t>Bull</t>
        </is>
      </c>
      <c r="C486" t="n">
        <v>2839.7</v>
      </c>
      <c r="D486" s="22" t="n">
        <v>45246</v>
      </c>
      <c r="E486" t="n">
        <v>5096.05</v>
      </c>
      <c r="F486" s="22" t="n">
        <v>45660</v>
      </c>
      <c r="G486" t="n">
        <v>79.45733704264538</v>
      </c>
    </row>
    <row r="487">
      <c r="A487" t="inlineStr">
        <is>
          <t>CAMS</t>
        </is>
      </c>
      <c r="B487" t="inlineStr">
        <is>
          <t>Bear</t>
        </is>
      </c>
      <c r="C487" t="n">
        <v>2246.9</v>
      </c>
      <c r="D487" s="22" t="n">
        <v>45230</v>
      </c>
      <c r="E487" t="n">
        <v>2683.1</v>
      </c>
      <c r="F487" s="22" t="n">
        <v>45243</v>
      </c>
      <c r="G487" t="n">
        <v>-19.4134140371178</v>
      </c>
    </row>
    <row r="488">
      <c r="A488" t="inlineStr">
        <is>
          <t>CAMS</t>
        </is>
      </c>
      <c r="B488" t="inlineStr">
        <is>
          <t>Bull</t>
        </is>
      </c>
      <c r="C488" t="n">
        <v>2197.15</v>
      </c>
      <c r="D488" s="22" t="n">
        <v>45079</v>
      </c>
      <c r="E488" t="n">
        <v>2303.75</v>
      </c>
      <c r="F488" s="22" t="n">
        <v>45226</v>
      </c>
      <c r="G488" t="n">
        <v>4.851739753771928</v>
      </c>
    </row>
    <row r="489">
      <c r="A489" t="inlineStr">
        <is>
          <t>CAMS</t>
        </is>
      </c>
      <c r="B489" t="inlineStr">
        <is>
          <t>Bear</t>
        </is>
      </c>
      <c r="C489" t="n">
        <v>2164.6</v>
      </c>
      <c r="D489" s="22" t="n">
        <v>45001</v>
      </c>
      <c r="E489" t="n">
        <v>2216.9</v>
      </c>
      <c r="F489" s="22" t="n">
        <v>45077</v>
      </c>
      <c r="G489" t="n">
        <v>-2.416150789984301</v>
      </c>
    </row>
    <row r="490">
      <c r="A490" t="inlineStr">
        <is>
          <t>CAPLIPOINT</t>
        </is>
      </c>
      <c r="B490" t="inlineStr">
        <is>
          <t>Bull</t>
        </is>
      </c>
      <c r="C490" t="n">
        <v>1461.85</v>
      </c>
      <c r="D490" s="22" t="n">
        <v>45455</v>
      </c>
      <c r="E490" t="n">
        <v>2537.55</v>
      </c>
      <c r="F490" s="22" t="n">
        <v>45660</v>
      </c>
      <c r="G490" t="n">
        <v>73.58484112597054</v>
      </c>
    </row>
    <row r="491">
      <c r="A491" t="inlineStr">
        <is>
          <t>CAPLIPOINT</t>
        </is>
      </c>
      <c r="B491" t="inlineStr">
        <is>
          <t>Bear</t>
        </is>
      </c>
      <c r="C491" t="n">
        <v>1280.05</v>
      </c>
      <c r="D491" s="22" t="n">
        <v>45365</v>
      </c>
      <c r="E491" t="n">
        <v>1475.9</v>
      </c>
      <c r="F491" s="22" t="n">
        <v>45453</v>
      </c>
      <c r="G491" t="n">
        <v>-15.30018358657866</v>
      </c>
    </row>
    <row r="492">
      <c r="A492" t="inlineStr">
        <is>
          <t>CAPLIPOINT</t>
        </is>
      </c>
      <c r="B492" t="inlineStr">
        <is>
          <t>Bull</t>
        </is>
      </c>
      <c r="C492" t="n">
        <v>677.95</v>
      </c>
      <c r="D492" s="22" t="n">
        <v>45050</v>
      </c>
      <c r="E492" t="n">
        <v>1312.25</v>
      </c>
      <c r="F492" s="22" t="n">
        <v>45363</v>
      </c>
      <c r="G492" t="n">
        <v>93.56147208496201</v>
      </c>
    </row>
    <row r="493">
      <c r="A493" t="inlineStr">
        <is>
          <t>CARBORUNIV</t>
        </is>
      </c>
      <c r="B493" t="inlineStr">
        <is>
          <t>Bear</t>
        </is>
      </c>
      <c r="C493" t="n">
        <v>1544.65</v>
      </c>
      <c r="D493" s="22" t="n">
        <v>45517</v>
      </c>
      <c r="E493" t="n">
        <v>1299.7</v>
      </c>
      <c r="F493" s="22" t="n">
        <v>45660</v>
      </c>
      <c r="G493" t="n">
        <v>15.85796135046775</v>
      </c>
    </row>
    <row r="494">
      <c r="A494" t="inlineStr">
        <is>
          <t>CARBORUNIV</t>
        </is>
      </c>
      <c r="B494" t="inlineStr">
        <is>
          <t>Bull</t>
        </is>
      </c>
      <c r="C494" t="n">
        <v>1234.9</v>
      </c>
      <c r="D494" s="22" t="n">
        <v>45377</v>
      </c>
      <c r="E494" t="n">
        <v>1524.15</v>
      </c>
      <c r="F494" s="22" t="n">
        <v>45513</v>
      </c>
      <c r="G494" t="n">
        <v>23.42294922665803</v>
      </c>
    </row>
    <row r="495">
      <c r="A495" t="inlineStr">
        <is>
          <t>CARBORUNIV</t>
        </is>
      </c>
      <c r="B495" t="inlineStr">
        <is>
          <t>Bear</t>
        </is>
      </c>
      <c r="C495" t="n">
        <v>1124.65</v>
      </c>
      <c r="D495" s="22" t="n">
        <v>45322</v>
      </c>
      <c r="E495" t="n">
        <v>1155.5</v>
      </c>
      <c r="F495" s="22" t="n">
        <v>45372</v>
      </c>
      <c r="G495" t="n">
        <v>-2.743075623527311</v>
      </c>
    </row>
    <row r="496">
      <c r="A496" t="inlineStr">
        <is>
          <t>CARBORUNIV</t>
        </is>
      </c>
      <c r="B496" t="inlineStr">
        <is>
          <t>Bull</t>
        </is>
      </c>
      <c r="C496" t="n">
        <v>1149.5</v>
      </c>
      <c r="D496" s="22" t="n">
        <v>45316</v>
      </c>
      <c r="E496" t="n">
        <v>1138.95</v>
      </c>
      <c r="F496" s="22" t="n">
        <v>45320</v>
      </c>
      <c r="G496" t="n">
        <v>-0.9177903436276603</v>
      </c>
    </row>
    <row r="497">
      <c r="A497" t="inlineStr">
        <is>
          <t>CARBORUNIV</t>
        </is>
      </c>
      <c r="B497" t="inlineStr">
        <is>
          <t>Bear</t>
        </is>
      </c>
      <c r="C497" t="n">
        <v>775.25</v>
      </c>
      <c r="D497" s="22" t="n">
        <v>44664</v>
      </c>
      <c r="E497" t="n">
        <v>1122</v>
      </c>
      <c r="F497" s="22" t="n">
        <v>45314</v>
      </c>
      <c r="G497" t="n">
        <v>-44.72750725572396</v>
      </c>
    </row>
    <row r="498">
      <c r="A498" t="inlineStr">
        <is>
          <t>CARBORUNIV</t>
        </is>
      </c>
      <c r="B498" t="inlineStr">
        <is>
          <t>Bull</t>
        </is>
      </c>
      <c r="C498" t="n">
        <v>1158.45</v>
      </c>
      <c r="D498" s="22" t="n">
        <v>45307</v>
      </c>
      <c r="E498" t="n">
        <v>1130</v>
      </c>
      <c r="F498" s="22" t="n">
        <v>45311</v>
      </c>
      <c r="G498" t="n">
        <v>-2.455867754326906</v>
      </c>
    </row>
    <row r="499">
      <c r="A499" t="inlineStr">
        <is>
          <t>CARBORUNIV</t>
        </is>
      </c>
      <c r="B499" t="inlineStr">
        <is>
          <t>Bear</t>
        </is>
      </c>
      <c r="C499" t="n">
        <v>1113.4</v>
      </c>
      <c r="D499" s="22" t="n">
        <v>45289</v>
      </c>
      <c r="E499" t="n">
        <v>1164.45</v>
      </c>
      <c r="F499" s="22" t="n">
        <v>45303</v>
      </c>
      <c r="G499" t="n">
        <v>-4.58505478713849</v>
      </c>
    </row>
    <row r="500">
      <c r="A500" t="inlineStr">
        <is>
          <t>CARBORUNIV</t>
        </is>
      </c>
      <c r="B500" t="inlineStr">
        <is>
          <t>Bull</t>
        </is>
      </c>
      <c r="C500" t="n">
        <v>1192.7</v>
      </c>
      <c r="D500" s="22" t="n">
        <v>45265</v>
      </c>
      <c r="E500" t="n">
        <v>1110</v>
      </c>
      <c r="F500" s="22" t="n">
        <v>45287</v>
      </c>
      <c r="G500" t="n">
        <v>-6.933847572734137</v>
      </c>
    </row>
    <row r="501">
      <c r="A501" t="inlineStr">
        <is>
          <t>CARBORUNIV</t>
        </is>
      </c>
      <c r="B501" t="inlineStr">
        <is>
          <t>Bear</t>
        </is>
      </c>
      <c r="C501" t="n">
        <v>1173.05</v>
      </c>
      <c r="D501" s="22" t="n">
        <v>45216</v>
      </c>
      <c r="E501" t="n">
        <v>1161.5</v>
      </c>
      <c r="F501" s="22" t="n">
        <v>45261</v>
      </c>
      <c r="G501" t="n">
        <v>0.9846127616043608</v>
      </c>
    </row>
    <row r="502">
      <c r="A502" t="inlineStr">
        <is>
          <t>CARBORUNIV</t>
        </is>
      </c>
      <c r="B502" t="inlineStr">
        <is>
          <t>Bull</t>
        </is>
      </c>
      <c r="C502" t="n">
        <v>1191.75</v>
      </c>
      <c r="D502" s="22" t="n">
        <v>45181</v>
      </c>
      <c r="E502" t="n">
        <v>1167.85</v>
      </c>
      <c r="F502" s="22" t="n">
        <v>45212</v>
      </c>
      <c r="G502" t="n">
        <v>-2.00545416404448</v>
      </c>
    </row>
    <row r="503">
      <c r="A503" t="inlineStr">
        <is>
          <t>CARBORUNIV</t>
        </is>
      </c>
      <c r="B503" t="inlineStr">
        <is>
          <t>Bear</t>
        </is>
      </c>
      <c r="C503" t="n">
        <v>1095.5</v>
      </c>
      <c r="D503" s="22" t="n">
        <v>45154</v>
      </c>
      <c r="E503" t="n">
        <v>1209.95</v>
      </c>
      <c r="F503" s="22" t="n">
        <v>45177</v>
      </c>
      <c r="G503" t="n">
        <v>-10.44728434504793</v>
      </c>
    </row>
    <row r="504">
      <c r="A504" t="inlineStr">
        <is>
          <t>CARBORUNIV</t>
        </is>
      </c>
      <c r="B504" t="inlineStr">
        <is>
          <t>Bull</t>
        </is>
      </c>
      <c r="C504" t="n">
        <v>880.4</v>
      </c>
      <c r="D504" s="22" t="n">
        <v>44908</v>
      </c>
      <c r="E504" t="n">
        <v>1079</v>
      </c>
      <c r="F504" s="22" t="n">
        <v>45149</v>
      </c>
      <c r="G504" t="n">
        <v>22.55792821444798</v>
      </c>
    </row>
    <row r="505">
      <c r="A505" t="inlineStr">
        <is>
          <t>CARERATING</t>
        </is>
      </c>
      <c r="B505" t="inlineStr">
        <is>
          <t>Bull</t>
        </is>
      </c>
      <c r="C505" t="n">
        <v>1104.95</v>
      </c>
      <c r="D505" s="22" t="n">
        <v>45569</v>
      </c>
      <c r="E505" t="n">
        <v>1390.55</v>
      </c>
      <c r="F505" s="22" t="n">
        <v>45660</v>
      </c>
      <c r="G505" t="n">
        <v>25.84732340829901</v>
      </c>
    </row>
    <row r="506">
      <c r="A506" t="inlineStr">
        <is>
          <t>CARERATING</t>
        </is>
      </c>
      <c r="B506" t="inlineStr">
        <is>
          <t>Bear</t>
        </is>
      </c>
      <c r="C506" t="n">
        <v>1106.1</v>
      </c>
      <c r="D506" s="22" t="n">
        <v>45430</v>
      </c>
      <c r="E506" t="n">
        <v>1002.6</v>
      </c>
      <c r="F506" s="22" t="n">
        <v>45566</v>
      </c>
      <c r="G506" t="n">
        <v>9.35720097640357</v>
      </c>
    </row>
    <row r="507">
      <c r="A507" t="inlineStr">
        <is>
          <t>CARERATING</t>
        </is>
      </c>
      <c r="B507" t="inlineStr">
        <is>
          <t>Bull</t>
        </is>
      </c>
      <c r="C507" t="n">
        <v>555.65</v>
      </c>
      <c r="D507" s="22" t="n">
        <v>44875</v>
      </c>
      <c r="E507" t="n">
        <v>1089.25</v>
      </c>
      <c r="F507" s="22" t="n">
        <v>45428</v>
      </c>
      <c r="G507" t="n">
        <v>96.03167461531541</v>
      </c>
    </row>
    <row r="508">
      <c r="A508" t="inlineStr">
        <is>
          <t>CARYSIL</t>
        </is>
      </c>
      <c r="B508" t="inlineStr">
        <is>
          <t>Bear</t>
        </is>
      </c>
      <c r="C508" t="n">
        <v>807</v>
      </c>
      <c r="D508" s="22" t="n">
        <v>45562</v>
      </c>
      <c r="E508" t="n">
        <v>754.75</v>
      </c>
      <c r="F508" s="22" t="n">
        <v>45660</v>
      </c>
      <c r="G508" t="n">
        <v>6.47459727385378</v>
      </c>
    </row>
    <row r="509">
      <c r="A509" t="inlineStr">
        <is>
          <t>CARYSIL</t>
        </is>
      </c>
      <c r="B509" t="inlineStr">
        <is>
          <t>Bull</t>
        </is>
      </c>
      <c r="C509" t="n">
        <v>921.05</v>
      </c>
      <c r="D509" s="22" t="n">
        <v>45530</v>
      </c>
      <c r="E509" t="n">
        <v>818.9</v>
      </c>
      <c r="F509" s="22" t="n">
        <v>45560</v>
      </c>
      <c r="G509" t="n">
        <v>-11.0906031160089</v>
      </c>
    </row>
    <row r="510">
      <c r="A510" t="inlineStr">
        <is>
          <t>CARYSIL</t>
        </is>
      </c>
      <c r="B510" t="inlineStr">
        <is>
          <t>Bear</t>
        </is>
      </c>
      <c r="C510" t="n">
        <v>926.95</v>
      </c>
      <c r="D510" s="22" t="n">
        <v>45419</v>
      </c>
      <c r="E510" t="n">
        <v>863.45</v>
      </c>
      <c r="F510" s="22" t="n">
        <v>45526</v>
      </c>
      <c r="G510" t="n">
        <v>6.850423431684556</v>
      </c>
    </row>
    <row r="511">
      <c r="A511" t="inlineStr">
        <is>
          <t>CARYSIL</t>
        </is>
      </c>
      <c r="B511" t="inlineStr">
        <is>
          <t>Bull</t>
        </is>
      </c>
      <c r="C511" t="n">
        <v>702.8</v>
      </c>
      <c r="D511" s="22" t="n">
        <v>45237</v>
      </c>
      <c r="E511" t="n">
        <v>942.85</v>
      </c>
      <c r="F511" s="22" t="n">
        <v>45415</v>
      </c>
      <c r="G511" t="n">
        <v>34.15623221400115</v>
      </c>
    </row>
    <row r="512">
      <c r="A512" t="inlineStr">
        <is>
          <t>CARYSIL</t>
        </is>
      </c>
      <c r="B512" t="inlineStr">
        <is>
          <t>Bear</t>
        </is>
      </c>
      <c r="C512" t="n">
        <v>630</v>
      </c>
      <c r="D512" s="22" t="n">
        <v>45225</v>
      </c>
      <c r="E512" t="n">
        <v>696.45</v>
      </c>
      <c r="F512" s="22" t="n">
        <v>45233</v>
      </c>
      <c r="G512" t="n">
        <v>-10.54761904761905</v>
      </c>
    </row>
    <row r="513">
      <c r="A513" t="inlineStr">
        <is>
          <t>CARYSIL</t>
        </is>
      </c>
      <c r="B513" t="inlineStr">
        <is>
          <t>Bull</t>
        </is>
      </c>
      <c r="C513" t="n">
        <v>681.95</v>
      </c>
      <c r="D513" s="22" t="n">
        <v>45216</v>
      </c>
      <c r="E513" t="n">
        <v>614.9</v>
      </c>
      <c r="F513" s="22" t="n">
        <v>45222</v>
      </c>
      <c r="G513" t="n">
        <v>-9.832099127502026</v>
      </c>
    </row>
    <row r="514">
      <c r="A514" t="inlineStr">
        <is>
          <t>CARYSIL</t>
        </is>
      </c>
      <c r="B514" t="inlineStr">
        <is>
          <t>Bear</t>
        </is>
      </c>
      <c r="C514" t="n">
        <v>631.5</v>
      </c>
      <c r="D514" s="22" t="n">
        <v>45183</v>
      </c>
      <c r="E514" t="n">
        <v>672.05</v>
      </c>
      <c r="F514" s="22" t="n">
        <v>45212</v>
      </c>
      <c r="G514" t="n">
        <v>-6.421219319081545</v>
      </c>
    </row>
    <row r="515">
      <c r="A515" t="inlineStr">
        <is>
          <t>CARYSIL</t>
        </is>
      </c>
      <c r="B515" t="inlineStr">
        <is>
          <t>Bull</t>
        </is>
      </c>
      <c r="C515" t="n">
        <v>641.25</v>
      </c>
      <c r="D515" s="22" t="n">
        <v>45181</v>
      </c>
      <c r="E515" t="n">
        <v>641.25</v>
      </c>
      <c r="F515" s="22" t="n">
        <v>45181</v>
      </c>
      <c r="G515" t="n">
        <v>0</v>
      </c>
    </row>
    <row r="516">
      <c r="A516" t="inlineStr">
        <is>
          <t>CARYSIL</t>
        </is>
      </c>
      <c r="B516" t="inlineStr">
        <is>
          <t>Bear</t>
        </is>
      </c>
      <c r="C516" t="n">
        <v>627.15</v>
      </c>
      <c r="D516" s="22" t="n">
        <v>45161</v>
      </c>
      <c r="E516" t="n">
        <v>677</v>
      </c>
      <c r="F516" s="22" t="n">
        <v>45177</v>
      </c>
      <c r="G516" t="n">
        <v>-7.948656621222996</v>
      </c>
    </row>
    <row r="517">
      <c r="A517" t="inlineStr">
        <is>
          <t>CARYSIL</t>
        </is>
      </c>
      <c r="B517" t="inlineStr">
        <is>
          <t>Bull</t>
        </is>
      </c>
      <c r="C517" t="n">
        <v>560</v>
      </c>
      <c r="D517" s="22" t="n">
        <v>44980</v>
      </c>
      <c r="E517" t="n">
        <v>624.4</v>
      </c>
      <c r="F517" s="22" t="n">
        <v>45159</v>
      </c>
      <c r="G517" t="n">
        <v>11.5</v>
      </c>
    </row>
    <row r="518">
      <c r="A518" t="inlineStr">
        <is>
          <t>CCL</t>
        </is>
      </c>
      <c r="B518" t="inlineStr">
        <is>
          <t>Bull</t>
        </is>
      </c>
      <c r="C518" t="n">
        <v>695</v>
      </c>
      <c r="D518" s="22" t="n">
        <v>45610</v>
      </c>
      <c r="E518" t="n">
        <v>726.6</v>
      </c>
      <c r="F518" s="22" t="n">
        <v>45660</v>
      </c>
      <c r="G518" t="n">
        <v>4.54676258992806</v>
      </c>
    </row>
    <row r="519">
      <c r="A519" t="inlineStr">
        <is>
          <t>CCL</t>
        </is>
      </c>
      <c r="B519" t="inlineStr">
        <is>
          <t>Bear</t>
        </is>
      </c>
      <c r="C519" t="n">
        <v>652.9</v>
      </c>
      <c r="D519" s="22" t="n">
        <v>45580</v>
      </c>
      <c r="E519" t="n">
        <v>691.2</v>
      </c>
      <c r="F519" s="22" t="n">
        <v>45608</v>
      </c>
      <c r="G519" t="n">
        <v>-5.866135702251504</v>
      </c>
    </row>
    <row r="520">
      <c r="A520" t="inlineStr">
        <is>
          <t>CCL</t>
        </is>
      </c>
      <c r="B520" t="inlineStr">
        <is>
          <t>Bull</t>
        </is>
      </c>
      <c r="C520" t="n">
        <v>606.4</v>
      </c>
      <c r="D520" s="22" t="n">
        <v>45457</v>
      </c>
      <c r="E520" t="n">
        <v>672.1</v>
      </c>
      <c r="F520" s="22" t="n">
        <v>45576</v>
      </c>
      <c r="G520" t="n">
        <v>10.83443271767811</v>
      </c>
    </row>
    <row r="521">
      <c r="A521" t="inlineStr">
        <is>
          <t>CCL</t>
        </is>
      </c>
      <c r="B521" t="inlineStr">
        <is>
          <t>Bear</t>
        </is>
      </c>
      <c r="C521" t="n">
        <v>629.15</v>
      </c>
      <c r="D521" s="22" t="n">
        <v>45353</v>
      </c>
      <c r="E521" t="n">
        <v>603.7</v>
      </c>
      <c r="F521" s="22" t="n">
        <v>45455</v>
      </c>
      <c r="G521" t="n">
        <v>4.045140268616376</v>
      </c>
    </row>
    <row r="522">
      <c r="A522" t="inlineStr">
        <is>
          <t>CCL</t>
        </is>
      </c>
      <c r="B522" t="inlineStr">
        <is>
          <t>Bull</t>
        </is>
      </c>
      <c r="C522" t="n">
        <v>673.05</v>
      </c>
      <c r="D522" s="22" t="n">
        <v>45321</v>
      </c>
      <c r="E522" t="n">
        <v>629.75</v>
      </c>
      <c r="F522" s="22" t="n">
        <v>45351</v>
      </c>
      <c r="G522" t="n">
        <v>-6.433400193150576</v>
      </c>
    </row>
    <row r="523">
      <c r="A523" t="inlineStr">
        <is>
          <t>CCL</t>
        </is>
      </c>
      <c r="B523" t="inlineStr">
        <is>
          <t>Bear</t>
        </is>
      </c>
      <c r="C523" t="n">
        <v>643.75</v>
      </c>
      <c r="D523" s="22" t="n">
        <v>45289</v>
      </c>
      <c r="E523" t="n">
        <v>641.9</v>
      </c>
      <c r="F523" s="22" t="n">
        <v>45316</v>
      </c>
      <c r="G523" t="n">
        <v>0.2873786407767026</v>
      </c>
    </row>
    <row r="524">
      <c r="A524" t="inlineStr">
        <is>
          <t>CCL</t>
        </is>
      </c>
      <c r="B524" t="inlineStr">
        <is>
          <t>Bull</t>
        </is>
      </c>
      <c r="C524" t="n">
        <v>657.5</v>
      </c>
      <c r="D524" s="22" t="n">
        <v>45261</v>
      </c>
      <c r="E524" t="n">
        <v>634.35</v>
      </c>
      <c r="F524" s="22" t="n">
        <v>45287</v>
      </c>
      <c r="G524" t="n">
        <v>-3.520912547528514</v>
      </c>
    </row>
    <row r="525">
      <c r="A525" t="inlineStr">
        <is>
          <t>CCL</t>
        </is>
      </c>
      <c r="B525" t="inlineStr">
        <is>
          <t>Bear</t>
        </is>
      </c>
      <c r="C525" t="n">
        <v>618</v>
      </c>
      <c r="D525" s="22" t="n">
        <v>45229</v>
      </c>
      <c r="E525" t="n">
        <v>651.85</v>
      </c>
      <c r="F525" s="22" t="n">
        <v>45259</v>
      </c>
      <c r="G525" t="n">
        <v>-5.477346278317156</v>
      </c>
    </row>
    <row r="526">
      <c r="A526" t="inlineStr">
        <is>
          <t>CCL</t>
        </is>
      </c>
      <c r="B526" t="inlineStr">
        <is>
          <t>Bull</t>
        </is>
      </c>
      <c r="C526" t="n">
        <v>667.45</v>
      </c>
      <c r="D526" s="22" t="n">
        <v>45181</v>
      </c>
      <c r="E526" t="n">
        <v>614.7</v>
      </c>
      <c r="F526" s="22" t="n">
        <v>45225</v>
      </c>
      <c r="G526" t="n">
        <v>-7.903213723874448</v>
      </c>
    </row>
    <row r="527">
      <c r="A527" t="inlineStr">
        <is>
          <t>CCL</t>
        </is>
      </c>
      <c r="B527" t="inlineStr">
        <is>
          <t>Bear</t>
        </is>
      </c>
      <c r="C527" t="n">
        <v>614.5</v>
      </c>
      <c r="D527" s="22" t="n">
        <v>45140</v>
      </c>
      <c r="E527" t="n">
        <v>669</v>
      </c>
      <c r="F527" s="22" t="n">
        <v>45177</v>
      </c>
      <c r="G527" t="n">
        <v>-8.868999186330349</v>
      </c>
    </row>
    <row r="528">
      <c r="A528" t="inlineStr">
        <is>
          <t>CCL</t>
        </is>
      </c>
      <c r="B528" t="inlineStr">
        <is>
          <t>Bull</t>
        </is>
      </c>
      <c r="C528" t="n">
        <v>405.1</v>
      </c>
      <c r="D528" s="22" t="n">
        <v>44748</v>
      </c>
      <c r="E528" t="n">
        <v>614.2</v>
      </c>
      <c r="F528" s="22" t="n">
        <v>45138</v>
      </c>
      <c r="G528" t="n">
        <v>51.61688471982227</v>
      </c>
    </row>
    <row r="529">
      <c r="A529" t="inlineStr">
        <is>
          <t>CEATLTD</t>
        </is>
      </c>
      <c r="B529" t="inlineStr">
        <is>
          <t>Bull</t>
        </is>
      </c>
      <c r="C529" t="n">
        <v>3107.45</v>
      </c>
      <c r="D529" s="22" t="n">
        <v>45628</v>
      </c>
      <c r="E529" t="n">
        <v>3185.25</v>
      </c>
      <c r="F529" s="22" t="n">
        <v>45660</v>
      </c>
      <c r="G529" t="n">
        <v>2.503660557692004</v>
      </c>
    </row>
    <row r="530">
      <c r="A530" t="inlineStr">
        <is>
          <t>CEATLTD</t>
        </is>
      </c>
      <c r="B530" t="inlineStr">
        <is>
          <t>Bear</t>
        </is>
      </c>
      <c r="C530" t="n">
        <v>2809.55</v>
      </c>
      <c r="D530" s="22" t="n">
        <v>45597</v>
      </c>
      <c r="E530" t="n">
        <v>2972.85</v>
      </c>
      <c r="F530" s="22" t="n">
        <v>45624</v>
      </c>
      <c r="G530" t="n">
        <v>-5.812318698723985</v>
      </c>
    </row>
    <row r="531">
      <c r="A531" t="inlineStr">
        <is>
          <t>CEATLTD</t>
        </is>
      </c>
      <c r="B531" t="inlineStr">
        <is>
          <t>Bull</t>
        </is>
      </c>
      <c r="C531" t="n">
        <v>2821.85</v>
      </c>
      <c r="D531" s="22" t="n">
        <v>45471</v>
      </c>
      <c r="E531" t="n">
        <v>2830.15</v>
      </c>
      <c r="F531" s="22" t="n">
        <v>45595</v>
      </c>
      <c r="G531" t="n">
        <v>0.2941332813579808</v>
      </c>
    </row>
    <row r="532">
      <c r="A532" t="inlineStr">
        <is>
          <t>CEATLTD</t>
        </is>
      </c>
      <c r="B532" t="inlineStr">
        <is>
          <t>Bear</t>
        </is>
      </c>
      <c r="C532" t="n">
        <v>2528.15</v>
      </c>
      <c r="D532" s="22" t="n">
        <v>45372</v>
      </c>
      <c r="E532" t="n">
        <v>2519.15</v>
      </c>
      <c r="F532" s="22" t="n">
        <v>45469</v>
      </c>
      <c r="G532" t="n">
        <v>0.3559915353123826</v>
      </c>
    </row>
    <row r="533">
      <c r="A533" t="inlineStr">
        <is>
          <t>CEATLTD</t>
        </is>
      </c>
      <c r="B533" t="inlineStr">
        <is>
          <t>Bull</t>
        </is>
      </c>
      <c r="C533" t="n">
        <v>2288.85</v>
      </c>
      <c r="D533" s="22" t="n">
        <v>45267</v>
      </c>
      <c r="E533" t="n">
        <v>2551.1</v>
      </c>
      <c r="F533" s="22" t="n">
        <v>45370</v>
      </c>
      <c r="G533" t="n">
        <v>11.45771894182668</v>
      </c>
    </row>
    <row r="534">
      <c r="A534" t="inlineStr">
        <is>
          <t>CEATLTD</t>
        </is>
      </c>
      <c r="B534" t="inlineStr">
        <is>
          <t>Bear</t>
        </is>
      </c>
      <c r="C534" t="n">
        <v>2138.6</v>
      </c>
      <c r="D534" s="22" t="n">
        <v>45182</v>
      </c>
      <c r="E534" t="n">
        <v>2244.65</v>
      </c>
      <c r="F534" s="22" t="n">
        <v>45265</v>
      </c>
      <c r="G534" t="n">
        <v>-4.958851585149172</v>
      </c>
    </row>
    <row r="535">
      <c r="A535" t="inlineStr">
        <is>
          <t>CEATLTD</t>
        </is>
      </c>
      <c r="B535" t="inlineStr">
        <is>
          <t>Bull</t>
        </is>
      </c>
      <c r="C535" t="n">
        <v>1716.6</v>
      </c>
      <c r="D535" s="22" t="n">
        <v>45051</v>
      </c>
      <c r="E535" t="n">
        <v>2196.9</v>
      </c>
      <c r="F535" s="22" t="n">
        <v>45180</v>
      </c>
      <c r="G535" t="n">
        <v>27.97972736805314</v>
      </c>
    </row>
    <row r="536">
      <c r="A536" t="inlineStr">
        <is>
          <t>CENTURYPLY</t>
        </is>
      </c>
      <c r="B536" t="inlineStr">
        <is>
          <t>Bear</t>
        </is>
      </c>
      <c r="C536" t="n">
        <v>748.65</v>
      </c>
      <c r="D536" s="22" t="n">
        <v>45610</v>
      </c>
      <c r="E536" t="n">
        <v>863.55</v>
      </c>
      <c r="F536" s="22" t="n">
        <v>45660</v>
      </c>
      <c r="G536" t="n">
        <v>-15.34762572630735</v>
      </c>
    </row>
    <row r="537">
      <c r="A537" t="inlineStr">
        <is>
          <t>CENTURYPLY</t>
        </is>
      </c>
      <c r="B537" t="inlineStr">
        <is>
          <t>Bull</t>
        </is>
      </c>
      <c r="C537" t="n">
        <v>690.7</v>
      </c>
      <c r="D537" s="22" t="n">
        <v>45454</v>
      </c>
      <c r="E537" t="n">
        <v>798.3</v>
      </c>
      <c r="F537" s="22" t="n">
        <v>45608</v>
      </c>
      <c r="G537" t="n">
        <v>15.5783987259302</v>
      </c>
    </row>
    <row r="538">
      <c r="A538" t="inlineStr">
        <is>
          <t>CENTURYPLY</t>
        </is>
      </c>
      <c r="B538" t="inlineStr">
        <is>
          <t>Bear</t>
        </is>
      </c>
      <c r="C538" t="n">
        <v>721.05</v>
      </c>
      <c r="D538" s="22" t="n">
        <v>45344</v>
      </c>
      <c r="E538" t="n">
        <v>689.1</v>
      </c>
      <c r="F538" s="22" t="n">
        <v>45450</v>
      </c>
      <c r="G538" t="n">
        <v>4.431038069481996</v>
      </c>
    </row>
    <row r="539">
      <c r="A539" t="inlineStr">
        <is>
          <t>CENTURYPLY</t>
        </is>
      </c>
      <c r="B539" t="inlineStr">
        <is>
          <t>Bull</t>
        </is>
      </c>
      <c r="C539" t="n">
        <v>685.7</v>
      </c>
      <c r="D539" s="22" t="n">
        <v>45264</v>
      </c>
      <c r="E539" t="n">
        <v>722.7</v>
      </c>
      <c r="F539" s="22" t="n">
        <v>45342</v>
      </c>
      <c r="G539" t="n">
        <v>5.395945748869767</v>
      </c>
    </row>
    <row r="540">
      <c r="A540" t="inlineStr">
        <is>
          <t>CENTURYPLY</t>
        </is>
      </c>
      <c r="B540" t="inlineStr">
        <is>
          <t>Bear</t>
        </is>
      </c>
      <c r="C540" t="n">
        <v>653.4</v>
      </c>
      <c r="D540" s="22" t="n">
        <v>45205</v>
      </c>
      <c r="E540" t="n">
        <v>645</v>
      </c>
      <c r="F540" s="22" t="n">
        <v>45260</v>
      </c>
      <c r="G540" t="n">
        <v>1.285583103764919</v>
      </c>
    </row>
    <row r="541">
      <c r="A541" t="inlineStr">
        <is>
          <t>CENTURYPLY</t>
        </is>
      </c>
      <c r="B541" t="inlineStr">
        <is>
          <t>Bull</t>
        </is>
      </c>
      <c r="C541" t="n">
        <v>511</v>
      </c>
      <c r="D541" s="22" t="n">
        <v>45042</v>
      </c>
      <c r="E541" t="n">
        <v>636.5</v>
      </c>
      <c r="F541" s="22" t="n">
        <v>45203</v>
      </c>
      <c r="G541" t="n">
        <v>24.55968688845401</v>
      </c>
    </row>
    <row r="542">
      <c r="A542" t="inlineStr">
        <is>
          <t>CERA</t>
        </is>
      </c>
      <c r="B542" t="inlineStr">
        <is>
          <t>Bear</t>
        </is>
      </c>
      <c r="C542" t="n">
        <v>8360.200000000001</v>
      </c>
      <c r="D542" s="22" t="n">
        <v>45551</v>
      </c>
      <c r="E542" t="n">
        <v>7525.15</v>
      </c>
      <c r="F542" s="22" t="n">
        <v>45660</v>
      </c>
      <c r="G542" t="n">
        <v>9.988397406760615</v>
      </c>
    </row>
    <row r="543">
      <c r="A543" t="inlineStr">
        <is>
          <t>CERA</t>
        </is>
      </c>
      <c r="B543" t="inlineStr">
        <is>
          <t>Bull</t>
        </is>
      </c>
      <c r="C543" t="n">
        <v>7563</v>
      </c>
      <c r="D543" s="22" t="n">
        <v>45456</v>
      </c>
      <c r="E543" t="n">
        <v>8458.700000000001</v>
      </c>
      <c r="F543" s="22" t="n">
        <v>45547</v>
      </c>
      <c r="G543" t="n">
        <v>11.84318392172419</v>
      </c>
    </row>
    <row r="544">
      <c r="A544" t="inlineStr">
        <is>
          <t>CERA</t>
        </is>
      </c>
      <c r="B544" t="inlineStr">
        <is>
          <t>Bear</t>
        </is>
      </c>
      <c r="C544" t="n">
        <v>8410</v>
      </c>
      <c r="D544" s="22" t="n">
        <v>45259</v>
      </c>
      <c r="E544" t="n">
        <v>7495</v>
      </c>
      <c r="F544" s="22" t="n">
        <v>45454</v>
      </c>
      <c r="G544" t="n">
        <v>10.87990487514863</v>
      </c>
    </row>
    <row r="545">
      <c r="A545" t="inlineStr">
        <is>
          <t>CERA</t>
        </is>
      </c>
      <c r="B545" t="inlineStr">
        <is>
          <t>Bull</t>
        </is>
      </c>
      <c r="C545" t="n">
        <v>8771.35</v>
      </c>
      <c r="D545" s="22" t="n">
        <v>45245</v>
      </c>
      <c r="E545" t="n">
        <v>8495</v>
      </c>
      <c r="F545" s="22" t="n">
        <v>45254</v>
      </c>
      <c r="G545" t="n">
        <v>-3.150598254544629</v>
      </c>
    </row>
    <row r="546">
      <c r="A546" t="inlineStr">
        <is>
          <t>CERA</t>
        </is>
      </c>
      <c r="B546" t="inlineStr">
        <is>
          <t>Bear</t>
        </is>
      </c>
      <c r="C546" t="n">
        <v>8336.25</v>
      </c>
      <c r="D546" s="22" t="n">
        <v>45233</v>
      </c>
      <c r="E546" t="n">
        <v>8729.950000000001</v>
      </c>
      <c r="F546" s="22" t="n">
        <v>45242</v>
      </c>
      <c r="G546" t="n">
        <v>-4.722747038536522</v>
      </c>
    </row>
    <row r="547">
      <c r="A547" t="inlineStr">
        <is>
          <t>CERA</t>
        </is>
      </c>
      <c r="B547" t="inlineStr">
        <is>
          <t>Bull</t>
        </is>
      </c>
      <c r="C547" t="n">
        <v>5286.2</v>
      </c>
      <c r="D547" s="22" t="n">
        <v>44946</v>
      </c>
      <c r="E547" t="n">
        <v>8158.4</v>
      </c>
      <c r="F547" s="22" t="n">
        <v>45231</v>
      </c>
      <c r="G547" t="n">
        <v>54.33392607165828</v>
      </c>
    </row>
    <row r="548">
      <c r="A548" t="inlineStr">
        <is>
          <t>CHAMBLFERT</t>
        </is>
      </c>
      <c r="B548" t="inlineStr">
        <is>
          <t>Bull</t>
        </is>
      </c>
      <c r="C548" t="n">
        <v>534.35</v>
      </c>
      <c r="D548" s="22" t="n">
        <v>45630</v>
      </c>
      <c r="E548" t="n">
        <v>500.3</v>
      </c>
      <c r="F548" s="22" t="n">
        <v>45660</v>
      </c>
      <c r="G548" t="n">
        <v>-6.372227940488445</v>
      </c>
    </row>
    <row r="549">
      <c r="A549" t="inlineStr">
        <is>
          <t>CHAMBLFERT</t>
        </is>
      </c>
      <c r="B549" t="inlineStr">
        <is>
          <t>Bear</t>
        </is>
      </c>
      <c r="C549" t="n">
        <v>487.25</v>
      </c>
      <c r="D549" s="22" t="n">
        <v>45586</v>
      </c>
      <c r="E549" t="n">
        <v>524.8</v>
      </c>
      <c r="F549" s="22" t="n">
        <v>45628</v>
      </c>
      <c r="G549" t="n">
        <v>-7.706516162134419</v>
      </c>
    </row>
    <row r="550">
      <c r="A550" t="inlineStr">
        <is>
          <t>CHAMBLFERT</t>
        </is>
      </c>
      <c r="B550" t="inlineStr">
        <is>
          <t>Bull</t>
        </is>
      </c>
      <c r="C550" t="n">
        <v>377.3</v>
      </c>
      <c r="D550" s="22" t="n">
        <v>45390</v>
      </c>
      <c r="E550" t="n">
        <v>500.3</v>
      </c>
      <c r="F550" s="22" t="n">
        <v>45582</v>
      </c>
      <c r="G550" t="n">
        <v>32.60005300821627</v>
      </c>
    </row>
    <row r="551">
      <c r="A551" t="inlineStr">
        <is>
          <t>CHAMBLFERT</t>
        </is>
      </c>
      <c r="B551" t="inlineStr">
        <is>
          <t>Bear</t>
        </is>
      </c>
      <c r="C551" t="n">
        <v>346.95</v>
      </c>
      <c r="D551" s="22" t="n">
        <v>45366</v>
      </c>
      <c r="E551" t="n">
        <v>369.3</v>
      </c>
      <c r="F551" s="22" t="n">
        <v>45386</v>
      </c>
      <c r="G551" t="n">
        <v>-6.441850410722012</v>
      </c>
    </row>
    <row r="552">
      <c r="A552" t="inlineStr">
        <is>
          <t>CHAMBLFERT</t>
        </is>
      </c>
      <c r="B552" t="inlineStr">
        <is>
          <t>Bull</t>
        </is>
      </c>
      <c r="C552" t="n">
        <v>285.5</v>
      </c>
      <c r="D552" s="22" t="n">
        <v>45175</v>
      </c>
      <c r="E552" t="n">
        <v>337.75</v>
      </c>
      <c r="F552" s="22" t="n">
        <v>45364</v>
      </c>
      <c r="G552" t="n">
        <v>18.30122591943958</v>
      </c>
    </row>
    <row r="553">
      <c r="A553" t="inlineStr">
        <is>
          <t>CHAMBLFERT</t>
        </is>
      </c>
      <c r="B553" t="inlineStr">
        <is>
          <t>Bear</t>
        </is>
      </c>
      <c r="C553" t="n">
        <v>279.05</v>
      </c>
      <c r="D553" s="22" t="n">
        <v>45083</v>
      </c>
      <c r="E553" t="n">
        <v>279.35</v>
      </c>
      <c r="F553" s="22" t="n">
        <v>45173</v>
      </c>
      <c r="G553" t="n">
        <v>-0.1075076151227419</v>
      </c>
    </row>
    <row r="554">
      <c r="A554" t="inlineStr">
        <is>
          <t>CHAMBLFERT</t>
        </is>
      </c>
      <c r="B554" t="inlineStr">
        <is>
          <t>Bull</t>
        </is>
      </c>
      <c r="C554" t="n">
        <v>300.3</v>
      </c>
      <c r="D554" s="22" t="n">
        <v>45051</v>
      </c>
      <c r="E554" t="n">
        <v>280.75</v>
      </c>
      <c r="F554" s="22" t="n">
        <v>45079</v>
      </c>
      <c r="G554" t="n">
        <v>-6.510156510156513</v>
      </c>
    </row>
    <row r="555">
      <c r="A555" t="inlineStr">
        <is>
          <t>CHOLAHLDNG</t>
        </is>
      </c>
      <c r="B555" t="inlineStr">
        <is>
          <t>Bear</t>
        </is>
      </c>
      <c r="C555" t="n">
        <v>1694.85</v>
      </c>
      <c r="D555" s="22" t="n">
        <v>45603</v>
      </c>
      <c r="E555" t="n">
        <v>1552.75</v>
      </c>
      <c r="F555" s="22" t="n">
        <v>45660</v>
      </c>
      <c r="G555" t="n">
        <v>8.384222792577509</v>
      </c>
    </row>
    <row r="556">
      <c r="A556" t="inlineStr">
        <is>
          <t>CHOLAHLDNG</t>
        </is>
      </c>
      <c r="B556" t="inlineStr">
        <is>
          <t>Bull</t>
        </is>
      </c>
      <c r="C556" t="n">
        <v>1157.15</v>
      </c>
      <c r="D556" s="22" t="n">
        <v>45384</v>
      </c>
      <c r="E556" t="n">
        <v>1755.75</v>
      </c>
      <c r="F556" s="22" t="n">
        <v>45601</v>
      </c>
      <c r="G556" t="n">
        <v>51.73054487317978</v>
      </c>
    </row>
    <row r="557">
      <c r="A557" t="inlineStr">
        <is>
          <t>CHOLAHLDNG</t>
        </is>
      </c>
      <c r="B557" t="inlineStr">
        <is>
          <t>Bear</t>
        </is>
      </c>
      <c r="C557" t="n">
        <v>1041.45</v>
      </c>
      <c r="D557" s="22" t="n">
        <v>45357</v>
      </c>
      <c r="E557" t="n">
        <v>1111.5</v>
      </c>
      <c r="F557" s="22" t="n">
        <v>45379</v>
      </c>
      <c r="G557" t="n">
        <v>-6.72619904940227</v>
      </c>
    </row>
    <row r="558">
      <c r="A558" t="inlineStr">
        <is>
          <t>CHOLAHLDNG</t>
        </is>
      </c>
      <c r="B558" t="inlineStr">
        <is>
          <t>Bull</t>
        </is>
      </c>
      <c r="C558" t="n">
        <v>1162</v>
      </c>
      <c r="D558" s="22" t="n">
        <v>45321</v>
      </c>
      <c r="E558" t="n">
        <v>1069.6</v>
      </c>
      <c r="F558" s="22" t="n">
        <v>45355</v>
      </c>
      <c r="G558" t="n">
        <v>-7.951807228915671</v>
      </c>
    </row>
    <row r="559">
      <c r="A559" t="inlineStr">
        <is>
          <t>CHOLAHLDNG</t>
        </is>
      </c>
      <c r="B559" t="inlineStr">
        <is>
          <t>Bear</t>
        </is>
      </c>
      <c r="C559" t="n">
        <v>1007.8</v>
      </c>
      <c r="D559" s="22" t="n">
        <v>45259</v>
      </c>
      <c r="E559" t="n">
        <v>1101.5</v>
      </c>
      <c r="F559" s="22" t="n">
        <v>45316</v>
      </c>
      <c r="G559" t="n">
        <v>-9.297479658662439</v>
      </c>
    </row>
    <row r="560">
      <c r="A560" t="inlineStr">
        <is>
          <t>CHOLAHLDNG</t>
        </is>
      </c>
      <c r="B560" t="inlineStr">
        <is>
          <t>Bull</t>
        </is>
      </c>
      <c r="C560" t="n">
        <v>623.3</v>
      </c>
      <c r="D560" s="22" t="n">
        <v>45048</v>
      </c>
      <c r="E560" t="n">
        <v>1037.55</v>
      </c>
      <c r="F560" s="22" t="n">
        <v>45254</v>
      </c>
      <c r="G560" t="n">
        <v>66.46077330338521</v>
      </c>
    </row>
    <row r="561">
      <c r="A561" t="inlineStr">
        <is>
          <t>CHOLAFIN</t>
        </is>
      </c>
      <c r="B561" t="inlineStr">
        <is>
          <t>Bear</t>
        </is>
      </c>
      <c r="C561" t="n">
        <v>1386.15</v>
      </c>
      <c r="D561" s="22" t="n">
        <v>45589</v>
      </c>
      <c r="E561" t="n">
        <v>1320.25</v>
      </c>
      <c r="F561" s="22" t="n">
        <v>45660</v>
      </c>
      <c r="G561" t="n">
        <v>4.754175233560588</v>
      </c>
    </row>
    <row r="562">
      <c r="A562" t="inlineStr">
        <is>
          <t>CHOLAFIN</t>
        </is>
      </c>
      <c r="B562" t="inlineStr">
        <is>
          <t>Bull</t>
        </is>
      </c>
      <c r="C562" t="n">
        <v>1203.05</v>
      </c>
      <c r="D562" s="22" t="n">
        <v>45390</v>
      </c>
      <c r="E562" t="n">
        <v>1411.2</v>
      </c>
      <c r="F562" s="22" t="n">
        <v>45587</v>
      </c>
      <c r="G562" t="n">
        <v>17.30185777814722</v>
      </c>
    </row>
    <row r="563">
      <c r="A563" t="inlineStr">
        <is>
          <t>CHOLAFIN</t>
        </is>
      </c>
      <c r="B563" t="inlineStr">
        <is>
          <t>Bear</t>
        </is>
      </c>
      <c r="C563" t="n">
        <v>1159.8</v>
      </c>
      <c r="D563" s="22" t="n">
        <v>45329</v>
      </c>
      <c r="E563" t="n">
        <v>1196.35</v>
      </c>
      <c r="F563" s="22" t="n">
        <v>45386</v>
      </c>
      <c r="G563" t="n">
        <v>-3.151405414726673</v>
      </c>
    </row>
    <row r="564">
      <c r="A564" t="inlineStr">
        <is>
          <t>CHOLAFIN</t>
        </is>
      </c>
      <c r="B564" t="inlineStr">
        <is>
          <t>Bull</t>
        </is>
      </c>
      <c r="C564" t="n">
        <v>1243.8</v>
      </c>
      <c r="D564" s="22" t="n">
        <v>45275</v>
      </c>
      <c r="E564" t="n">
        <v>1136.35</v>
      </c>
      <c r="F564" s="22" t="n">
        <v>45327</v>
      </c>
      <c r="G564" t="n">
        <v>-8.638848689499925</v>
      </c>
    </row>
    <row r="565">
      <c r="A565" t="inlineStr">
        <is>
          <t>CHOLAFIN</t>
        </is>
      </c>
      <c r="B565" t="inlineStr">
        <is>
          <t>Bear</t>
        </is>
      </c>
      <c r="C565" t="n">
        <v>1148.25</v>
      </c>
      <c r="D565" s="22" t="n">
        <v>45240</v>
      </c>
      <c r="E565" t="n">
        <v>1180.6</v>
      </c>
      <c r="F565" s="22" t="n">
        <v>45273</v>
      </c>
      <c r="G565" t="n">
        <v>-2.817330720661869</v>
      </c>
    </row>
    <row r="566">
      <c r="A566" t="inlineStr">
        <is>
          <t>CHOLAFIN</t>
        </is>
      </c>
      <c r="B566" t="inlineStr">
        <is>
          <t>Bull</t>
        </is>
      </c>
      <c r="C566" t="n">
        <v>1129.25</v>
      </c>
      <c r="D566" s="22" t="n">
        <v>45176</v>
      </c>
      <c r="E566" t="n">
        <v>1143.15</v>
      </c>
      <c r="F566" s="22" t="n">
        <v>45238</v>
      </c>
      <c r="G566" t="n">
        <v>1.230905468231135</v>
      </c>
    </row>
    <row r="567">
      <c r="A567" t="inlineStr">
        <is>
          <t>CHOLAFIN</t>
        </is>
      </c>
      <c r="B567" t="inlineStr">
        <is>
          <t>Bear</t>
        </is>
      </c>
      <c r="C567" t="n">
        <v>1020</v>
      </c>
      <c r="D567" s="22" t="n">
        <v>45155</v>
      </c>
      <c r="E567" t="n">
        <v>1096.75</v>
      </c>
      <c r="F567" s="22" t="n">
        <v>45174</v>
      </c>
      <c r="G567" t="n">
        <v>-7.524509803921569</v>
      </c>
    </row>
    <row r="568">
      <c r="A568" t="inlineStr">
        <is>
          <t>CHOLAFIN</t>
        </is>
      </c>
      <c r="B568" t="inlineStr">
        <is>
          <t>Bull</t>
        </is>
      </c>
      <c r="C568" t="n">
        <v>841.4</v>
      </c>
      <c r="D568" s="22" t="n">
        <v>45022</v>
      </c>
      <c r="E568" t="n">
        <v>1036</v>
      </c>
      <c r="F568" s="22" t="n">
        <v>45152</v>
      </c>
      <c r="G568" t="n">
        <v>23.12811980033278</v>
      </c>
    </row>
    <row r="569">
      <c r="A569" t="inlineStr">
        <is>
          <t>CIEINDIA</t>
        </is>
      </c>
      <c r="B569" t="inlineStr">
        <is>
          <t>Bear</t>
        </is>
      </c>
      <c r="C569" t="n">
        <v>569.6</v>
      </c>
      <c r="D569" s="22" t="n">
        <v>45566</v>
      </c>
      <c r="E569" t="n">
        <v>486.45</v>
      </c>
      <c r="F569" s="22" t="n">
        <v>45660</v>
      </c>
      <c r="G569" t="n">
        <v>14.59796348314607</v>
      </c>
    </row>
    <row r="570">
      <c r="A570" t="inlineStr">
        <is>
          <t>CIEINDIA</t>
        </is>
      </c>
      <c r="B570" t="inlineStr">
        <is>
          <t>Bull</t>
        </is>
      </c>
      <c r="C570" t="n">
        <v>590.9</v>
      </c>
      <c r="D570" s="22" t="n">
        <v>45558</v>
      </c>
      <c r="E570" t="n">
        <v>544.3</v>
      </c>
      <c r="F570" s="22" t="n">
        <v>45562</v>
      </c>
      <c r="G570" t="n">
        <v>-7.886275173464212</v>
      </c>
    </row>
    <row r="571">
      <c r="A571" t="inlineStr">
        <is>
          <t>CIEINDIA</t>
        </is>
      </c>
      <c r="B571" t="inlineStr">
        <is>
          <t>Bear</t>
        </is>
      </c>
      <c r="C571" t="n">
        <v>565.35</v>
      </c>
      <c r="D571" s="22" t="n">
        <v>45552</v>
      </c>
      <c r="E571" t="n">
        <v>577.35</v>
      </c>
      <c r="F571" s="22" t="n">
        <v>45554</v>
      </c>
      <c r="G571" t="n">
        <v>-2.122578933404086</v>
      </c>
    </row>
    <row r="572">
      <c r="A572" t="inlineStr">
        <is>
          <t>CIEINDIA</t>
        </is>
      </c>
      <c r="B572" t="inlineStr">
        <is>
          <t>Bull</t>
        </is>
      </c>
      <c r="C572" t="n">
        <v>588.4</v>
      </c>
      <c r="D572" s="22" t="n">
        <v>45537</v>
      </c>
      <c r="E572" t="n">
        <v>561.7</v>
      </c>
      <c r="F572" s="22" t="n">
        <v>45548</v>
      </c>
      <c r="G572" t="n">
        <v>-4.537729435757976</v>
      </c>
    </row>
    <row r="573">
      <c r="A573" t="inlineStr">
        <is>
          <t>CIEINDIA</t>
        </is>
      </c>
      <c r="B573" t="inlineStr">
        <is>
          <t>Bear</t>
        </is>
      </c>
      <c r="C573" t="n">
        <v>531.3</v>
      </c>
      <c r="D573" s="22" t="n">
        <v>45520</v>
      </c>
      <c r="E573" t="n">
        <v>586.7</v>
      </c>
      <c r="F573" s="22" t="n">
        <v>45533</v>
      </c>
      <c r="G573" t="n">
        <v>-10.42725390551479</v>
      </c>
    </row>
    <row r="574">
      <c r="A574" t="inlineStr">
        <is>
          <t>CIEINDIA</t>
        </is>
      </c>
      <c r="B574" t="inlineStr">
        <is>
          <t>Bull</t>
        </is>
      </c>
      <c r="C574" t="n">
        <v>478</v>
      </c>
      <c r="D574" s="22" t="n">
        <v>45392</v>
      </c>
      <c r="E574" t="n">
        <v>531.5</v>
      </c>
      <c r="F574" s="22" t="n">
        <v>45517</v>
      </c>
      <c r="G574" t="n">
        <v>11.19246861924686</v>
      </c>
    </row>
    <row r="575">
      <c r="A575" t="inlineStr">
        <is>
          <t>CIEINDIA</t>
        </is>
      </c>
      <c r="B575" t="inlineStr">
        <is>
          <t>Bear</t>
        </is>
      </c>
      <c r="C575" t="n">
        <v>462.35</v>
      </c>
      <c r="D575" s="22" t="n">
        <v>45343</v>
      </c>
      <c r="E575" t="n">
        <v>480.2</v>
      </c>
      <c r="F575" s="22" t="n">
        <v>45390</v>
      </c>
      <c r="G575" t="n">
        <v>-3.860711582134739</v>
      </c>
    </row>
    <row r="576">
      <c r="A576" t="inlineStr">
        <is>
          <t>CIEINDIA</t>
        </is>
      </c>
      <c r="B576" t="inlineStr">
        <is>
          <t>Bull</t>
        </is>
      </c>
      <c r="C576" t="n">
        <v>487.35</v>
      </c>
      <c r="D576" s="22" t="n">
        <v>45295</v>
      </c>
      <c r="E576" t="n">
        <v>483.25</v>
      </c>
      <c r="F576" s="22" t="n">
        <v>45341</v>
      </c>
      <c r="G576" t="n">
        <v>-0.8412844977941977</v>
      </c>
    </row>
    <row r="577">
      <c r="A577" t="inlineStr">
        <is>
          <t>CIEINDIA</t>
        </is>
      </c>
      <c r="B577" t="inlineStr">
        <is>
          <t>Bear</t>
        </is>
      </c>
      <c r="C577" t="n">
        <v>465.25</v>
      </c>
      <c r="D577" s="22" t="n">
        <v>45281</v>
      </c>
      <c r="E577" t="n">
        <v>489.45</v>
      </c>
      <c r="F577" s="22" t="n">
        <v>45293</v>
      </c>
      <c r="G577" t="n">
        <v>-5.201504567436859</v>
      </c>
    </row>
    <row r="578">
      <c r="A578" t="inlineStr">
        <is>
          <t>CIEINDIA</t>
        </is>
      </c>
      <c r="B578" t="inlineStr">
        <is>
          <t>Bull</t>
        </is>
      </c>
      <c r="C578" t="n">
        <v>494.2</v>
      </c>
      <c r="D578" s="22" t="n">
        <v>45251</v>
      </c>
      <c r="E578" t="n">
        <v>473.9</v>
      </c>
      <c r="F578" s="22" t="n">
        <v>45279</v>
      </c>
      <c r="G578" t="n">
        <v>-4.107648725212467</v>
      </c>
    </row>
    <row r="579">
      <c r="A579" t="inlineStr">
        <is>
          <t>CIEINDIA</t>
        </is>
      </c>
      <c r="B579" t="inlineStr">
        <is>
          <t>Bear</t>
        </is>
      </c>
      <c r="C579" t="n">
        <v>480.35</v>
      </c>
      <c r="D579" s="22" t="n">
        <v>45194</v>
      </c>
      <c r="E579" t="n">
        <v>493.15</v>
      </c>
      <c r="F579" s="22" t="n">
        <v>45247</v>
      </c>
      <c r="G579" t="n">
        <v>-2.66472363901321</v>
      </c>
    </row>
    <row r="580">
      <c r="A580" t="inlineStr">
        <is>
          <t>CIEINDIA</t>
        </is>
      </c>
      <c r="B580" t="inlineStr">
        <is>
          <t>Bull</t>
        </is>
      </c>
      <c r="C580" t="n">
        <v>507.7</v>
      </c>
      <c r="D580" s="22" t="n">
        <v>45167</v>
      </c>
      <c r="E580" t="n">
        <v>482.55</v>
      </c>
      <c r="F580" s="22" t="n">
        <v>45190</v>
      </c>
      <c r="G580" t="n">
        <v>-4.953712822532987</v>
      </c>
    </row>
    <row r="581">
      <c r="A581" t="inlineStr">
        <is>
          <t>CIEINDIA</t>
        </is>
      </c>
      <c r="B581" t="inlineStr">
        <is>
          <t>Bear</t>
        </is>
      </c>
      <c r="C581" t="n">
        <v>479.5</v>
      </c>
      <c r="D581" s="22" t="n">
        <v>45155</v>
      </c>
      <c r="E581" t="n">
        <v>505.9</v>
      </c>
      <c r="F581" s="22" t="n">
        <v>45163</v>
      </c>
      <c r="G581" t="n">
        <v>-5.505735140771632</v>
      </c>
    </row>
    <row r="582">
      <c r="A582" t="inlineStr">
        <is>
          <t>CIEINDIA</t>
        </is>
      </c>
      <c r="B582" t="inlineStr">
        <is>
          <t>Bull</t>
        </is>
      </c>
      <c r="C582" t="n">
        <v>396.85</v>
      </c>
      <c r="D582" s="22" t="n">
        <v>45048</v>
      </c>
      <c r="E582" t="n">
        <v>485.55</v>
      </c>
      <c r="F582" s="22" t="n">
        <v>45152</v>
      </c>
      <c r="G582" t="n">
        <v>22.35101423711729</v>
      </c>
    </row>
    <row r="583">
      <c r="A583" t="inlineStr">
        <is>
          <t>CIPLA</t>
        </is>
      </c>
      <c r="B583" t="inlineStr">
        <is>
          <t>Bear</t>
        </is>
      </c>
      <c r="C583" t="n">
        <v>1510.35</v>
      </c>
      <c r="D583" s="22" t="n">
        <v>45587</v>
      </c>
      <c r="E583" t="n">
        <v>1511.25</v>
      </c>
      <c r="F583" s="22" t="n">
        <v>45660</v>
      </c>
      <c r="G583" t="n">
        <v>-0.05958883702453676</v>
      </c>
    </row>
    <row r="584">
      <c r="A584" t="inlineStr">
        <is>
          <t>CIPLA</t>
        </is>
      </c>
      <c r="B584" t="inlineStr">
        <is>
          <t>Bull</t>
        </is>
      </c>
      <c r="C584" t="n">
        <v>1486.45</v>
      </c>
      <c r="D584" s="22" t="n">
        <v>45436</v>
      </c>
      <c r="E584" t="n">
        <v>1551.7</v>
      </c>
      <c r="F584" s="22" t="n">
        <v>45583</v>
      </c>
      <c r="G584" t="n">
        <v>4.38965320057856</v>
      </c>
    </row>
    <row r="585">
      <c r="A585" t="inlineStr">
        <is>
          <t>CIPLA</t>
        </is>
      </c>
      <c r="B585" t="inlineStr">
        <is>
          <t>Bear</t>
        </is>
      </c>
      <c r="C585" t="n">
        <v>1354.85</v>
      </c>
      <c r="D585" s="22" t="n">
        <v>45404</v>
      </c>
      <c r="E585" t="n">
        <v>1482.3</v>
      </c>
      <c r="F585" s="22" t="n">
        <v>45434</v>
      </c>
      <c r="G585" t="n">
        <v>-9.406945418311995</v>
      </c>
    </row>
    <row r="586">
      <c r="A586" t="inlineStr">
        <is>
          <t>CIPLA</t>
        </is>
      </c>
      <c r="B586" t="inlineStr">
        <is>
          <t>Bull</t>
        </is>
      </c>
      <c r="C586" t="n">
        <v>1204.1</v>
      </c>
      <c r="D586" s="22" t="n">
        <v>45236</v>
      </c>
      <c r="E586" t="n">
        <v>1347.3</v>
      </c>
      <c r="F586" s="22" t="n">
        <v>45400</v>
      </c>
      <c r="G586" t="n">
        <v>11.8926999418653</v>
      </c>
    </row>
    <row r="587">
      <c r="A587" t="inlineStr">
        <is>
          <t>CIPLA</t>
        </is>
      </c>
      <c r="B587" t="inlineStr">
        <is>
          <t>Bear</t>
        </is>
      </c>
      <c r="C587" t="n">
        <v>1173.5</v>
      </c>
      <c r="D587" s="22" t="n">
        <v>45216</v>
      </c>
      <c r="E587" t="n">
        <v>1208.5</v>
      </c>
      <c r="F587" s="22" t="n">
        <v>45232</v>
      </c>
      <c r="G587" t="n">
        <v>-2.982530890498509</v>
      </c>
    </row>
    <row r="588">
      <c r="A588" t="inlineStr">
        <is>
          <t>CIPLA</t>
        </is>
      </c>
      <c r="B588" t="inlineStr">
        <is>
          <t>Bull</t>
        </is>
      </c>
      <c r="C588" t="n">
        <v>956.25</v>
      </c>
      <c r="D588" s="22" t="n">
        <v>45075</v>
      </c>
      <c r="E588" t="n">
        <v>1167.75</v>
      </c>
      <c r="F588" s="22" t="n">
        <v>45212</v>
      </c>
      <c r="G588" t="n">
        <v>22.11764705882353</v>
      </c>
    </row>
    <row r="589">
      <c r="A589" t="inlineStr">
        <is>
          <t>CIPLA</t>
        </is>
      </c>
      <c r="B589" t="inlineStr">
        <is>
          <t>Bear</t>
        </is>
      </c>
      <c r="C589" t="n">
        <v>1091.15</v>
      </c>
      <c r="D589" s="22" t="n">
        <v>44915</v>
      </c>
      <c r="E589" t="n">
        <v>945.45</v>
      </c>
      <c r="F589" s="22" t="n">
        <v>45071</v>
      </c>
      <c r="G589" t="n">
        <v>13.35288457132384</v>
      </c>
    </row>
    <row r="590">
      <c r="A590" t="inlineStr">
        <is>
          <t>CMSINFO</t>
        </is>
      </c>
      <c r="B590" t="inlineStr">
        <is>
          <t>Bear</t>
        </is>
      </c>
      <c r="C590" t="n">
        <v>537.1</v>
      </c>
      <c r="D590" s="22" t="n">
        <v>45596</v>
      </c>
      <c r="E590" t="n">
        <v>501.05</v>
      </c>
      <c r="F590" s="22" t="n">
        <v>45660</v>
      </c>
      <c r="G590" t="n">
        <v>6.711971699869672</v>
      </c>
    </row>
    <row r="591">
      <c r="A591" t="inlineStr">
        <is>
          <t>CMSINFO</t>
        </is>
      </c>
      <c r="B591" t="inlineStr">
        <is>
          <t>Bull</t>
        </is>
      </c>
      <c r="C591" t="n">
        <v>401.85</v>
      </c>
      <c r="D591" s="22" t="n">
        <v>45353</v>
      </c>
      <c r="E591" t="n">
        <v>502</v>
      </c>
      <c r="F591" s="22" t="n">
        <v>45594</v>
      </c>
      <c r="G591" t="n">
        <v>24.92223466467587</v>
      </c>
    </row>
    <row r="592">
      <c r="A592" t="inlineStr">
        <is>
          <t>CMSINFO</t>
        </is>
      </c>
      <c r="B592" t="inlineStr">
        <is>
          <t>Bear</t>
        </is>
      </c>
      <c r="C592" t="n">
        <v>365.8</v>
      </c>
      <c r="D592" s="22" t="n">
        <v>45334</v>
      </c>
      <c r="E592" t="n">
        <v>384.15</v>
      </c>
      <c r="F592" s="22" t="n">
        <v>45351</v>
      </c>
      <c r="G592" t="n">
        <v>-5.016402405686158</v>
      </c>
    </row>
    <row r="593">
      <c r="A593" t="inlineStr">
        <is>
          <t>CMSINFO</t>
        </is>
      </c>
      <c r="B593" t="inlineStr">
        <is>
          <t>Bull</t>
        </is>
      </c>
      <c r="C593" t="n">
        <v>378.95</v>
      </c>
      <c r="D593" s="22" t="n">
        <v>45323</v>
      </c>
      <c r="E593" t="n">
        <v>372.3</v>
      </c>
      <c r="F593" s="22" t="n">
        <v>45330</v>
      </c>
      <c r="G593" t="n">
        <v>-1.754848924660239</v>
      </c>
    </row>
    <row r="594">
      <c r="A594" t="inlineStr">
        <is>
          <t>CMSINFO</t>
        </is>
      </c>
      <c r="B594" t="inlineStr">
        <is>
          <t>Bear</t>
        </is>
      </c>
      <c r="C594" t="n">
        <v>367.65</v>
      </c>
      <c r="D594" s="22" t="n">
        <v>45302</v>
      </c>
      <c r="E594" t="n">
        <v>387</v>
      </c>
      <c r="F594" s="22" t="n">
        <v>45321</v>
      </c>
      <c r="G594" t="n">
        <v>-5.263157894736849</v>
      </c>
    </row>
    <row r="595">
      <c r="A595" t="inlineStr">
        <is>
          <t>CMSINFO</t>
        </is>
      </c>
      <c r="B595" t="inlineStr">
        <is>
          <t>Bull</t>
        </is>
      </c>
      <c r="C595" t="n">
        <v>372.6</v>
      </c>
      <c r="D595" s="22" t="n">
        <v>45215</v>
      </c>
      <c r="E595" t="n">
        <v>376.25</v>
      </c>
      <c r="F595" s="22" t="n">
        <v>45300</v>
      </c>
      <c r="G595" t="n">
        <v>0.9796027911969879</v>
      </c>
    </row>
    <row r="596">
      <c r="A596" t="inlineStr">
        <is>
          <t>CMSINFO</t>
        </is>
      </c>
      <c r="B596" t="inlineStr">
        <is>
          <t>Bear</t>
        </is>
      </c>
      <c r="C596" t="n">
        <v>359.9</v>
      </c>
      <c r="D596" s="22" t="n">
        <v>45174</v>
      </c>
      <c r="E596" t="n">
        <v>367.55</v>
      </c>
      <c r="F596" s="22" t="n">
        <v>45211</v>
      </c>
      <c r="G596" t="n">
        <v>-2.125590441789396</v>
      </c>
    </row>
    <row r="597">
      <c r="A597" t="inlineStr">
        <is>
          <t>CMSINFO</t>
        </is>
      </c>
      <c r="B597" t="inlineStr">
        <is>
          <t>Bull</t>
        </is>
      </c>
      <c r="C597" t="n">
        <v>311.15</v>
      </c>
      <c r="D597" s="22" t="n">
        <v>45057</v>
      </c>
      <c r="E597" t="n">
        <v>358.3</v>
      </c>
      <c r="F597" s="22" t="n">
        <v>45170</v>
      </c>
      <c r="G597" t="n">
        <v>15.15346295998716</v>
      </c>
    </row>
    <row r="598">
      <c r="A598" t="inlineStr">
        <is>
          <t>COALINDIA</t>
        </is>
      </c>
      <c r="B598" t="inlineStr">
        <is>
          <t>Bear</t>
        </is>
      </c>
      <c r="C598" t="n">
        <v>493.25</v>
      </c>
      <c r="D598" s="22" t="n">
        <v>45551</v>
      </c>
      <c r="E598" t="n">
        <v>393.65</v>
      </c>
      <c r="F598" s="22" t="n">
        <v>45660</v>
      </c>
      <c r="G598" t="n">
        <v>20.19260010136848</v>
      </c>
    </row>
    <row r="599">
      <c r="A599" t="inlineStr">
        <is>
          <t>COALINDIA</t>
        </is>
      </c>
      <c r="B599" t="inlineStr">
        <is>
          <t>Bull</t>
        </is>
      </c>
      <c r="C599" t="n">
        <v>255.35</v>
      </c>
      <c r="D599" s="22" t="n">
        <v>45174</v>
      </c>
      <c r="E599" t="n">
        <v>495.65</v>
      </c>
      <c r="F599" s="22" t="n">
        <v>45547</v>
      </c>
      <c r="G599" t="n">
        <v>94.10612884276482</v>
      </c>
    </row>
    <row r="600">
      <c r="A600" t="inlineStr">
        <is>
          <t>COALINDIA</t>
        </is>
      </c>
      <c r="B600" t="inlineStr">
        <is>
          <t>Bear</t>
        </is>
      </c>
      <c r="C600" t="n">
        <v>229.4</v>
      </c>
      <c r="D600" s="22" t="n">
        <v>45166</v>
      </c>
      <c r="E600" t="n">
        <v>236.9</v>
      </c>
      <c r="F600" s="22" t="n">
        <v>45170</v>
      </c>
      <c r="G600" t="n">
        <v>-3.269398430688753</v>
      </c>
    </row>
    <row r="601">
      <c r="A601" t="inlineStr">
        <is>
          <t>COALINDIA</t>
        </is>
      </c>
      <c r="B601" t="inlineStr">
        <is>
          <t>Bull</t>
        </is>
      </c>
      <c r="C601" t="n">
        <v>234.8</v>
      </c>
      <c r="D601" s="22" t="n">
        <v>45140</v>
      </c>
      <c r="E601" t="n">
        <v>229.75</v>
      </c>
      <c r="F601" s="22" t="n">
        <v>45162</v>
      </c>
      <c r="G601" t="n">
        <v>-2.150766609880754</v>
      </c>
    </row>
    <row r="602">
      <c r="A602" t="inlineStr">
        <is>
          <t>COALINDIA</t>
        </is>
      </c>
      <c r="B602" t="inlineStr">
        <is>
          <t>Bear</t>
        </is>
      </c>
      <c r="C602" t="n">
        <v>229.65</v>
      </c>
      <c r="D602" s="22" t="n">
        <v>45127</v>
      </c>
      <c r="E602" t="n">
        <v>229.25</v>
      </c>
      <c r="F602" s="22" t="n">
        <v>45138</v>
      </c>
      <c r="G602" t="n">
        <v>0.1741780971042916</v>
      </c>
    </row>
    <row r="603">
      <c r="A603" t="inlineStr">
        <is>
          <t>COALINDIA</t>
        </is>
      </c>
      <c r="B603" t="inlineStr">
        <is>
          <t>Bull</t>
        </is>
      </c>
      <c r="C603" t="n">
        <v>233.95</v>
      </c>
      <c r="D603" s="22" t="n">
        <v>45119</v>
      </c>
      <c r="E603" t="n">
        <v>228.2</v>
      </c>
      <c r="F603" s="22" t="n">
        <v>45125</v>
      </c>
      <c r="G603" t="n">
        <v>-2.45779012609532</v>
      </c>
    </row>
    <row r="604">
      <c r="A604" t="inlineStr">
        <is>
          <t>COALINDIA</t>
        </is>
      </c>
      <c r="B604" t="inlineStr">
        <is>
          <t>Bear</t>
        </is>
      </c>
      <c r="C604" t="n">
        <v>228.5</v>
      </c>
      <c r="D604" s="22" t="n">
        <v>45098</v>
      </c>
      <c r="E604" t="n">
        <v>233.8</v>
      </c>
      <c r="F604" s="22" t="n">
        <v>45117</v>
      </c>
      <c r="G604" t="n">
        <v>-2.319474835886219</v>
      </c>
    </row>
    <row r="605">
      <c r="A605" t="inlineStr">
        <is>
          <t>COALINDIA</t>
        </is>
      </c>
      <c r="B605" t="inlineStr">
        <is>
          <t>Bull</t>
        </is>
      </c>
      <c r="C605" t="n">
        <v>225.5</v>
      </c>
      <c r="D605" s="22" t="n">
        <v>45029</v>
      </c>
      <c r="E605" t="n">
        <v>227.5</v>
      </c>
      <c r="F605" s="22" t="n">
        <v>45096</v>
      </c>
      <c r="G605" t="n">
        <v>0.8869179600886918</v>
      </c>
    </row>
    <row r="606">
      <c r="A606" t="inlineStr">
        <is>
          <t>COCHINSHIP</t>
        </is>
      </c>
      <c r="B606" t="inlineStr">
        <is>
          <t>Bear</t>
        </is>
      </c>
      <c r="C606" t="n">
        <v>2059.75</v>
      </c>
      <c r="D606" s="22" t="n">
        <v>45531</v>
      </c>
      <c r="E606" t="n">
        <v>1598.25</v>
      </c>
      <c r="F606" s="22" t="n">
        <v>45660</v>
      </c>
      <c r="G606" t="n">
        <v>22.40563175142615</v>
      </c>
    </row>
    <row r="607">
      <c r="A607" t="inlineStr">
        <is>
          <t>COCHINSHIP</t>
        </is>
      </c>
      <c r="B607" t="inlineStr">
        <is>
          <t>Bull</t>
        </is>
      </c>
      <c r="C607" t="n">
        <v>249.5</v>
      </c>
      <c r="D607" s="22" t="n">
        <v>45042</v>
      </c>
      <c r="E607" t="n">
        <v>2085.2</v>
      </c>
      <c r="F607" s="22" t="n">
        <v>45527</v>
      </c>
      <c r="G607" t="n">
        <v>735.7515030060119</v>
      </c>
    </row>
    <row r="608">
      <c r="A608" t="inlineStr">
        <is>
          <t>COLPAL</t>
        </is>
      </c>
      <c r="B608" t="inlineStr">
        <is>
          <t>Bear</t>
        </is>
      </c>
      <c r="C608" t="n">
        <v>3212.7</v>
      </c>
      <c r="D608" s="22" t="n">
        <v>45589</v>
      </c>
      <c r="E608" t="n">
        <v>2821.25</v>
      </c>
      <c r="F608" s="22" t="n">
        <v>45660</v>
      </c>
      <c r="G608" t="n">
        <v>12.18445544246272</v>
      </c>
    </row>
    <row r="609">
      <c r="A609" t="inlineStr">
        <is>
          <t>COLPAL</t>
        </is>
      </c>
      <c r="B609" t="inlineStr">
        <is>
          <t>Bull</t>
        </is>
      </c>
      <c r="C609" t="n">
        <v>1501.85</v>
      </c>
      <c r="D609" s="22" t="n">
        <v>44993</v>
      </c>
      <c r="E609" t="n">
        <v>3340.1</v>
      </c>
      <c r="F609" s="22" t="n">
        <v>45587</v>
      </c>
      <c r="G609" t="n">
        <v>122.3990411825416</v>
      </c>
    </row>
    <row r="610">
      <c r="A610" t="inlineStr">
        <is>
          <t>CONTROLPR</t>
        </is>
      </c>
      <c r="B610" t="inlineStr">
        <is>
          <t>Bear</t>
        </is>
      </c>
      <c r="C610" t="n">
        <v>799.45</v>
      </c>
      <c r="D610" s="22" t="n">
        <v>45579</v>
      </c>
      <c r="E610" t="n">
        <v>750.4</v>
      </c>
      <c r="F610" s="22" t="n">
        <v>45660</v>
      </c>
      <c r="G610" t="n">
        <v>6.135468134342369</v>
      </c>
    </row>
    <row r="611">
      <c r="A611" t="inlineStr">
        <is>
          <t>CONTROLPR</t>
        </is>
      </c>
      <c r="B611" t="inlineStr">
        <is>
          <t>Bull</t>
        </is>
      </c>
      <c r="C611" t="n">
        <v>812.75</v>
      </c>
      <c r="D611" s="22" t="n">
        <v>45568</v>
      </c>
      <c r="E611" t="n">
        <v>815.9</v>
      </c>
      <c r="F611" s="22" t="n">
        <v>45575</v>
      </c>
      <c r="G611" t="n">
        <v>0.3875730544447834</v>
      </c>
    </row>
    <row r="612">
      <c r="A612" t="inlineStr">
        <is>
          <t>CONTROLPR</t>
        </is>
      </c>
      <c r="B612" t="inlineStr">
        <is>
          <t>Bear</t>
        </is>
      </c>
      <c r="C612" t="n">
        <v>920.25</v>
      </c>
      <c r="D612" s="22" t="n">
        <v>45400</v>
      </c>
      <c r="E612" t="n">
        <v>842</v>
      </c>
      <c r="F612" s="22" t="n">
        <v>45565</v>
      </c>
      <c r="G612" t="n">
        <v>8.503124151045911</v>
      </c>
    </row>
    <row r="613">
      <c r="A613" t="inlineStr">
        <is>
          <t>CONTROLPR</t>
        </is>
      </c>
      <c r="B613" t="inlineStr">
        <is>
          <t>Bull</t>
        </is>
      </c>
      <c r="C613" t="n">
        <v>940.15</v>
      </c>
      <c r="D613" s="22" t="n">
        <v>45391</v>
      </c>
      <c r="E613" t="n">
        <v>904.25</v>
      </c>
      <c r="F613" s="22" t="n">
        <v>45397</v>
      </c>
      <c r="G613" t="n">
        <v>-3.818539594745517</v>
      </c>
    </row>
    <row r="614">
      <c r="A614" t="inlineStr">
        <is>
          <t>CONTROLPR</t>
        </is>
      </c>
      <c r="B614" t="inlineStr">
        <is>
          <t>Bear</t>
        </is>
      </c>
      <c r="C614" t="n">
        <v>882.75</v>
      </c>
      <c r="D614" s="22" t="n">
        <v>45334</v>
      </c>
      <c r="E614" t="n">
        <v>966.65</v>
      </c>
      <c r="F614" s="22" t="n">
        <v>45387</v>
      </c>
      <c r="G614" t="n">
        <v>-9.504389691305578</v>
      </c>
    </row>
    <row r="615">
      <c r="A615" t="inlineStr">
        <is>
          <t>CONTROLPR</t>
        </is>
      </c>
      <c r="B615" t="inlineStr">
        <is>
          <t>Bull</t>
        </is>
      </c>
      <c r="C615" t="n">
        <v>455.5</v>
      </c>
      <c r="D615" s="22" t="n">
        <v>44953</v>
      </c>
      <c r="E615" t="n">
        <v>875.9</v>
      </c>
      <c r="F615" s="22" t="n">
        <v>45330</v>
      </c>
      <c r="G615" t="n">
        <v>92.29418221734358</v>
      </c>
    </row>
    <row r="616">
      <c r="A616" t="inlineStr">
        <is>
          <t>COROMANDEL</t>
        </is>
      </c>
      <c r="B616" t="inlineStr">
        <is>
          <t>Bull</t>
        </is>
      </c>
      <c r="C616" t="n">
        <v>1752</v>
      </c>
      <c r="D616" s="22" t="n">
        <v>45604</v>
      </c>
      <c r="E616" t="n">
        <v>1958.3</v>
      </c>
      <c r="F616" s="22" t="n">
        <v>45660</v>
      </c>
      <c r="G616" t="n">
        <v>11.77511415525114</v>
      </c>
    </row>
    <row r="617">
      <c r="A617" t="inlineStr">
        <is>
          <t>COROMANDEL</t>
        </is>
      </c>
      <c r="B617" t="inlineStr">
        <is>
          <t>Bear</t>
        </is>
      </c>
      <c r="C617" t="n">
        <v>1610.55</v>
      </c>
      <c r="D617" s="22" t="n">
        <v>45574</v>
      </c>
      <c r="E617" t="n">
        <v>1726.1</v>
      </c>
      <c r="F617" s="22" t="n">
        <v>45602</v>
      </c>
      <c r="G617" t="n">
        <v>-7.174567694265932</v>
      </c>
    </row>
    <row r="618">
      <c r="A618" t="inlineStr">
        <is>
          <t>COROMANDEL</t>
        </is>
      </c>
      <c r="B618" t="inlineStr">
        <is>
          <t>Bull</t>
        </is>
      </c>
      <c r="C618" t="n">
        <v>1147.9</v>
      </c>
      <c r="D618" s="22" t="n">
        <v>45391</v>
      </c>
      <c r="E618" t="n">
        <v>1566.25</v>
      </c>
      <c r="F618" s="22" t="n">
        <v>45572</v>
      </c>
      <c r="G618" t="n">
        <v>36.44481226587681</v>
      </c>
    </row>
    <row r="619">
      <c r="A619" t="inlineStr">
        <is>
          <t>COROMANDEL</t>
        </is>
      </c>
      <c r="B619" t="inlineStr">
        <is>
          <t>Bear</t>
        </is>
      </c>
      <c r="C619" t="n">
        <v>1136.05</v>
      </c>
      <c r="D619" s="22" t="n">
        <v>45320</v>
      </c>
      <c r="E619" t="n">
        <v>1161.4</v>
      </c>
      <c r="F619" s="22" t="n">
        <v>45387</v>
      </c>
      <c r="G619" t="n">
        <v>-2.231415870780348</v>
      </c>
    </row>
    <row r="620">
      <c r="A620" t="inlineStr">
        <is>
          <t>COROMANDEL</t>
        </is>
      </c>
      <c r="B620" t="inlineStr">
        <is>
          <t>Bull</t>
        </is>
      </c>
      <c r="C620" t="n">
        <v>1129.1</v>
      </c>
      <c r="D620" s="22" t="n">
        <v>45253</v>
      </c>
      <c r="E620" t="n">
        <v>1150.15</v>
      </c>
      <c r="F620" s="22" t="n">
        <v>45315</v>
      </c>
      <c r="G620" t="n">
        <v>1.864316712425842</v>
      </c>
    </row>
    <row r="621">
      <c r="A621" t="inlineStr">
        <is>
          <t>COROMANDEL</t>
        </is>
      </c>
      <c r="B621" t="inlineStr">
        <is>
          <t>Bear</t>
        </is>
      </c>
      <c r="C621" t="n">
        <v>1071.95</v>
      </c>
      <c r="D621" s="22" t="n">
        <v>45233</v>
      </c>
      <c r="E621" t="n">
        <v>1119.55</v>
      </c>
      <c r="F621" s="22" t="n">
        <v>45251</v>
      </c>
      <c r="G621" t="n">
        <v>-4.440505620597967</v>
      </c>
    </row>
    <row r="622">
      <c r="A622" t="inlineStr">
        <is>
          <t>COROMANDEL</t>
        </is>
      </c>
      <c r="B622" t="inlineStr">
        <is>
          <t>Bull</t>
        </is>
      </c>
      <c r="C622" t="n">
        <v>927.25</v>
      </c>
      <c r="D622" s="22" t="n">
        <v>45029</v>
      </c>
      <c r="E622" t="n">
        <v>1043.7</v>
      </c>
      <c r="F622" s="22" t="n">
        <v>45231</v>
      </c>
      <c r="G622" t="n">
        <v>12.55864114316528</v>
      </c>
    </row>
    <row r="623">
      <c r="A623" t="inlineStr">
        <is>
          <t>CREDITACC</t>
        </is>
      </c>
      <c r="B623" t="inlineStr">
        <is>
          <t>Bear</t>
        </is>
      </c>
      <c r="C623" t="n">
        <v>1322.1</v>
      </c>
      <c r="D623" s="22" t="n">
        <v>45471</v>
      </c>
      <c r="E623" t="n">
        <v>934.55</v>
      </c>
      <c r="F623" s="22" t="n">
        <v>45660</v>
      </c>
      <c r="G623" t="n">
        <v>29.31321382648816</v>
      </c>
    </row>
    <row r="624">
      <c r="A624" t="inlineStr">
        <is>
          <t>CREDITACC</t>
        </is>
      </c>
      <c r="B624" t="inlineStr">
        <is>
          <t>Bull</t>
        </is>
      </c>
      <c r="C624" t="n">
        <v>1496.05</v>
      </c>
      <c r="D624" s="22" t="n">
        <v>45461</v>
      </c>
      <c r="E624" t="n">
        <v>1359.05</v>
      </c>
      <c r="F624" s="22" t="n">
        <v>45469</v>
      </c>
      <c r="G624" t="n">
        <v>-9.157447946258481</v>
      </c>
    </row>
    <row r="625">
      <c r="A625" t="inlineStr">
        <is>
          <t>CREDITACC</t>
        </is>
      </c>
      <c r="B625" t="inlineStr">
        <is>
          <t>Bear</t>
        </is>
      </c>
      <c r="C625" t="n">
        <v>1559.55</v>
      </c>
      <c r="D625" s="22" t="n">
        <v>45321</v>
      </c>
      <c r="E625" t="n">
        <v>1482.65</v>
      </c>
      <c r="F625" s="22" t="n">
        <v>45456</v>
      </c>
      <c r="G625" t="n">
        <v>4.930909557244068</v>
      </c>
    </row>
    <row r="626">
      <c r="A626" t="inlineStr">
        <is>
          <t>CREDITACC</t>
        </is>
      </c>
      <c r="B626" t="inlineStr">
        <is>
          <t>Bull</t>
        </is>
      </c>
      <c r="C626" t="n">
        <v>1507.4</v>
      </c>
      <c r="D626" s="22" t="n">
        <v>45222</v>
      </c>
      <c r="E626" t="n">
        <v>1591.4</v>
      </c>
      <c r="F626" s="22" t="n">
        <v>45316</v>
      </c>
      <c r="G626" t="n">
        <v>5.572508955817964</v>
      </c>
    </row>
    <row r="627">
      <c r="A627" t="inlineStr">
        <is>
          <t>CREDITACC</t>
        </is>
      </c>
      <c r="B627" t="inlineStr">
        <is>
          <t>Bear</t>
        </is>
      </c>
      <c r="C627" t="n">
        <v>1299.75</v>
      </c>
      <c r="D627" s="22" t="n">
        <v>45197</v>
      </c>
      <c r="E627" t="n">
        <v>1384.25</v>
      </c>
      <c r="F627" s="22" t="n">
        <v>45218</v>
      </c>
      <c r="G627" t="n">
        <v>-6.501250240430852</v>
      </c>
    </row>
    <row r="628">
      <c r="A628" t="inlineStr">
        <is>
          <t>CREDITACC</t>
        </is>
      </c>
      <c r="B628" t="inlineStr">
        <is>
          <t>Bull</t>
        </is>
      </c>
      <c r="C628" t="n">
        <v>950.15</v>
      </c>
      <c r="D628" s="22" t="n">
        <v>45027</v>
      </c>
      <c r="E628" t="n">
        <v>1329.95</v>
      </c>
      <c r="F628" s="22" t="n">
        <v>45195</v>
      </c>
      <c r="G628" t="n">
        <v>39.97263589959481</v>
      </c>
    </row>
    <row r="629">
      <c r="A629" t="inlineStr">
        <is>
          <t>CROMPTON</t>
        </is>
      </c>
      <c r="B629" t="inlineStr">
        <is>
          <t>Bear</t>
        </is>
      </c>
      <c r="C629" t="n">
        <v>427.35</v>
      </c>
      <c r="D629" s="22" t="n">
        <v>45568</v>
      </c>
      <c r="E629" t="n">
        <v>366.75</v>
      </c>
      <c r="F629" s="22" t="n">
        <v>45660</v>
      </c>
      <c r="G629" t="n">
        <v>14.18041418041419</v>
      </c>
    </row>
    <row r="630">
      <c r="A630" t="inlineStr">
        <is>
          <t>CROMPTON</t>
        </is>
      </c>
      <c r="B630" t="inlineStr">
        <is>
          <t>Bull</t>
        </is>
      </c>
      <c r="C630" t="n">
        <v>307.95</v>
      </c>
      <c r="D630" s="22" t="n">
        <v>45405</v>
      </c>
      <c r="E630" t="n">
        <v>416.4</v>
      </c>
      <c r="F630" s="22" t="n">
        <v>45565</v>
      </c>
      <c r="G630" t="n">
        <v>35.21675596687774</v>
      </c>
    </row>
    <row r="631">
      <c r="A631" t="inlineStr">
        <is>
          <t>CROMPTON</t>
        </is>
      </c>
      <c r="B631" t="inlineStr">
        <is>
          <t>Bear</t>
        </is>
      </c>
      <c r="C631" t="n">
        <v>287.2</v>
      </c>
      <c r="D631" s="22" t="n">
        <v>45330</v>
      </c>
      <c r="E631" t="n">
        <v>297.05</v>
      </c>
      <c r="F631" s="22" t="n">
        <v>45401</v>
      </c>
      <c r="G631" t="n">
        <v>-3.429665738161568</v>
      </c>
    </row>
    <row r="632">
      <c r="A632" t="inlineStr">
        <is>
          <t>CROMPTON</t>
        </is>
      </c>
      <c r="B632" t="inlineStr">
        <is>
          <t>Bull</t>
        </is>
      </c>
      <c r="C632" t="n">
        <v>297.75</v>
      </c>
      <c r="D632" s="22" t="n">
        <v>45271</v>
      </c>
      <c r="E632" t="n">
        <v>288.45</v>
      </c>
      <c r="F632" s="22" t="n">
        <v>45328</v>
      </c>
      <c r="G632" t="n">
        <v>-3.123425692695218</v>
      </c>
    </row>
    <row r="633">
      <c r="A633" t="inlineStr">
        <is>
          <t>CROMPTON</t>
        </is>
      </c>
      <c r="B633" t="inlineStr">
        <is>
          <t>Bear</t>
        </is>
      </c>
      <c r="C633" t="n">
        <v>279.75</v>
      </c>
      <c r="D633" s="22" t="n">
        <v>45222</v>
      </c>
      <c r="E633" t="n">
        <v>301.7</v>
      </c>
      <c r="F633" s="22" t="n">
        <v>45267</v>
      </c>
      <c r="G633" t="n">
        <v>-7.84629133154602</v>
      </c>
    </row>
    <row r="634">
      <c r="A634" t="inlineStr">
        <is>
          <t>CROMPTON</t>
        </is>
      </c>
      <c r="B634" t="inlineStr">
        <is>
          <t>Bull</t>
        </is>
      </c>
      <c r="C634" t="n">
        <v>292.75</v>
      </c>
      <c r="D634" s="22" t="n">
        <v>45093</v>
      </c>
      <c r="E634" t="n">
        <v>295.05</v>
      </c>
      <c r="F634" s="22" t="n">
        <v>45218</v>
      </c>
      <c r="G634" t="n">
        <v>0.7856532877882192</v>
      </c>
    </row>
    <row r="635">
      <c r="A635" t="inlineStr">
        <is>
          <t>CROMPTON</t>
        </is>
      </c>
      <c r="B635" t="inlineStr">
        <is>
          <t>Bear</t>
        </is>
      </c>
      <c r="C635" t="n">
        <v>387.65</v>
      </c>
      <c r="D635" s="22" t="n">
        <v>44852</v>
      </c>
      <c r="E635" t="n">
        <v>287.75</v>
      </c>
      <c r="F635" s="22" t="n">
        <v>45091</v>
      </c>
      <c r="G635" t="n">
        <v>25.77066941828969</v>
      </c>
    </row>
    <row r="636">
      <c r="A636" t="inlineStr">
        <is>
          <t>CUMMINSIND</t>
        </is>
      </c>
      <c r="B636" t="inlineStr">
        <is>
          <t>Bear</t>
        </is>
      </c>
      <c r="C636" t="n">
        <v>3708.3</v>
      </c>
      <c r="D636" s="22" t="n">
        <v>45573</v>
      </c>
      <c r="E636" t="n">
        <v>3216.9</v>
      </c>
      <c r="F636" s="22" t="n">
        <v>45660</v>
      </c>
      <c r="G636" t="n">
        <v>13.25135506836017</v>
      </c>
    </row>
    <row r="637">
      <c r="A637" t="inlineStr">
        <is>
          <t>CUMMINSIND</t>
        </is>
      </c>
      <c r="B637" t="inlineStr">
        <is>
          <t>Bull</t>
        </is>
      </c>
      <c r="C637" t="n">
        <v>1826.75</v>
      </c>
      <c r="D637" s="22" t="n">
        <v>45245</v>
      </c>
      <c r="E637" t="n">
        <v>3623.5</v>
      </c>
      <c r="F637" s="22" t="n">
        <v>45569</v>
      </c>
      <c r="G637" t="n">
        <v>98.35773915423567</v>
      </c>
    </row>
    <row r="638">
      <c r="A638" t="inlineStr">
        <is>
          <t>CUMMINSIND</t>
        </is>
      </c>
      <c r="B638" t="inlineStr">
        <is>
          <t>Bear</t>
        </is>
      </c>
      <c r="C638" t="n">
        <v>1736.75</v>
      </c>
      <c r="D638" s="22" t="n">
        <v>45154</v>
      </c>
      <c r="E638" t="n">
        <v>1777</v>
      </c>
      <c r="F638" s="22" t="n">
        <v>45242</v>
      </c>
      <c r="G638" t="n">
        <v>-2.317547142651504</v>
      </c>
    </row>
    <row r="639">
      <c r="A639" t="inlineStr">
        <is>
          <t>CUMMINSIND</t>
        </is>
      </c>
      <c r="B639" t="inlineStr">
        <is>
          <t>Bull</t>
        </is>
      </c>
      <c r="C639" t="n">
        <v>1640.35</v>
      </c>
      <c r="D639" s="22" t="n">
        <v>45056</v>
      </c>
      <c r="E639" t="n">
        <v>1735</v>
      </c>
      <c r="F639" s="22" t="n">
        <v>45149</v>
      </c>
      <c r="G639" t="n">
        <v>5.770110037492005</v>
      </c>
    </row>
    <row r="640">
      <c r="A640" t="inlineStr">
        <is>
          <t>DBCORP</t>
        </is>
      </c>
      <c r="B640" t="inlineStr">
        <is>
          <t>Bear</t>
        </is>
      </c>
      <c r="C640" t="n">
        <v>307.2</v>
      </c>
      <c r="D640" s="22" t="n">
        <v>45650</v>
      </c>
      <c r="E640" t="n">
        <v>305.8</v>
      </c>
      <c r="F640" s="22" t="n">
        <v>45660</v>
      </c>
      <c r="G640" t="n">
        <v>0.4557291666666593</v>
      </c>
    </row>
    <row r="641">
      <c r="A641" t="inlineStr">
        <is>
          <t>DBCORP</t>
        </is>
      </c>
      <c r="B641" t="inlineStr">
        <is>
          <t>Bull</t>
        </is>
      </c>
      <c r="C641" t="n">
        <v>326.5</v>
      </c>
      <c r="D641" s="22" t="n">
        <v>45642</v>
      </c>
      <c r="E641" t="n">
        <v>308.5</v>
      </c>
      <c r="F641" s="22" t="n">
        <v>45646</v>
      </c>
      <c r="G641" t="n">
        <v>-5.51301684532925</v>
      </c>
    </row>
    <row r="642">
      <c r="A642" t="inlineStr">
        <is>
          <t>DBCORP</t>
        </is>
      </c>
      <c r="B642" t="inlineStr">
        <is>
          <t>Bear</t>
        </is>
      </c>
      <c r="C642" t="n">
        <v>316.55</v>
      </c>
      <c r="D642" s="22" t="n">
        <v>45588</v>
      </c>
      <c r="E642" t="n">
        <v>323.95</v>
      </c>
      <c r="F642" s="22" t="n">
        <v>45638</v>
      </c>
      <c r="G642" t="n">
        <v>-2.337703364397402</v>
      </c>
    </row>
    <row r="643">
      <c r="A643" t="inlineStr">
        <is>
          <t>DBCORP</t>
        </is>
      </c>
      <c r="B643" t="inlineStr">
        <is>
          <t>Bull</t>
        </is>
      </c>
      <c r="C643" t="n">
        <v>367.1</v>
      </c>
      <c r="D643" s="22" t="n">
        <v>45560</v>
      </c>
      <c r="E643" t="n">
        <v>333.9</v>
      </c>
      <c r="F643" s="22" t="n">
        <v>45586</v>
      </c>
      <c r="G643" t="n">
        <v>-9.0438572596023</v>
      </c>
    </row>
    <row r="644">
      <c r="A644" t="inlineStr">
        <is>
          <t>DBCORP</t>
        </is>
      </c>
      <c r="B644" t="inlineStr">
        <is>
          <t>Bear</t>
        </is>
      </c>
      <c r="C644" t="n">
        <v>325.9</v>
      </c>
      <c r="D644" s="22" t="n">
        <v>45544</v>
      </c>
      <c r="E644" t="n">
        <v>335.7</v>
      </c>
      <c r="F644" s="22" t="n">
        <v>45558</v>
      </c>
      <c r="G644" t="n">
        <v>-3.007057379564287</v>
      </c>
    </row>
    <row r="645">
      <c r="A645" t="inlineStr">
        <is>
          <t>DBCORP</t>
        </is>
      </c>
      <c r="B645" t="inlineStr">
        <is>
          <t>Bull</t>
        </is>
      </c>
      <c r="C645" t="n">
        <v>292.6</v>
      </c>
      <c r="D645" s="22" t="n">
        <v>45436</v>
      </c>
      <c r="E645" t="n">
        <v>333.6</v>
      </c>
      <c r="F645" s="22" t="n">
        <v>45540</v>
      </c>
      <c r="G645" t="n">
        <v>14.0123034859877</v>
      </c>
    </row>
    <row r="646">
      <c r="A646" t="inlineStr">
        <is>
          <t>DBCORP</t>
        </is>
      </c>
      <c r="B646" t="inlineStr">
        <is>
          <t>Bear</t>
        </is>
      </c>
      <c r="C646" t="n">
        <v>264.85</v>
      </c>
      <c r="D646" s="22" t="n">
        <v>45420</v>
      </c>
      <c r="E646" t="n">
        <v>293.35</v>
      </c>
      <c r="F646" s="22" t="n">
        <v>45434</v>
      </c>
      <c r="G646" t="n">
        <v>-10.76080800453087</v>
      </c>
    </row>
    <row r="647">
      <c r="A647" t="inlineStr">
        <is>
          <t>DBCORP</t>
        </is>
      </c>
      <c r="B647" t="inlineStr">
        <is>
          <t>Bull</t>
        </is>
      </c>
      <c r="C647" t="n">
        <v>282.3</v>
      </c>
      <c r="D647" s="22" t="n">
        <v>45408</v>
      </c>
      <c r="E647" t="n">
        <v>272.5</v>
      </c>
      <c r="F647" s="22" t="n">
        <v>45418</v>
      </c>
      <c r="G647" t="n">
        <v>-3.471484236627705</v>
      </c>
    </row>
    <row r="648">
      <c r="A648" t="inlineStr">
        <is>
          <t>DBCORP</t>
        </is>
      </c>
      <c r="B648" t="inlineStr">
        <is>
          <t>Bear</t>
        </is>
      </c>
      <c r="C648" t="n">
        <v>264.6</v>
      </c>
      <c r="D648" s="22" t="n">
        <v>45357</v>
      </c>
      <c r="E648" t="n">
        <v>283.9</v>
      </c>
      <c r="F648" s="22" t="n">
        <v>45406</v>
      </c>
      <c r="G648" t="n">
        <v>-7.294028722600133</v>
      </c>
    </row>
    <row r="649">
      <c r="A649" t="inlineStr">
        <is>
          <t>DBCORP</t>
        </is>
      </c>
      <c r="B649" t="inlineStr">
        <is>
          <t>Bull</t>
        </is>
      </c>
      <c r="C649" t="n">
        <v>292.35</v>
      </c>
      <c r="D649" s="22" t="n">
        <v>45302</v>
      </c>
      <c r="E649" t="n">
        <v>293.15</v>
      </c>
      <c r="F649" s="22" t="n">
        <v>45355</v>
      </c>
      <c r="G649" t="n">
        <v>0.2736446040704479</v>
      </c>
    </row>
    <row r="650">
      <c r="A650" t="inlineStr">
        <is>
          <t>DBCORP</t>
        </is>
      </c>
      <c r="B650" t="inlineStr">
        <is>
          <t>Bear</t>
        </is>
      </c>
      <c r="C650" t="n">
        <v>250.5</v>
      </c>
      <c r="D650" s="22" t="n">
        <v>45272</v>
      </c>
      <c r="E650" t="n">
        <v>284</v>
      </c>
      <c r="F650" s="22" t="n">
        <v>45300</v>
      </c>
      <c r="G650" t="n">
        <v>-13.37325349301397</v>
      </c>
    </row>
    <row r="651">
      <c r="A651" t="inlineStr">
        <is>
          <t>DBCORP</t>
        </is>
      </c>
      <c r="B651" t="inlineStr">
        <is>
          <t>Bull</t>
        </is>
      </c>
      <c r="C651" t="n">
        <v>117.3</v>
      </c>
      <c r="D651" s="22" t="n">
        <v>45040</v>
      </c>
      <c r="E651" t="n">
        <v>250.8</v>
      </c>
      <c r="F651" s="22" t="n">
        <v>45268</v>
      </c>
      <c r="G651" t="n">
        <v>113.8107416879795</v>
      </c>
    </row>
    <row r="652">
      <c r="A652" t="inlineStr">
        <is>
          <t>DABUR</t>
        </is>
      </c>
      <c r="B652" t="inlineStr">
        <is>
          <t>Bear</t>
        </is>
      </c>
      <c r="C652" t="n">
        <v>569.4</v>
      </c>
      <c r="D652" s="22" t="n">
        <v>45572</v>
      </c>
      <c r="E652" t="n">
        <v>524.9</v>
      </c>
      <c r="F652" s="22" t="n">
        <v>45660</v>
      </c>
      <c r="G652" t="n">
        <v>7.81524411661398</v>
      </c>
    </row>
    <row r="653">
      <c r="A653" t="inlineStr">
        <is>
          <t>DABUR</t>
        </is>
      </c>
      <c r="B653" t="inlineStr">
        <is>
          <t>Bull</t>
        </is>
      </c>
      <c r="C653" t="n">
        <v>550.8</v>
      </c>
      <c r="D653" s="22" t="n">
        <v>45422</v>
      </c>
      <c r="E653" t="n">
        <v>580.2</v>
      </c>
      <c r="F653" s="22" t="n">
        <v>45568</v>
      </c>
      <c r="G653" t="n">
        <v>5.337690631808296</v>
      </c>
    </row>
    <row r="654">
      <c r="A654" t="inlineStr">
        <is>
          <t>DABUR</t>
        </is>
      </c>
      <c r="B654" t="inlineStr">
        <is>
          <t>Bear</t>
        </is>
      </c>
      <c r="C654" t="n">
        <v>531.6</v>
      </c>
      <c r="D654" s="22" t="n">
        <v>45316</v>
      </c>
      <c r="E654" t="n">
        <v>556.6</v>
      </c>
      <c r="F654" s="22" t="n">
        <v>45420</v>
      </c>
      <c r="G654" t="n">
        <v>-4.702784048156508</v>
      </c>
    </row>
    <row r="655">
      <c r="A655" t="inlineStr">
        <is>
          <t>DABUR</t>
        </is>
      </c>
      <c r="B655" t="inlineStr">
        <is>
          <t>Bull</t>
        </is>
      </c>
      <c r="C655" t="n">
        <v>556.85</v>
      </c>
      <c r="D655" s="22" t="n">
        <v>45293</v>
      </c>
      <c r="E655" t="n">
        <v>524.8</v>
      </c>
      <c r="F655" s="22" t="n">
        <v>45314</v>
      </c>
      <c r="G655" t="n">
        <v>-5.755589476519721</v>
      </c>
    </row>
    <row r="656">
      <c r="A656" t="inlineStr">
        <is>
          <t>DABUR</t>
        </is>
      </c>
      <c r="B656" t="inlineStr">
        <is>
          <t>Bear</t>
        </is>
      </c>
      <c r="C656" t="n">
        <v>530.6</v>
      </c>
      <c r="D656" s="22" t="n">
        <v>45286</v>
      </c>
      <c r="E656" t="n">
        <v>557.2</v>
      </c>
      <c r="F656" s="22" t="n">
        <v>45289</v>
      </c>
      <c r="G656" t="n">
        <v>-5.013192612137207</v>
      </c>
    </row>
    <row r="657">
      <c r="A657" t="inlineStr">
        <is>
          <t>DABUR</t>
        </is>
      </c>
      <c r="B657" t="inlineStr">
        <is>
          <t>Bull</t>
        </is>
      </c>
      <c r="C657" t="n">
        <v>550.5</v>
      </c>
      <c r="D657" s="22" t="n">
        <v>45271</v>
      </c>
      <c r="E657" t="n">
        <v>530.25</v>
      </c>
      <c r="F657" s="22" t="n">
        <v>45281</v>
      </c>
      <c r="G657" t="n">
        <v>-3.678474114441417</v>
      </c>
    </row>
    <row r="658">
      <c r="A658" t="inlineStr">
        <is>
          <t>DABUR</t>
        </is>
      </c>
      <c r="B658" t="inlineStr">
        <is>
          <t>Bear</t>
        </is>
      </c>
      <c r="C658" t="n">
        <v>550.95</v>
      </c>
      <c r="D658" s="22" t="n">
        <v>45167</v>
      </c>
      <c r="E658" t="n">
        <v>545.8</v>
      </c>
      <c r="F658" s="22" t="n">
        <v>45267</v>
      </c>
      <c r="G658" t="n">
        <v>0.9347490697885634</v>
      </c>
    </row>
    <row r="659">
      <c r="A659" t="inlineStr">
        <is>
          <t>DABUR</t>
        </is>
      </c>
      <c r="B659" t="inlineStr">
        <is>
          <t>Bull</t>
        </is>
      </c>
      <c r="C659" t="n">
        <v>555.4</v>
      </c>
      <c r="D659" s="22" t="n">
        <v>45077</v>
      </c>
      <c r="E659" t="n">
        <v>557.95</v>
      </c>
      <c r="F659" s="22" t="n">
        <v>45163</v>
      </c>
      <c r="G659" t="n">
        <v>0.4591285559956911</v>
      </c>
    </row>
    <row r="660">
      <c r="A660" t="inlineStr">
        <is>
          <t>DABUR</t>
        </is>
      </c>
      <c r="B660" t="inlineStr">
        <is>
          <t>Bear</t>
        </is>
      </c>
      <c r="C660" t="n">
        <v>554.6</v>
      </c>
      <c r="D660" s="22" t="n">
        <v>44936</v>
      </c>
      <c r="E660" t="n">
        <v>548.35</v>
      </c>
      <c r="F660" s="22" t="n">
        <v>45075</v>
      </c>
      <c r="G660" t="n">
        <v>1.126938333934367</v>
      </c>
    </row>
    <row r="661">
      <c r="A661" t="inlineStr">
        <is>
          <t>DEEPAKNTR</t>
        </is>
      </c>
      <c r="B661" t="inlineStr">
        <is>
          <t>Bear</t>
        </is>
      </c>
      <c r="C661" t="n">
        <v>2770.55</v>
      </c>
      <c r="D661" s="22" t="n">
        <v>45575</v>
      </c>
      <c r="E661" t="n">
        <v>2452.7</v>
      </c>
      <c r="F661" s="22" t="n">
        <v>45660</v>
      </c>
      <c r="G661" t="n">
        <v>11.47245131833031</v>
      </c>
    </row>
    <row r="662">
      <c r="A662" t="inlineStr">
        <is>
          <t>DEEPAKNTR</t>
        </is>
      </c>
      <c r="B662" t="inlineStr">
        <is>
          <t>Bull</t>
        </is>
      </c>
      <c r="C662" t="n">
        <v>2605.25</v>
      </c>
      <c r="D662" s="22" t="n">
        <v>45463</v>
      </c>
      <c r="E662" t="n">
        <v>2790.65</v>
      </c>
      <c r="F662" s="22" t="n">
        <v>45573</v>
      </c>
      <c r="G662" t="n">
        <v>7.116399577775649</v>
      </c>
    </row>
    <row r="663">
      <c r="A663" t="inlineStr">
        <is>
          <t>DEEPAKNTR</t>
        </is>
      </c>
      <c r="B663" t="inlineStr">
        <is>
          <t>Bear</t>
        </is>
      </c>
      <c r="C663" t="n">
        <v>2228.15</v>
      </c>
      <c r="D663" s="22" t="n">
        <v>45448</v>
      </c>
      <c r="E663" t="n">
        <v>2422.35</v>
      </c>
      <c r="F663" s="22" t="n">
        <v>45461</v>
      </c>
      <c r="G663" t="n">
        <v>-8.715750734914607</v>
      </c>
    </row>
    <row r="664">
      <c r="A664" t="inlineStr">
        <is>
          <t>DEEPAKNTR</t>
        </is>
      </c>
      <c r="B664" t="inlineStr">
        <is>
          <t>Bull</t>
        </is>
      </c>
      <c r="C664" t="n">
        <v>2305.25</v>
      </c>
      <c r="D664" s="22" t="n">
        <v>45400</v>
      </c>
      <c r="E664" t="n">
        <v>2244.65</v>
      </c>
      <c r="F664" s="22" t="n">
        <v>45446</v>
      </c>
      <c r="G664" t="n">
        <v>-2.628782127751867</v>
      </c>
    </row>
    <row r="665">
      <c r="A665" t="inlineStr">
        <is>
          <t>DEEPAKNTR</t>
        </is>
      </c>
      <c r="B665" t="inlineStr">
        <is>
          <t>Bear</t>
        </is>
      </c>
      <c r="C665" t="n">
        <v>2230.2</v>
      </c>
      <c r="D665" s="22" t="n">
        <v>45329</v>
      </c>
      <c r="E665" t="n">
        <v>2298.9</v>
      </c>
      <c r="F665" s="22" t="n">
        <v>45397</v>
      </c>
      <c r="G665" t="n">
        <v>-3.080441216034449</v>
      </c>
    </row>
    <row r="666">
      <c r="A666" t="inlineStr">
        <is>
          <t>DEEPAKNTR</t>
        </is>
      </c>
      <c r="B666" t="inlineStr">
        <is>
          <t>Bull</t>
        </is>
      </c>
      <c r="C666" t="n">
        <v>2125.1</v>
      </c>
      <c r="D666" s="22" t="n">
        <v>45251</v>
      </c>
      <c r="E666" t="n">
        <v>2212.05</v>
      </c>
      <c r="F666" s="22" t="n">
        <v>45327</v>
      </c>
      <c r="G666" t="n">
        <v>4.091572161310069</v>
      </c>
    </row>
    <row r="667">
      <c r="A667" t="inlineStr">
        <is>
          <t>DEEPAKNTR</t>
        </is>
      </c>
      <c r="B667" t="inlineStr">
        <is>
          <t>Bear</t>
        </is>
      </c>
      <c r="C667" t="n">
        <v>2083.35</v>
      </c>
      <c r="D667" s="22" t="n">
        <v>45212</v>
      </c>
      <c r="E667" t="n">
        <v>2147.9</v>
      </c>
      <c r="F667" s="22" t="n">
        <v>45247</v>
      </c>
      <c r="G667" t="n">
        <v>-3.098375212998305</v>
      </c>
    </row>
    <row r="668">
      <c r="A668" t="inlineStr">
        <is>
          <t>DEEPAKNTR</t>
        </is>
      </c>
      <c r="B668" t="inlineStr">
        <is>
          <t>Bull</t>
        </is>
      </c>
      <c r="C668" t="n">
        <v>2211</v>
      </c>
      <c r="D668" s="22" t="n">
        <v>45168</v>
      </c>
      <c r="E668" t="n">
        <v>2093.7</v>
      </c>
      <c r="F668" s="22" t="n">
        <v>45210</v>
      </c>
      <c r="G668" t="n">
        <v>-5.305291723202179</v>
      </c>
    </row>
    <row r="669">
      <c r="A669" t="inlineStr">
        <is>
          <t>DEEPAKNTR</t>
        </is>
      </c>
      <c r="B669" t="inlineStr">
        <is>
          <t>Bear</t>
        </is>
      </c>
      <c r="C669" t="n">
        <v>1990</v>
      </c>
      <c r="D669" s="22" t="n">
        <v>45126</v>
      </c>
      <c r="E669" t="n">
        <v>2036.45</v>
      </c>
      <c r="F669" s="22" t="n">
        <v>45166</v>
      </c>
      <c r="G669" t="n">
        <v>-2.334170854271359</v>
      </c>
    </row>
    <row r="670">
      <c r="A670" t="inlineStr">
        <is>
          <t>DEEPAKNTR</t>
        </is>
      </c>
      <c r="B670" t="inlineStr">
        <is>
          <t>Bull</t>
        </is>
      </c>
      <c r="C670" t="n">
        <v>1895.25</v>
      </c>
      <c r="D670" s="22" t="n">
        <v>45048</v>
      </c>
      <c r="E670" t="n">
        <v>1990.85</v>
      </c>
      <c r="F670" s="22" t="n">
        <v>45124</v>
      </c>
      <c r="G670" t="n">
        <v>5.044189420920718</v>
      </c>
    </row>
    <row r="671">
      <c r="A671" t="inlineStr">
        <is>
          <t>DELTACORP</t>
        </is>
      </c>
      <c r="B671" t="inlineStr">
        <is>
          <t>Bear</t>
        </is>
      </c>
      <c r="C671" t="n">
        <v>131.29</v>
      </c>
      <c r="D671" s="22" t="n">
        <v>45548</v>
      </c>
      <c r="E671" t="n">
        <v>112.94</v>
      </c>
      <c r="F671" s="22" t="n">
        <v>45660</v>
      </c>
      <c r="G671" t="n">
        <v>13.97669281742707</v>
      </c>
    </row>
    <row r="672">
      <c r="A672" t="inlineStr">
        <is>
          <t>DELTACORP</t>
        </is>
      </c>
      <c r="B672" t="inlineStr">
        <is>
          <t>Bull</t>
        </is>
      </c>
      <c r="C672" t="n">
        <v>134.09</v>
      </c>
      <c r="D672" s="22" t="n">
        <v>45538</v>
      </c>
      <c r="E672" t="n">
        <v>129.28</v>
      </c>
      <c r="F672" s="22" t="n">
        <v>45546</v>
      </c>
      <c r="G672" t="n">
        <v>-3.587142963681111</v>
      </c>
    </row>
    <row r="673">
      <c r="A673" t="inlineStr">
        <is>
          <t>DELTACORP</t>
        </is>
      </c>
      <c r="B673" t="inlineStr">
        <is>
          <t>Bear</t>
        </is>
      </c>
      <c r="C673" t="n">
        <v>126.56</v>
      </c>
      <c r="D673" s="22" t="n">
        <v>45518</v>
      </c>
      <c r="E673" t="n">
        <v>133.49</v>
      </c>
      <c r="F673" s="22" t="n">
        <v>45534</v>
      </c>
      <c r="G673" t="n">
        <v>-5.475663716814164</v>
      </c>
    </row>
    <row r="674">
      <c r="A674" t="inlineStr">
        <is>
          <t>DELTACORP</t>
        </is>
      </c>
      <c r="B674" t="inlineStr">
        <is>
          <t>Bull</t>
        </is>
      </c>
      <c r="C674" t="n">
        <v>147.41</v>
      </c>
      <c r="D674" s="22" t="n">
        <v>45462</v>
      </c>
      <c r="E674" t="n">
        <v>128.21</v>
      </c>
      <c r="F674" s="22" t="n">
        <v>45516</v>
      </c>
      <c r="G674" t="n">
        <v>-13.02489654704565</v>
      </c>
    </row>
    <row r="675">
      <c r="A675" t="inlineStr">
        <is>
          <t>DELTACORP</t>
        </is>
      </c>
      <c r="B675" t="inlineStr">
        <is>
          <t>Bear</t>
        </is>
      </c>
      <c r="C675" t="n">
        <v>138.9</v>
      </c>
      <c r="D675" s="22" t="n">
        <v>45321</v>
      </c>
      <c r="E675" t="n">
        <v>136.16</v>
      </c>
      <c r="F675" s="22" t="n">
        <v>45457</v>
      </c>
      <c r="G675" t="n">
        <v>1.972642188624917</v>
      </c>
    </row>
    <row r="676">
      <c r="A676" t="inlineStr">
        <is>
          <t>DELTACORP</t>
        </is>
      </c>
      <c r="B676" t="inlineStr">
        <is>
          <t>Bull</t>
        </is>
      </c>
      <c r="C676" t="n">
        <v>155.8</v>
      </c>
      <c r="D676" s="22" t="n">
        <v>45294</v>
      </c>
      <c r="E676" t="n">
        <v>138</v>
      </c>
      <c r="F676" s="22" t="n">
        <v>45316</v>
      </c>
      <c r="G676" t="n">
        <v>-11.42490372272144</v>
      </c>
    </row>
    <row r="677">
      <c r="A677" t="inlineStr">
        <is>
          <t>DELTACORP</t>
        </is>
      </c>
      <c r="B677" t="inlineStr">
        <is>
          <t>Bear</t>
        </is>
      </c>
      <c r="C677" t="n">
        <v>182.95</v>
      </c>
      <c r="D677" s="22" t="n">
        <v>45124</v>
      </c>
      <c r="E677" t="n">
        <v>151.5</v>
      </c>
      <c r="F677" s="22" t="n">
        <v>45292</v>
      </c>
      <c r="G677" t="n">
        <v>17.19048920470073</v>
      </c>
    </row>
    <row r="678">
      <c r="A678" t="inlineStr">
        <is>
          <t>DELTACORP</t>
        </is>
      </c>
      <c r="B678" t="inlineStr">
        <is>
          <t>Bull</t>
        </is>
      </c>
      <c r="C678" t="n">
        <v>209.3</v>
      </c>
      <c r="D678" s="22" t="n">
        <v>45048</v>
      </c>
      <c r="E678" t="n">
        <v>179.7</v>
      </c>
      <c r="F678" s="22" t="n">
        <v>45120</v>
      </c>
      <c r="G678" t="n">
        <v>-14.14237935977067</v>
      </c>
    </row>
    <row r="679">
      <c r="A679" t="inlineStr">
        <is>
          <t>DHANUKA</t>
        </is>
      </c>
      <c r="B679" t="inlineStr">
        <is>
          <t>Bear</t>
        </is>
      </c>
      <c r="C679" t="n">
        <v>1493.4</v>
      </c>
      <c r="D679" s="22" t="n">
        <v>45656</v>
      </c>
      <c r="E679" t="n">
        <v>1397.15</v>
      </c>
      <c r="F679" s="22" t="n">
        <v>45660</v>
      </c>
      <c r="G679" t="n">
        <v>6.445024775679657</v>
      </c>
    </row>
    <row r="680">
      <c r="A680" t="inlineStr">
        <is>
          <t>DHANUKA</t>
        </is>
      </c>
      <c r="B680" t="inlineStr">
        <is>
          <t>Bull</t>
        </is>
      </c>
      <c r="C680" t="n">
        <v>1635.8</v>
      </c>
      <c r="D680" s="22" t="n">
        <v>45637</v>
      </c>
      <c r="E680" t="n">
        <v>1496.95</v>
      </c>
      <c r="F680" s="22" t="n">
        <v>45652</v>
      </c>
      <c r="G680" t="n">
        <v>-8.488201491624887</v>
      </c>
    </row>
    <row r="681">
      <c r="A681" t="inlineStr">
        <is>
          <t>DHANUKA</t>
        </is>
      </c>
      <c r="B681" t="inlineStr">
        <is>
          <t>Bear</t>
        </is>
      </c>
      <c r="C681" t="n">
        <v>1603.15</v>
      </c>
      <c r="D681" s="22" t="n">
        <v>45551</v>
      </c>
      <c r="E681" t="n">
        <v>1591.55</v>
      </c>
      <c r="F681" s="22" t="n">
        <v>45635</v>
      </c>
      <c r="G681" t="n">
        <v>0.7235754608115358</v>
      </c>
    </row>
    <row r="682">
      <c r="A682" t="inlineStr">
        <is>
          <t>DHANUKA</t>
        </is>
      </c>
      <c r="B682" t="inlineStr">
        <is>
          <t>Bull</t>
        </is>
      </c>
      <c r="C682" t="n">
        <v>1197.65</v>
      </c>
      <c r="D682" s="22" t="n">
        <v>45394</v>
      </c>
      <c r="E682" t="n">
        <v>1586.5</v>
      </c>
      <c r="F682" s="22" t="n">
        <v>45547</v>
      </c>
      <c r="G682" t="n">
        <v>32.46774934246231</v>
      </c>
    </row>
    <row r="683">
      <c r="A683" t="inlineStr">
        <is>
          <t>DHANUKA</t>
        </is>
      </c>
      <c r="B683" t="inlineStr">
        <is>
          <t>Bear</t>
        </is>
      </c>
      <c r="C683" t="n">
        <v>1040.8</v>
      </c>
      <c r="D683" s="22" t="n">
        <v>45358</v>
      </c>
      <c r="E683" t="n">
        <v>1170.85</v>
      </c>
      <c r="F683" s="22" t="n">
        <v>45391</v>
      </c>
      <c r="G683" t="n">
        <v>-12.49519600307455</v>
      </c>
    </row>
    <row r="684">
      <c r="A684" t="inlineStr">
        <is>
          <t>DHANUKA</t>
        </is>
      </c>
      <c r="B684" t="inlineStr">
        <is>
          <t>Bull</t>
        </is>
      </c>
      <c r="C684" t="n">
        <v>884.45</v>
      </c>
      <c r="D684" s="22" t="n">
        <v>45245</v>
      </c>
      <c r="E684" t="n">
        <v>1059.6</v>
      </c>
      <c r="F684" s="22" t="n">
        <v>45356</v>
      </c>
      <c r="G684" t="n">
        <v>19.80326756741476</v>
      </c>
    </row>
    <row r="685">
      <c r="A685" t="inlineStr">
        <is>
          <t>DHANUKA</t>
        </is>
      </c>
      <c r="B685" t="inlineStr">
        <is>
          <t>Bear</t>
        </is>
      </c>
      <c r="C685" t="n">
        <v>781.95</v>
      </c>
      <c r="D685" s="22" t="n">
        <v>45233</v>
      </c>
      <c r="E685" t="n">
        <v>830.55</v>
      </c>
      <c r="F685" s="22" t="n">
        <v>45242</v>
      </c>
      <c r="G685" t="n">
        <v>-6.215231152887001</v>
      </c>
    </row>
    <row r="686">
      <c r="A686" t="inlineStr">
        <is>
          <t>DHANUKA</t>
        </is>
      </c>
      <c r="B686" t="inlineStr">
        <is>
          <t>Bull</t>
        </is>
      </c>
      <c r="C686" t="n">
        <v>673.05</v>
      </c>
      <c r="D686" s="22" t="n">
        <v>45065</v>
      </c>
      <c r="E686" t="n">
        <v>780</v>
      </c>
      <c r="F686" s="22" t="n">
        <v>45231</v>
      </c>
      <c r="G686" t="n">
        <v>15.89034989971028</v>
      </c>
    </row>
    <row r="687">
      <c r="A687" t="inlineStr">
        <is>
          <t>DHANUKA</t>
        </is>
      </c>
      <c r="B687" t="inlineStr">
        <is>
          <t>Bear</t>
        </is>
      </c>
      <c r="C687" t="n">
        <v>679.85</v>
      </c>
      <c r="D687" s="22" t="n">
        <v>44957</v>
      </c>
      <c r="E687" t="n">
        <v>667.9</v>
      </c>
      <c r="F687" s="22" t="n">
        <v>45063</v>
      </c>
      <c r="G687" t="n">
        <v>1.757740678090762</v>
      </c>
    </row>
    <row r="688">
      <c r="A688" t="inlineStr">
        <is>
          <t>DIVISLAB</t>
        </is>
      </c>
      <c r="B688" t="inlineStr">
        <is>
          <t>Bull</t>
        </is>
      </c>
      <c r="C688" t="n">
        <v>3739.1</v>
      </c>
      <c r="D688" s="22" t="n">
        <v>45392</v>
      </c>
      <c r="E688" t="n">
        <v>6048.3</v>
      </c>
      <c r="F688" s="22" t="n">
        <v>45660</v>
      </c>
      <c r="G688" t="n">
        <v>61.75817710144153</v>
      </c>
    </row>
    <row r="689">
      <c r="A689" t="inlineStr">
        <is>
          <t>DIVISLAB</t>
        </is>
      </c>
      <c r="B689" t="inlineStr">
        <is>
          <t>Bear</t>
        </is>
      </c>
      <c r="C689" t="n">
        <v>3551.7</v>
      </c>
      <c r="D689" s="22" t="n">
        <v>45321</v>
      </c>
      <c r="E689" t="n">
        <v>3796</v>
      </c>
      <c r="F689" s="22" t="n">
        <v>45390</v>
      </c>
      <c r="G689" t="n">
        <v>-6.878396260945468</v>
      </c>
    </row>
    <row r="690">
      <c r="A690" t="inlineStr">
        <is>
          <t>DIVISLAB</t>
        </is>
      </c>
      <c r="B690" t="inlineStr">
        <is>
          <t>Bull</t>
        </is>
      </c>
      <c r="C690" t="n">
        <v>3760.15</v>
      </c>
      <c r="D690" s="22" t="n">
        <v>45258</v>
      </c>
      <c r="E690" t="n">
        <v>3578.9</v>
      </c>
      <c r="F690" s="22" t="n">
        <v>45316</v>
      </c>
      <c r="G690" t="n">
        <v>-4.820286424743694</v>
      </c>
    </row>
    <row r="691">
      <c r="A691" t="inlineStr">
        <is>
          <t>DIVISLAB</t>
        </is>
      </c>
      <c r="B691" t="inlineStr">
        <is>
          <t>Bear</t>
        </is>
      </c>
      <c r="C691" t="n">
        <v>3500.95</v>
      </c>
      <c r="D691" s="22" t="n">
        <v>45222</v>
      </c>
      <c r="E691" t="n">
        <v>3688.5</v>
      </c>
      <c r="F691" s="22" t="n">
        <v>45253</v>
      </c>
      <c r="G691" t="n">
        <v>-5.3571173538611</v>
      </c>
    </row>
    <row r="692">
      <c r="A692" t="inlineStr">
        <is>
          <t>DIVISLAB</t>
        </is>
      </c>
      <c r="B692" t="inlineStr">
        <is>
          <t>Bull</t>
        </is>
      </c>
      <c r="C692" t="n">
        <v>3342.6</v>
      </c>
      <c r="D692" s="22" t="n">
        <v>45035</v>
      </c>
      <c r="E692" t="n">
        <v>3637.75</v>
      </c>
      <c r="F692" s="22" t="n">
        <v>45218</v>
      </c>
      <c r="G692" t="n">
        <v>8.829952731406692</v>
      </c>
    </row>
    <row r="693">
      <c r="A693" t="inlineStr">
        <is>
          <t>LALPATHLAB</t>
        </is>
      </c>
      <c r="B693" t="inlineStr">
        <is>
          <t>Bear</t>
        </is>
      </c>
      <c r="C693" t="n">
        <v>3044.45</v>
      </c>
      <c r="D693" s="22" t="n">
        <v>45595</v>
      </c>
      <c r="E693" t="n">
        <v>2944.65</v>
      </c>
      <c r="F693" s="22" t="n">
        <v>45660</v>
      </c>
      <c r="G693" t="n">
        <v>3.278096207853626</v>
      </c>
    </row>
    <row r="694">
      <c r="A694" t="inlineStr">
        <is>
          <t>LALPATHLAB</t>
        </is>
      </c>
      <c r="B694" t="inlineStr">
        <is>
          <t>Bull</t>
        </is>
      </c>
      <c r="C694" t="n">
        <v>2318.4</v>
      </c>
      <c r="D694" s="22" t="n">
        <v>45415</v>
      </c>
      <c r="E694" t="n">
        <v>3097.65</v>
      </c>
      <c r="F694" s="22" t="n">
        <v>45593</v>
      </c>
      <c r="G694" t="n">
        <v>33.61154244306418</v>
      </c>
    </row>
    <row r="695">
      <c r="A695" t="inlineStr">
        <is>
          <t>LALPATHLAB</t>
        </is>
      </c>
      <c r="B695" t="inlineStr">
        <is>
          <t>Bear</t>
        </is>
      </c>
      <c r="C695" t="n">
        <v>2453.45</v>
      </c>
      <c r="D695" s="22" t="n">
        <v>45303</v>
      </c>
      <c r="E695" t="n">
        <v>2372.45</v>
      </c>
      <c r="F695" s="22" t="n">
        <v>45412</v>
      </c>
      <c r="G695" t="n">
        <v>3.301473435366525</v>
      </c>
    </row>
    <row r="696">
      <c r="A696" t="inlineStr">
        <is>
          <t>LALPATHLAB</t>
        </is>
      </c>
      <c r="B696" t="inlineStr">
        <is>
          <t>Bull</t>
        </is>
      </c>
      <c r="C696" t="n">
        <v>2415.4</v>
      </c>
      <c r="D696" s="22" t="n">
        <v>45189</v>
      </c>
      <c r="E696" t="n">
        <v>2502</v>
      </c>
      <c r="F696" s="22" t="n">
        <v>45301</v>
      </c>
      <c r="G696" t="n">
        <v>3.585327481990556</v>
      </c>
    </row>
    <row r="697">
      <c r="A697" t="inlineStr">
        <is>
          <t>LALPATHLAB</t>
        </is>
      </c>
      <c r="B697" t="inlineStr">
        <is>
          <t>Bear</t>
        </is>
      </c>
      <c r="C697" t="n">
        <v>2201.25</v>
      </c>
      <c r="D697" s="22" t="n">
        <v>45170</v>
      </c>
      <c r="E697" t="n">
        <v>2335.8</v>
      </c>
      <c r="F697" s="22" t="n">
        <v>45184</v>
      </c>
      <c r="G697" t="n">
        <v>-6.112436115843279</v>
      </c>
    </row>
    <row r="698">
      <c r="A698" t="inlineStr">
        <is>
          <t>LALPATHLAB</t>
        </is>
      </c>
      <c r="B698" t="inlineStr">
        <is>
          <t>Bull</t>
        </is>
      </c>
      <c r="C698" t="n">
        <v>2008.9</v>
      </c>
      <c r="D698" s="22" t="n">
        <v>45061</v>
      </c>
      <c r="E698" t="n">
        <v>2212</v>
      </c>
      <c r="F698" s="22" t="n">
        <v>45168</v>
      </c>
      <c r="G698" t="n">
        <v>10.110010453482</v>
      </c>
    </row>
    <row r="699">
      <c r="A699" t="inlineStr">
        <is>
          <t>DRREDDY</t>
        </is>
      </c>
      <c r="B699" t="inlineStr">
        <is>
          <t>Bull</t>
        </is>
      </c>
      <c r="C699" t="n">
        <v>1355.15</v>
      </c>
      <c r="D699" s="22" t="n">
        <v>45652</v>
      </c>
      <c r="E699" t="n">
        <v>1352.65</v>
      </c>
      <c r="F699" s="22" t="n">
        <v>45660</v>
      </c>
      <c r="G699" t="n">
        <v>-0.184481422720732</v>
      </c>
    </row>
    <row r="700">
      <c r="A700" t="inlineStr">
        <is>
          <t>DRREDDY</t>
        </is>
      </c>
      <c r="B700" t="inlineStr">
        <is>
          <t>Bear</t>
        </is>
      </c>
      <c r="C700" t="n">
        <v>1330.89</v>
      </c>
      <c r="D700" s="22" t="n">
        <v>45558</v>
      </c>
      <c r="E700" t="n">
        <v>1341.35</v>
      </c>
      <c r="F700" s="22" t="n">
        <v>45649</v>
      </c>
      <c r="G700" t="n">
        <v>-0.7859402354815056</v>
      </c>
    </row>
    <row r="701">
      <c r="A701" t="inlineStr">
        <is>
          <t>DRREDDY</t>
        </is>
      </c>
      <c r="B701" t="inlineStr">
        <is>
          <t>Bull</t>
        </is>
      </c>
      <c r="C701" t="n">
        <v>1280.47</v>
      </c>
      <c r="D701" s="22" t="n">
        <v>45471</v>
      </c>
      <c r="E701" t="n">
        <v>1300.51</v>
      </c>
      <c r="F701" s="22" t="n">
        <v>45554</v>
      </c>
      <c r="G701" t="n">
        <v>1.565050333080819</v>
      </c>
    </row>
    <row r="702">
      <c r="A702" t="inlineStr">
        <is>
          <t>DRREDDY</t>
        </is>
      </c>
      <c r="B702" t="inlineStr">
        <is>
          <t>Bear</t>
        </is>
      </c>
      <c r="C702" t="n">
        <v>1181.71</v>
      </c>
      <c r="D702" s="22" t="n">
        <v>45425</v>
      </c>
      <c r="E702" t="n">
        <v>1214.01</v>
      </c>
      <c r="F702" s="22" t="n">
        <v>45469</v>
      </c>
      <c r="G702" t="n">
        <v>-2.733327127637065</v>
      </c>
    </row>
    <row r="703">
      <c r="A703" t="inlineStr">
        <is>
          <t>DRREDDY</t>
        </is>
      </c>
      <c r="B703" t="inlineStr">
        <is>
          <t>Bull</t>
        </is>
      </c>
      <c r="C703" t="n">
        <v>1258.69</v>
      </c>
      <c r="D703" s="22" t="n">
        <v>45418</v>
      </c>
      <c r="E703" t="n">
        <v>1175.47</v>
      </c>
      <c r="F703" s="22" t="n">
        <v>45421</v>
      </c>
      <c r="G703" t="n">
        <v>-6.611635907173333</v>
      </c>
    </row>
    <row r="704">
      <c r="A704" t="inlineStr">
        <is>
          <t>DRREDDY</t>
        </is>
      </c>
      <c r="B704" t="inlineStr">
        <is>
          <t>Bear</t>
        </is>
      </c>
      <c r="C704" t="n">
        <v>1188.57</v>
      </c>
      <c r="D704" s="22" t="n">
        <v>45401</v>
      </c>
      <c r="E704" t="n">
        <v>1257.5</v>
      </c>
      <c r="F704" s="22" t="n">
        <v>45414</v>
      </c>
      <c r="G704" t="n">
        <v>-5.799406008901459</v>
      </c>
    </row>
    <row r="705">
      <c r="A705" t="inlineStr">
        <is>
          <t>DRREDDY</t>
        </is>
      </c>
      <c r="B705" t="inlineStr">
        <is>
          <t>Bull</t>
        </is>
      </c>
      <c r="C705" t="n">
        <v>1128.93</v>
      </c>
      <c r="D705" s="22" t="n">
        <v>45253</v>
      </c>
      <c r="E705" t="n">
        <v>1210.07</v>
      </c>
      <c r="F705" s="22" t="n">
        <v>45398</v>
      </c>
      <c r="G705" t="n">
        <v>7.187336681636582</v>
      </c>
    </row>
    <row r="706">
      <c r="A706" t="inlineStr">
        <is>
          <t>DRREDDY</t>
        </is>
      </c>
      <c r="B706" t="inlineStr">
        <is>
          <t>Bear</t>
        </is>
      </c>
      <c r="C706" t="n">
        <v>1098.97</v>
      </c>
      <c r="D706" s="22" t="n">
        <v>45208</v>
      </c>
      <c r="E706" t="n">
        <v>1129.29</v>
      </c>
      <c r="F706" s="22" t="n">
        <v>45251</v>
      </c>
      <c r="G706" t="n">
        <v>-2.758947014022215</v>
      </c>
    </row>
    <row r="707">
      <c r="A707" t="inlineStr">
        <is>
          <t>DRREDDY</t>
        </is>
      </c>
      <c r="B707" t="inlineStr">
        <is>
          <t>Bull</t>
        </is>
      </c>
      <c r="C707" t="n">
        <v>980</v>
      </c>
      <c r="D707" s="22" t="n">
        <v>45093</v>
      </c>
      <c r="E707" t="n">
        <v>1081.45</v>
      </c>
      <c r="F707" s="22" t="n">
        <v>45204</v>
      </c>
      <c r="G707" t="n">
        <v>10.35204081632654</v>
      </c>
    </row>
    <row r="708">
      <c r="A708" t="inlineStr">
        <is>
          <t>DRREDDY</t>
        </is>
      </c>
      <c r="B708" t="inlineStr">
        <is>
          <t>Bear</t>
        </is>
      </c>
      <c r="C708" t="n">
        <v>892.11</v>
      </c>
      <c r="D708" s="22" t="n">
        <v>45069</v>
      </c>
      <c r="E708" t="n">
        <v>939.8</v>
      </c>
      <c r="F708" s="22" t="n">
        <v>45091</v>
      </c>
      <c r="G708" t="n">
        <v>-5.345753326383511</v>
      </c>
    </row>
    <row r="709">
      <c r="A709" t="inlineStr">
        <is>
          <t>DRREDDY</t>
        </is>
      </c>
      <c r="B709" t="inlineStr">
        <is>
          <t>Bull</t>
        </is>
      </c>
      <c r="C709" t="n">
        <v>897.5</v>
      </c>
      <c r="D709" s="22" t="n">
        <v>44966</v>
      </c>
      <c r="E709" t="n">
        <v>878.39</v>
      </c>
      <c r="F709" s="22" t="n">
        <v>45065</v>
      </c>
      <c r="G709" t="n">
        <v>-2.129247910863512</v>
      </c>
    </row>
    <row r="710">
      <c r="A710" t="inlineStr">
        <is>
          <t>DREAMFOLKS</t>
        </is>
      </c>
      <c r="B710" t="inlineStr">
        <is>
          <t>Bear</t>
        </is>
      </c>
      <c r="C710" t="n">
        <v>461.75</v>
      </c>
      <c r="D710" s="22" t="n">
        <v>45569</v>
      </c>
      <c r="E710" t="n">
        <v>401.25</v>
      </c>
      <c r="F710" s="22" t="n">
        <v>45660</v>
      </c>
      <c r="G710" t="n">
        <v>13.10232809962101</v>
      </c>
    </row>
    <row r="711">
      <c r="A711" t="inlineStr">
        <is>
          <t>DREAMFOLKS</t>
        </is>
      </c>
      <c r="B711" t="inlineStr">
        <is>
          <t>Bull</t>
        </is>
      </c>
      <c r="C711" t="n">
        <v>494.55</v>
      </c>
      <c r="D711" s="22" t="n">
        <v>45545</v>
      </c>
      <c r="E711" t="n">
        <v>464.85</v>
      </c>
      <c r="F711" s="22" t="n">
        <v>45566</v>
      </c>
      <c r="G711" t="n">
        <v>-6.005459508644219</v>
      </c>
    </row>
    <row r="712">
      <c r="A712" t="inlineStr">
        <is>
          <t>DREAMFOLKS</t>
        </is>
      </c>
      <c r="B712" t="inlineStr">
        <is>
          <t>Bear</t>
        </is>
      </c>
      <c r="C712" t="n">
        <v>481.35</v>
      </c>
      <c r="D712" s="22" t="n">
        <v>45441</v>
      </c>
      <c r="E712" t="n">
        <v>496.8</v>
      </c>
      <c r="F712" s="22" t="n">
        <v>45541</v>
      </c>
      <c r="G712" t="n">
        <v>-3.209722655032718</v>
      </c>
    </row>
    <row r="713">
      <c r="A713" t="inlineStr">
        <is>
          <t>DREAMFOLKS</t>
        </is>
      </c>
      <c r="B713" t="inlineStr">
        <is>
          <t>Bull</t>
        </is>
      </c>
      <c r="C713" t="n">
        <v>513.1</v>
      </c>
      <c r="D713" s="22" t="n">
        <v>45401</v>
      </c>
      <c r="E713" t="n">
        <v>506.65</v>
      </c>
      <c r="F713" s="22" t="n">
        <v>45439</v>
      </c>
      <c r="G713" t="n">
        <v>-1.257064899629711</v>
      </c>
    </row>
    <row r="714">
      <c r="A714" t="inlineStr">
        <is>
          <t>DREAMFOLKS</t>
        </is>
      </c>
      <c r="B714" t="inlineStr">
        <is>
          <t>Bear</t>
        </is>
      </c>
      <c r="C714" t="n">
        <v>490.2</v>
      </c>
      <c r="D714" s="22" t="n">
        <v>45334</v>
      </c>
      <c r="E714" t="n">
        <v>517.75</v>
      </c>
      <c r="F714" s="22" t="n">
        <v>45398</v>
      </c>
      <c r="G714" t="n">
        <v>-5.620155038759692</v>
      </c>
    </row>
    <row r="715">
      <c r="A715" t="inlineStr">
        <is>
          <t>DREAMFOLKS</t>
        </is>
      </c>
      <c r="B715" t="inlineStr">
        <is>
          <t>Bull</t>
        </is>
      </c>
      <c r="C715" t="n">
        <v>557.9</v>
      </c>
      <c r="D715" s="22" t="n">
        <v>45251</v>
      </c>
      <c r="E715" t="n">
        <v>527.3</v>
      </c>
      <c r="F715" s="22" t="n">
        <v>45330</v>
      </c>
      <c r="G715" t="n">
        <v>-5.48485391647249</v>
      </c>
    </row>
    <row r="716">
      <c r="A716" t="inlineStr">
        <is>
          <t>DREAMFOLKS</t>
        </is>
      </c>
      <c r="B716" t="inlineStr">
        <is>
          <t>Bear</t>
        </is>
      </c>
      <c r="C716" t="n">
        <v>500</v>
      </c>
      <c r="D716" s="22" t="n">
        <v>45159</v>
      </c>
      <c r="E716" t="n">
        <v>561.8</v>
      </c>
      <c r="F716" s="22" t="n">
        <v>45247</v>
      </c>
      <c r="G716" t="n">
        <v>-12.35999999999999</v>
      </c>
    </row>
    <row r="717">
      <c r="A717" t="inlineStr">
        <is>
          <t>DREAMFOLKS</t>
        </is>
      </c>
      <c r="B717" t="inlineStr">
        <is>
          <t>Bull</t>
        </is>
      </c>
      <c r="C717" t="n">
        <v>397.15</v>
      </c>
      <c r="D717" s="22" t="n">
        <v>44967</v>
      </c>
      <c r="E717" t="n">
        <v>511</v>
      </c>
      <c r="F717" s="22" t="n">
        <v>45155</v>
      </c>
      <c r="G717" t="n">
        <v>28.66675059801084</v>
      </c>
    </row>
    <row r="718">
      <c r="A718" t="inlineStr">
        <is>
          <t>ECLERX</t>
        </is>
      </c>
      <c r="B718" t="inlineStr">
        <is>
          <t>Bull</t>
        </is>
      </c>
      <c r="C718" t="n">
        <v>2395.8</v>
      </c>
      <c r="D718" s="22" t="n">
        <v>45470</v>
      </c>
      <c r="E718" t="n">
        <v>3507.65</v>
      </c>
      <c r="F718" s="22" t="n">
        <v>45660</v>
      </c>
      <c r="G718" t="n">
        <v>46.40829785457884</v>
      </c>
    </row>
    <row r="719">
      <c r="A719" t="inlineStr">
        <is>
          <t>ECLERX</t>
        </is>
      </c>
      <c r="B719" t="inlineStr">
        <is>
          <t>Bear</t>
        </is>
      </c>
      <c r="C719" t="n">
        <v>2312.3</v>
      </c>
      <c r="D719" s="22" t="n">
        <v>45341</v>
      </c>
      <c r="E719" t="n">
        <v>2365.9</v>
      </c>
      <c r="F719" s="22" t="n">
        <v>45468</v>
      </c>
      <c r="G719" t="n">
        <v>-2.318038316827397</v>
      </c>
    </row>
    <row r="720">
      <c r="A720" t="inlineStr">
        <is>
          <t>ECLERX</t>
        </is>
      </c>
      <c r="B720" t="inlineStr">
        <is>
          <t>Bull</t>
        </is>
      </c>
      <c r="C720" t="n">
        <v>1752.3</v>
      </c>
      <c r="D720" s="22" t="n">
        <v>45181</v>
      </c>
      <c r="E720" t="n">
        <v>2318.05</v>
      </c>
      <c r="F720" s="22" t="n">
        <v>45337</v>
      </c>
      <c r="G720" t="n">
        <v>32.28613821834162</v>
      </c>
    </row>
    <row r="721">
      <c r="A721" t="inlineStr">
        <is>
          <t>ECLERX</t>
        </is>
      </c>
      <c r="B721" t="inlineStr">
        <is>
          <t>Bear</t>
        </is>
      </c>
      <c r="C721" t="n">
        <v>1625</v>
      </c>
      <c r="D721" s="22" t="n">
        <v>45166</v>
      </c>
      <c r="E721" t="n">
        <v>1710</v>
      </c>
      <c r="F721" s="22" t="n">
        <v>45177</v>
      </c>
      <c r="G721" t="n">
        <v>-5.230769230769231</v>
      </c>
    </row>
    <row r="722">
      <c r="A722" t="inlineStr">
        <is>
          <t>ECLERX</t>
        </is>
      </c>
      <c r="B722" t="inlineStr">
        <is>
          <t>Bull</t>
        </is>
      </c>
      <c r="C722" t="n">
        <v>1480.85</v>
      </c>
      <c r="D722" s="22" t="n">
        <v>45070</v>
      </c>
      <c r="E722" t="n">
        <v>1604</v>
      </c>
      <c r="F722" s="22" t="n">
        <v>45162</v>
      </c>
      <c r="G722" t="n">
        <v>8.316169767363345</v>
      </c>
    </row>
    <row r="723">
      <c r="A723" t="inlineStr">
        <is>
          <t>ECLERX</t>
        </is>
      </c>
      <c r="B723" t="inlineStr">
        <is>
          <t>Bear</t>
        </is>
      </c>
      <c r="C723" t="n">
        <v>1396.55</v>
      </c>
      <c r="D723" s="22" t="n">
        <v>45006</v>
      </c>
      <c r="E723" t="n">
        <v>1428.5</v>
      </c>
      <c r="F723" s="22" t="n">
        <v>45068</v>
      </c>
      <c r="G723" t="n">
        <v>-2.287780602198278</v>
      </c>
    </row>
    <row r="724">
      <c r="A724" t="inlineStr">
        <is>
          <t>EICHERMOT</t>
        </is>
      </c>
      <c r="B724" t="inlineStr">
        <is>
          <t>Bull</t>
        </is>
      </c>
      <c r="C724" t="n">
        <v>5310.75</v>
      </c>
      <c r="D724" s="22" t="n">
        <v>45660</v>
      </c>
      <c r="E724" t="n">
        <v>5310.75</v>
      </c>
      <c r="F724" s="22" t="n">
        <v>45660</v>
      </c>
      <c r="G724" t="n">
        <v>0</v>
      </c>
    </row>
    <row r="725">
      <c r="A725" t="inlineStr">
        <is>
          <t>EICHERMOT</t>
        </is>
      </c>
      <c r="B725" t="inlineStr">
        <is>
          <t>Bear</t>
        </is>
      </c>
      <c r="C725" t="n">
        <v>4749.85</v>
      </c>
      <c r="D725" s="22" t="n">
        <v>45644</v>
      </c>
      <c r="E725" t="n">
        <v>4885.3</v>
      </c>
      <c r="F725" s="22" t="n">
        <v>45658</v>
      </c>
      <c r="G725" t="n">
        <v>-2.851669000073683</v>
      </c>
    </row>
    <row r="726">
      <c r="A726" t="inlineStr">
        <is>
          <t>EICHERMOT</t>
        </is>
      </c>
      <c r="B726" t="inlineStr">
        <is>
          <t>Bull</t>
        </is>
      </c>
      <c r="C726" t="n">
        <v>4882.1</v>
      </c>
      <c r="D726" s="22" t="n">
        <v>45617</v>
      </c>
      <c r="E726" t="n">
        <v>4838.5</v>
      </c>
      <c r="F726" s="22" t="n">
        <v>45642</v>
      </c>
      <c r="G726" t="n">
        <v>-0.8930583150693424</v>
      </c>
    </row>
    <row r="727">
      <c r="A727" t="inlineStr">
        <is>
          <t>EICHERMOT</t>
        </is>
      </c>
      <c r="B727" t="inlineStr">
        <is>
          <t>Bear</t>
        </is>
      </c>
      <c r="C727" t="n">
        <v>4883.7</v>
      </c>
      <c r="D727" s="22" t="n">
        <v>45610</v>
      </c>
      <c r="E727" t="n">
        <v>4875.65</v>
      </c>
      <c r="F727" s="22" t="n">
        <v>45614</v>
      </c>
      <c r="G727" t="n">
        <v>0.164834039764936</v>
      </c>
    </row>
    <row r="728">
      <c r="A728" t="inlineStr">
        <is>
          <t>EICHERMOT</t>
        </is>
      </c>
      <c r="B728" t="inlineStr">
        <is>
          <t>Bull</t>
        </is>
      </c>
      <c r="C728" t="n">
        <v>4917.15</v>
      </c>
      <c r="D728" s="22" t="n">
        <v>45602</v>
      </c>
      <c r="E728" t="n">
        <v>4738.2</v>
      </c>
      <c r="F728" s="22" t="n">
        <v>45608</v>
      </c>
      <c r="G728" t="n">
        <v>-3.639303254934257</v>
      </c>
    </row>
    <row r="729">
      <c r="A729" t="inlineStr">
        <is>
          <t>EICHERMOT</t>
        </is>
      </c>
      <c r="B729" t="inlineStr">
        <is>
          <t>Bear</t>
        </is>
      </c>
      <c r="C729" t="n">
        <v>4697.9</v>
      </c>
      <c r="D729" s="22" t="n">
        <v>45575</v>
      </c>
      <c r="E729" t="n">
        <v>4831.85</v>
      </c>
      <c r="F729" s="22" t="n">
        <v>45600</v>
      </c>
      <c r="G729" t="n">
        <v>-2.851273973477527</v>
      </c>
    </row>
    <row r="730">
      <c r="A730" t="inlineStr">
        <is>
          <t>EICHERMOT</t>
        </is>
      </c>
      <c r="B730" t="inlineStr">
        <is>
          <t>Bull</t>
        </is>
      </c>
      <c r="C730" t="n">
        <v>3913.8</v>
      </c>
      <c r="D730" s="22" t="n">
        <v>45378</v>
      </c>
      <c r="E730" t="n">
        <v>4693.45</v>
      </c>
      <c r="F730" s="22" t="n">
        <v>45573</v>
      </c>
      <c r="G730" t="n">
        <v>19.92053758495578</v>
      </c>
    </row>
    <row r="731">
      <c r="A731" t="inlineStr">
        <is>
          <t>EICHERMOT</t>
        </is>
      </c>
      <c r="B731" t="inlineStr">
        <is>
          <t>Bear</t>
        </is>
      </c>
      <c r="C731" t="n">
        <v>3783.9</v>
      </c>
      <c r="D731" s="22" t="n">
        <v>45362</v>
      </c>
      <c r="E731" t="n">
        <v>3988.4</v>
      </c>
      <c r="F731" s="22" t="n">
        <v>45373</v>
      </c>
      <c r="G731" t="n">
        <v>-5.404476862496366</v>
      </c>
    </row>
    <row r="732">
      <c r="A732" t="inlineStr">
        <is>
          <t>EICHERMOT</t>
        </is>
      </c>
      <c r="B732" t="inlineStr">
        <is>
          <t>Bull</t>
        </is>
      </c>
      <c r="C732" t="n">
        <v>3916.55</v>
      </c>
      <c r="D732" s="22" t="n">
        <v>45337</v>
      </c>
      <c r="E732" t="n">
        <v>3793.2</v>
      </c>
      <c r="F732" s="22" t="n">
        <v>45357</v>
      </c>
      <c r="G732" t="n">
        <v>-3.149455515696221</v>
      </c>
    </row>
    <row r="733">
      <c r="A733" t="inlineStr">
        <is>
          <t>EICHERMOT</t>
        </is>
      </c>
      <c r="B733" t="inlineStr">
        <is>
          <t>Bear</t>
        </is>
      </c>
      <c r="C733" t="n">
        <v>3616.7</v>
      </c>
      <c r="D733" s="22" t="n">
        <v>45314</v>
      </c>
      <c r="E733" t="n">
        <v>3854.2</v>
      </c>
      <c r="F733" s="22" t="n">
        <v>45335</v>
      </c>
      <c r="G733" t="n">
        <v>-6.566759753366329</v>
      </c>
    </row>
    <row r="734">
      <c r="A734" t="inlineStr">
        <is>
          <t>EICHERMOT</t>
        </is>
      </c>
      <c r="B734" t="inlineStr">
        <is>
          <t>Bull</t>
        </is>
      </c>
      <c r="C734" t="n">
        <v>3541.9</v>
      </c>
      <c r="D734" s="22" t="n">
        <v>45239</v>
      </c>
      <c r="E734" t="n">
        <v>3699.45</v>
      </c>
      <c r="F734" s="22" t="n">
        <v>45310</v>
      </c>
      <c r="G734" t="n">
        <v>4.448177531833189</v>
      </c>
    </row>
    <row r="735">
      <c r="A735" t="inlineStr">
        <is>
          <t>EICHERMOT</t>
        </is>
      </c>
      <c r="B735" t="inlineStr">
        <is>
          <t>Bear</t>
        </is>
      </c>
      <c r="C735" t="n">
        <v>3338.3</v>
      </c>
      <c r="D735" s="22" t="n">
        <v>45232</v>
      </c>
      <c r="E735" t="n">
        <v>3509.05</v>
      </c>
      <c r="F735" s="22" t="n">
        <v>45237</v>
      </c>
      <c r="G735" t="n">
        <v>-5.114878830542492</v>
      </c>
    </row>
    <row r="736">
      <c r="A736" t="inlineStr">
        <is>
          <t>EICHERMOT</t>
        </is>
      </c>
      <c r="B736" t="inlineStr">
        <is>
          <t>Bull</t>
        </is>
      </c>
      <c r="C736" t="n">
        <v>3441.2</v>
      </c>
      <c r="D736" s="22" t="n">
        <v>45189</v>
      </c>
      <c r="E736" t="n">
        <v>3295.55</v>
      </c>
      <c r="F736" s="22" t="n">
        <v>45230</v>
      </c>
      <c r="G736" t="n">
        <v>-4.232535162152727</v>
      </c>
    </row>
    <row r="737">
      <c r="A737" t="inlineStr">
        <is>
          <t>EICHERMOT</t>
        </is>
      </c>
      <c r="B737" t="inlineStr">
        <is>
          <t>Bear</t>
        </is>
      </c>
      <c r="C737" t="n">
        <v>3175.5</v>
      </c>
      <c r="D737" s="22" t="n">
        <v>45117</v>
      </c>
      <c r="E737" t="n">
        <v>3427.2</v>
      </c>
      <c r="F737" s="22" t="n">
        <v>45184</v>
      </c>
      <c r="G737" t="n">
        <v>-7.926310817194136</v>
      </c>
    </row>
    <row r="738">
      <c r="A738" t="inlineStr">
        <is>
          <t>EICHERMOT</t>
        </is>
      </c>
      <c r="B738" t="inlineStr">
        <is>
          <t>Bull</t>
        </is>
      </c>
      <c r="C738" t="n">
        <v>3217.95</v>
      </c>
      <c r="D738" s="22" t="n">
        <v>45041</v>
      </c>
      <c r="E738" t="n">
        <v>3225.95</v>
      </c>
      <c r="F738" s="22" t="n">
        <v>45113</v>
      </c>
      <c r="G738" t="n">
        <v>0.2486054786432356</v>
      </c>
    </row>
    <row r="739">
      <c r="A739" t="inlineStr">
        <is>
          <t>EIDPARRY</t>
        </is>
      </c>
      <c r="B739" t="inlineStr">
        <is>
          <t>Bull</t>
        </is>
      </c>
      <c r="C739" t="n">
        <v>864.9</v>
      </c>
      <c r="D739" s="22" t="n">
        <v>45621</v>
      </c>
      <c r="E739" t="n">
        <v>907.65</v>
      </c>
      <c r="F739" s="22" t="n">
        <v>45660</v>
      </c>
      <c r="G739" t="n">
        <v>4.94276795005203</v>
      </c>
    </row>
    <row r="740">
      <c r="A740" t="inlineStr">
        <is>
          <t>EIDPARRY</t>
        </is>
      </c>
      <c r="B740" t="inlineStr">
        <is>
          <t>Bear</t>
        </is>
      </c>
      <c r="C740" t="n">
        <v>766.7</v>
      </c>
      <c r="D740" s="22" t="n">
        <v>45614</v>
      </c>
      <c r="E740" t="n">
        <v>825.65</v>
      </c>
      <c r="F740" s="22" t="n">
        <v>45617</v>
      </c>
      <c r="G740" t="n">
        <v>-7.688796139298281</v>
      </c>
    </row>
    <row r="741">
      <c r="A741" t="inlineStr">
        <is>
          <t>EIDPARRY</t>
        </is>
      </c>
      <c r="B741" t="inlineStr">
        <is>
          <t>Bull</t>
        </is>
      </c>
      <c r="C741" t="n">
        <v>813.85</v>
      </c>
      <c r="D741" s="22" t="n">
        <v>45607</v>
      </c>
      <c r="E741" t="n">
        <v>772.7</v>
      </c>
      <c r="F741" s="22" t="n">
        <v>45609</v>
      </c>
      <c r="G741" t="n">
        <v>-5.056214290102596</v>
      </c>
    </row>
    <row r="742">
      <c r="A742" t="inlineStr">
        <is>
          <t>EIDPARRY</t>
        </is>
      </c>
      <c r="B742" t="inlineStr">
        <is>
          <t>Bear</t>
        </is>
      </c>
      <c r="C742" t="n">
        <v>772.85</v>
      </c>
      <c r="D742" s="22" t="n">
        <v>45589</v>
      </c>
      <c r="E742" t="n">
        <v>850.4</v>
      </c>
      <c r="F742" s="22" t="n">
        <v>45603</v>
      </c>
      <c r="G742" t="n">
        <v>-10.03428867179918</v>
      </c>
    </row>
    <row r="743">
      <c r="A743" t="inlineStr">
        <is>
          <t>EIDPARRY</t>
        </is>
      </c>
      <c r="B743" t="inlineStr">
        <is>
          <t>Bull</t>
        </is>
      </c>
      <c r="C743" t="n">
        <v>607.2</v>
      </c>
      <c r="D743" s="22" t="n">
        <v>45397</v>
      </c>
      <c r="E743" t="n">
        <v>763.6</v>
      </c>
      <c r="F743" s="22" t="n">
        <v>45587</v>
      </c>
      <c r="G743" t="n">
        <v>25.75757575757575</v>
      </c>
    </row>
    <row r="744">
      <c r="A744" t="inlineStr">
        <is>
          <t>EIDPARRY</t>
        </is>
      </c>
      <c r="B744" t="inlineStr">
        <is>
          <t>Bear</t>
        </is>
      </c>
      <c r="C744" t="n">
        <v>542.15</v>
      </c>
      <c r="D744" s="22" t="n">
        <v>45371</v>
      </c>
      <c r="E744" t="n">
        <v>627.7</v>
      </c>
      <c r="F744" s="22" t="n">
        <v>45392</v>
      </c>
      <c r="G744" t="n">
        <v>-15.77976574748687</v>
      </c>
    </row>
    <row r="745">
      <c r="A745" t="inlineStr">
        <is>
          <t>EIDPARRY</t>
        </is>
      </c>
      <c r="B745" t="inlineStr">
        <is>
          <t>Bull</t>
        </is>
      </c>
      <c r="C745" t="n">
        <v>537.15</v>
      </c>
      <c r="D745" s="22" t="n">
        <v>45254</v>
      </c>
      <c r="E745" t="n">
        <v>564.8</v>
      </c>
      <c r="F745" s="22" t="n">
        <v>45369</v>
      </c>
      <c r="G745" t="n">
        <v>5.147537931676436</v>
      </c>
    </row>
    <row r="746">
      <c r="A746" t="inlineStr">
        <is>
          <t>EIDPARRY</t>
        </is>
      </c>
      <c r="B746" t="inlineStr">
        <is>
          <t>Bear</t>
        </is>
      </c>
      <c r="C746" t="n">
        <v>466.1</v>
      </c>
      <c r="D746" s="22" t="n">
        <v>45225</v>
      </c>
      <c r="E746" t="n">
        <v>491</v>
      </c>
      <c r="F746" s="22" t="n">
        <v>45252</v>
      </c>
      <c r="G746" t="n">
        <v>-5.342201244368156</v>
      </c>
    </row>
    <row r="747">
      <c r="A747" t="inlineStr">
        <is>
          <t>EIDPARRY</t>
        </is>
      </c>
      <c r="B747" t="inlineStr">
        <is>
          <t>Bull</t>
        </is>
      </c>
      <c r="C747" t="n">
        <v>516.3</v>
      </c>
      <c r="D747" s="22" t="n">
        <v>45176</v>
      </c>
      <c r="E747" t="n">
        <v>467.05</v>
      </c>
      <c r="F747" s="22" t="n">
        <v>45222</v>
      </c>
      <c r="G747" t="n">
        <v>-9.539027697075333</v>
      </c>
    </row>
    <row r="748">
      <c r="A748" t="inlineStr">
        <is>
          <t>EIDPARRY</t>
        </is>
      </c>
      <c r="B748" t="inlineStr">
        <is>
          <t>Bear</t>
        </is>
      </c>
      <c r="C748" t="n">
        <v>465</v>
      </c>
      <c r="D748" s="22" t="n">
        <v>45154</v>
      </c>
      <c r="E748" t="n">
        <v>483.55</v>
      </c>
      <c r="F748" s="22" t="n">
        <v>45174</v>
      </c>
      <c r="G748" t="n">
        <v>-3.989247311827959</v>
      </c>
    </row>
    <row r="749">
      <c r="A749" t="inlineStr">
        <is>
          <t>EIDPARRY</t>
        </is>
      </c>
      <c r="B749" t="inlineStr">
        <is>
          <t>Bull</t>
        </is>
      </c>
      <c r="C749" t="n">
        <v>486.65</v>
      </c>
      <c r="D749" s="22" t="n">
        <v>45140</v>
      </c>
      <c r="E749" t="n">
        <v>462.05</v>
      </c>
      <c r="F749" s="22" t="n">
        <v>45149</v>
      </c>
      <c r="G749" t="n">
        <v>-5.054967635877934</v>
      </c>
    </row>
    <row r="750">
      <c r="A750" t="inlineStr">
        <is>
          <t>EIDPARRY</t>
        </is>
      </c>
      <c r="B750" t="inlineStr">
        <is>
          <t>Bear</t>
        </is>
      </c>
      <c r="C750" t="n">
        <v>579.1</v>
      </c>
      <c r="D750" s="22" t="n">
        <v>44908</v>
      </c>
      <c r="E750" t="n">
        <v>494.5</v>
      </c>
      <c r="F750" s="22" t="n">
        <v>45138</v>
      </c>
      <c r="G750" t="n">
        <v>14.60887584182352</v>
      </c>
    </row>
    <row r="751">
      <c r="A751" t="inlineStr">
        <is>
          <t>EIHOTEL</t>
        </is>
      </c>
      <c r="B751" t="inlineStr">
        <is>
          <t>Bull</t>
        </is>
      </c>
      <c r="C751" t="n">
        <v>410.35</v>
      </c>
      <c r="D751" s="22" t="n">
        <v>45635</v>
      </c>
      <c r="E751" t="n">
        <v>428.35</v>
      </c>
      <c r="F751" s="22" t="n">
        <v>45660</v>
      </c>
      <c r="G751" t="n">
        <v>4.38649932984038</v>
      </c>
    </row>
    <row r="752">
      <c r="A752" t="inlineStr">
        <is>
          <t>EIHOTEL</t>
        </is>
      </c>
      <c r="B752" t="inlineStr">
        <is>
          <t>Bear</t>
        </is>
      </c>
      <c r="C752" t="n">
        <v>352.4</v>
      </c>
      <c r="D752" s="22" t="n">
        <v>45593</v>
      </c>
      <c r="E752" t="n">
        <v>402.25</v>
      </c>
      <c r="F752" s="22" t="n">
        <v>45631</v>
      </c>
      <c r="G752" t="n">
        <v>-14.14585698070375</v>
      </c>
    </row>
    <row r="753">
      <c r="A753" t="inlineStr">
        <is>
          <t>EIHOTEL</t>
        </is>
      </c>
      <c r="B753" t="inlineStr">
        <is>
          <t>Bull</t>
        </is>
      </c>
      <c r="C753" t="n">
        <v>428.25</v>
      </c>
      <c r="D753" s="22" t="n">
        <v>45579</v>
      </c>
      <c r="E753" t="n">
        <v>368.45</v>
      </c>
      <c r="F753" s="22" t="n">
        <v>45589</v>
      </c>
      <c r="G753" t="n">
        <v>-13.96380618797432</v>
      </c>
    </row>
    <row r="754">
      <c r="A754" t="inlineStr">
        <is>
          <t>EIHOTEL</t>
        </is>
      </c>
      <c r="B754" t="inlineStr">
        <is>
          <t>Bear</t>
        </is>
      </c>
      <c r="C754" t="n">
        <v>418.5</v>
      </c>
      <c r="D754" s="22" t="n">
        <v>45449</v>
      </c>
      <c r="E754" t="n">
        <v>431.4</v>
      </c>
      <c r="F754" s="22" t="n">
        <v>45575</v>
      </c>
      <c r="G754" t="n">
        <v>-3.082437275985658</v>
      </c>
    </row>
    <row r="755">
      <c r="A755" t="inlineStr">
        <is>
          <t>EIHOTEL</t>
        </is>
      </c>
      <c r="B755" t="inlineStr">
        <is>
          <t>Bull</t>
        </is>
      </c>
      <c r="C755" t="n">
        <v>230.85</v>
      </c>
      <c r="D755" s="22" t="n">
        <v>45240</v>
      </c>
      <c r="E755" t="n">
        <v>408.45</v>
      </c>
      <c r="F755" s="22" t="n">
        <v>45447</v>
      </c>
      <c r="G755" t="n">
        <v>76.93307342430148</v>
      </c>
    </row>
    <row r="756">
      <c r="A756" t="inlineStr">
        <is>
          <t>EIHOTEL</t>
        </is>
      </c>
      <c r="B756" t="inlineStr">
        <is>
          <t>Bear</t>
        </is>
      </c>
      <c r="C756" t="n">
        <v>213.8</v>
      </c>
      <c r="D756" s="22" t="n">
        <v>45224</v>
      </c>
      <c r="E756" t="n">
        <v>241.25</v>
      </c>
      <c r="F756" s="22" t="n">
        <v>45238</v>
      </c>
      <c r="G756" t="n">
        <v>-12.83910196445275</v>
      </c>
    </row>
    <row r="757">
      <c r="A757" t="inlineStr">
        <is>
          <t>EIHOTEL</t>
        </is>
      </c>
      <c r="B757" t="inlineStr">
        <is>
          <t>Bull</t>
        </is>
      </c>
      <c r="C757" t="n">
        <v>172.75</v>
      </c>
      <c r="D757" s="22" t="n">
        <v>45034</v>
      </c>
      <c r="E757" t="n">
        <v>223.2</v>
      </c>
      <c r="F757" s="22" t="n">
        <v>45219</v>
      </c>
      <c r="G757" t="n">
        <v>29.20405209840809</v>
      </c>
    </row>
    <row r="758">
      <c r="A758" t="inlineStr">
        <is>
          <t>ELECON</t>
        </is>
      </c>
      <c r="B758" t="inlineStr">
        <is>
          <t>Bull</t>
        </is>
      </c>
      <c r="C758" t="n">
        <v>657.2</v>
      </c>
      <c r="D758" s="22" t="n">
        <v>45637</v>
      </c>
      <c r="E758" t="n">
        <v>633.85</v>
      </c>
      <c r="F758" s="22" t="n">
        <v>45660</v>
      </c>
      <c r="G758" t="n">
        <v>-3.552951917224592</v>
      </c>
    </row>
    <row r="759">
      <c r="A759" t="inlineStr">
        <is>
          <t>ELECON</t>
        </is>
      </c>
      <c r="B759" t="inlineStr">
        <is>
          <t>Bear</t>
        </is>
      </c>
      <c r="C759" t="n">
        <v>564</v>
      </c>
      <c r="D759" s="22" t="n">
        <v>45593</v>
      </c>
      <c r="E759" t="n">
        <v>625.65</v>
      </c>
      <c r="F759" s="22" t="n">
        <v>45635</v>
      </c>
      <c r="G759" t="n">
        <v>-10.93085106382978</v>
      </c>
    </row>
    <row r="760">
      <c r="A760" t="inlineStr">
        <is>
          <t>ELECON</t>
        </is>
      </c>
      <c r="B760" t="inlineStr">
        <is>
          <t>Bull</t>
        </is>
      </c>
      <c r="C760" t="n">
        <v>616.35</v>
      </c>
      <c r="D760" s="22" t="n">
        <v>45541</v>
      </c>
      <c r="E760" t="n">
        <v>581.1</v>
      </c>
      <c r="F760" s="22" t="n">
        <v>45589</v>
      </c>
      <c r="G760" t="n">
        <v>-5.719153078607934</v>
      </c>
    </row>
    <row r="761">
      <c r="A761" t="inlineStr">
        <is>
          <t>ELECON</t>
        </is>
      </c>
      <c r="B761" t="inlineStr">
        <is>
          <t>Bear</t>
        </is>
      </c>
      <c r="C761" t="n">
        <v>595.7</v>
      </c>
      <c r="D761" s="22" t="n">
        <v>45516</v>
      </c>
      <c r="E761" t="n">
        <v>620.1</v>
      </c>
      <c r="F761" s="22" t="n">
        <v>45539</v>
      </c>
      <c r="G761" t="n">
        <v>-4.096021487325831</v>
      </c>
    </row>
    <row r="762">
      <c r="A762" t="inlineStr">
        <is>
          <t>ELECON</t>
        </is>
      </c>
      <c r="B762" t="inlineStr">
        <is>
          <t>Bull</t>
        </is>
      </c>
      <c r="C762" t="n">
        <v>486</v>
      </c>
      <c r="D762" s="22" t="n">
        <v>45394</v>
      </c>
      <c r="E762" t="n">
        <v>588.8</v>
      </c>
      <c r="F762" s="22" t="n">
        <v>45512</v>
      </c>
      <c r="G762" t="n">
        <v>21.15226337448559</v>
      </c>
    </row>
    <row r="763">
      <c r="A763" t="inlineStr">
        <is>
          <t>ELECON</t>
        </is>
      </c>
      <c r="B763" t="inlineStr">
        <is>
          <t>Bear</t>
        </is>
      </c>
      <c r="C763" t="n">
        <v>471.43</v>
      </c>
      <c r="D763" s="22" t="n">
        <v>45362</v>
      </c>
      <c r="E763" t="n">
        <v>500.65</v>
      </c>
      <c r="F763" s="22" t="n">
        <v>45391</v>
      </c>
      <c r="G763" t="n">
        <v>-6.198163035869582</v>
      </c>
    </row>
    <row r="764">
      <c r="A764" t="inlineStr">
        <is>
          <t>ELECON</t>
        </is>
      </c>
      <c r="B764" t="inlineStr">
        <is>
          <t>Bull</t>
        </is>
      </c>
      <c r="C764" t="n">
        <v>216.75</v>
      </c>
      <c r="D764" s="22" t="n">
        <v>45028</v>
      </c>
      <c r="E764" t="n">
        <v>471.3</v>
      </c>
      <c r="F764" s="22" t="n">
        <v>45357</v>
      </c>
      <c r="G764" t="n">
        <v>117.439446366782</v>
      </c>
    </row>
    <row r="765">
      <c r="A765" t="inlineStr">
        <is>
          <t>ELECTCAST</t>
        </is>
      </c>
      <c r="B765" t="inlineStr">
        <is>
          <t>Bear</t>
        </is>
      </c>
      <c r="C765" t="n">
        <v>198.62</v>
      </c>
      <c r="D765" s="22" t="n">
        <v>45575</v>
      </c>
      <c r="E765" t="n">
        <v>142.57</v>
      </c>
      <c r="F765" s="22" t="n">
        <v>45660</v>
      </c>
      <c r="G765" t="n">
        <v>28.21971604068071</v>
      </c>
    </row>
    <row r="766">
      <c r="A766" t="inlineStr">
        <is>
          <t>ELECTCAST</t>
        </is>
      </c>
      <c r="B766" t="inlineStr">
        <is>
          <t>Bull</t>
        </is>
      </c>
      <c r="C766" t="n">
        <v>188.94</v>
      </c>
      <c r="D766" s="22" t="n">
        <v>45475</v>
      </c>
      <c r="E766" t="n">
        <v>197.07</v>
      </c>
      <c r="F766" s="22" t="n">
        <v>45573</v>
      </c>
      <c r="G766" t="n">
        <v>4.302953318513811</v>
      </c>
    </row>
    <row r="767">
      <c r="A767" t="inlineStr">
        <is>
          <t>ELECTCAST</t>
        </is>
      </c>
      <c r="B767" t="inlineStr">
        <is>
          <t>Bear</t>
        </is>
      </c>
      <c r="C767" t="n">
        <v>166.7</v>
      </c>
      <c r="D767" s="22" t="n">
        <v>45436</v>
      </c>
      <c r="E767" t="n">
        <v>173.44</v>
      </c>
      <c r="F767" s="22" t="n">
        <v>45471</v>
      </c>
      <c r="G767" t="n">
        <v>-4.04319136172766</v>
      </c>
    </row>
    <row r="768">
      <c r="A768" t="inlineStr">
        <is>
          <t>ELECTCAST</t>
        </is>
      </c>
      <c r="B768" t="inlineStr">
        <is>
          <t>Bull</t>
        </is>
      </c>
      <c r="C768" t="n">
        <v>36.75</v>
      </c>
      <c r="D768" s="22" t="n">
        <v>45042</v>
      </c>
      <c r="E768" t="n">
        <v>169</v>
      </c>
      <c r="F768" s="22" t="n">
        <v>45434</v>
      </c>
      <c r="G768" t="n">
        <v>359.8639455782313</v>
      </c>
    </row>
    <row r="769">
      <c r="A769" t="inlineStr">
        <is>
          <t>EMAMILTD</t>
        </is>
      </c>
      <c r="B769" t="inlineStr">
        <is>
          <t>Bear</t>
        </is>
      </c>
      <c r="C769" t="n">
        <v>751.65</v>
      </c>
      <c r="D769" s="22" t="n">
        <v>45562</v>
      </c>
      <c r="E769" t="n">
        <v>614.45</v>
      </c>
      <c r="F769" s="22" t="n">
        <v>45660</v>
      </c>
      <c r="G769" t="n">
        <v>18.2531763453735</v>
      </c>
    </row>
    <row r="770">
      <c r="A770" t="inlineStr">
        <is>
          <t>EMAMILTD</t>
        </is>
      </c>
      <c r="B770" t="inlineStr">
        <is>
          <t>Bull</t>
        </is>
      </c>
      <c r="C770" t="n">
        <v>495.45</v>
      </c>
      <c r="D770" s="22" t="n">
        <v>45415</v>
      </c>
      <c r="E770" t="n">
        <v>742.55</v>
      </c>
      <c r="F770" s="22" t="n">
        <v>45560</v>
      </c>
      <c r="G770" t="n">
        <v>49.87385205368856</v>
      </c>
    </row>
    <row r="771">
      <c r="A771" t="inlineStr">
        <is>
          <t>EMAMILTD</t>
        </is>
      </c>
      <c r="B771" t="inlineStr">
        <is>
          <t>Bear</t>
        </is>
      </c>
      <c r="C771" t="n">
        <v>499.6</v>
      </c>
      <c r="D771" s="22" t="n">
        <v>45320</v>
      </c>
      <c r="E771" t="n">
        <v>486.9</v>
      </c>
      <c r="F771" s="22" t="n">
        <v>45412</v>
      </c>
      <c r="G771" t="n">
        <v>2.54203362690153</v>
      </c>
    </row>
    <row r="772">
      <c r="A772" t="inlineStr">
        <is>
          <t>EMAMILTD</t>
        </is>
      </c>
      <c r="B772" t="inlineStr">
        <is>
          <t>Bull</t>
        </is>
      </c>
      <c r="C772" t="n">
        <v>572.7</v>
      </c>
      <c r="D772" s="22" t="n">
        <v>45292</v>
      </c>
      <c r="E772" t="n">
        <v>497.1</v>
      </c>
      <c r="F772" s="22" t="n">
        <v>45315</v>
      </c>
      <c r="G772" t="n">
        <v>-13.20062860136197</v>
      </c>
    </row>
    <row r="773">
      <c r="A773" t="inlineStr">
        <is>
          <t>EMAMILTD</t>
        </is>
      </c>
      <c r="B773" t="inlineStr">
        <is>
          <t>Bear</t>
        </is>
      </c>
      <c r="C773" t="n">
        <v>491.95</v>
      </c>
      <c r="D773" s="22" t="n">
        <v>45250</v>
      </c>
      <c r="E773" t="n">
        <v>533</v>
      </c>
      <c r="F773" s="22" t="n">
        <v>45288</v>
      </c>
      <c r="G773" t="n">
        <v>-8.344343937392013</v>
      </c>
    </row>
    <row r="774">
      <c r="A774" t="inlineStr">
        <is>
          <t>EMAMILTD</t>
        </is>
      </c>
      <c r="B774" t="inlineStr">
        <is>
          <t>Bull</t>
        </is>
      </c>
      <c r="C774" t="n">
        <v>388.05</v>
      </c>
      <c r="D774" s="22" t="n">
        <v>45063</v>
      </c>
      <c r="E774" t="n">
        <v>501</v>
      </c>
      <c r="F774" s="22" t="n">
        <v>45246</v>
      </c>
      <c r="G774" t="n">
        <v>29.10707383069192</v>
      </c>
    </row>
    <row r="775">
      <c r="A775" t="inlineStr">
        <is>
          <t>EPIGRAL</t>
        </is>
      </c>
      <c r="B775" t="inlineStr">
        <is>
          <t>Bear</t>
        </is>
      </c>
      <c r="C775" t="n">
        <v>1914.4</v>
      </c>
      <c r="D775" s="22" t="n">
        <v>45649</v>
      </c>
      <c r="E775" t="n">
        <v>1813.85</v>
      </c>
      <c r="F775" s="22" t="n">
        <v>45660</v>
      </c>
      <c r="G775" t="n">
        <v>5.252298370246562</v>
      </c>
    </row>
    <row r="776">
      <c r="A776" t="inlineStr">
        <is>
          <t>EPIGRAL</t>
        </is>
      </c>
      <c r="B776" t="inlineStr">
        <is>
          <t>Bull</t>
        </is>
      </c>
      <c r="C776" t="n">
        <v>2158.45</v>
      </c>
      <c r="D776" s="22" t="n">
        <v>45636</v>
      </c>
      <c r="E776" t="n">
        <v>2005.25</v>
      </c>
      <c r="F776" s="22" t="n">
        <v>45645</v>
      </c>
      <c r="G776" t="n">
        <v>-7.09768583937547</v>
      </c>
    </row>
    <row r="777">
      <c r="A777" t="inlineStr">
        <is>
          <t>EPIGRAL</t>
        </is>
      </c>
      <c r="B777" t="inlineStr">
        <is>
          <t>Bear</t>
        </is>
      </c>
      <c r="C777" t="n">
        <v>1946.65</v>
      </c>
      <c r="D777" s="22" t="n">
        <v>45618</v>
      </c>
      <c r="E777" t="n">
        <v>2084</v>
      </c>
      <c r="F777" s="22" t="n">
        <v>45632</v>
      </c>
      <c r="G777" t="n">
        <v>-7.05571109341689</v>
      </c>
    </row>
    <row r="778">
      <c r="A778" t="inlineStr">
        <is>
          <t>EPIGRAL</t>
        </is>
      </c>
      <c r="B778" t="inlineStr">
        <is>
          <t>Bull</t>
        </is>
      </c>
      <c r="C778" t="n">
        <v>1051.1</v>
      </c>
      <c r="D778" s="22" t="n">
        <v>45293</v>
      </c>
      <c r="E778" t="n">
        <v>1927.8</v>
      </c>
      <c r="F778" s="22" t="n">
        <v>45615</v>
      </c>
      <c r="G778" t="n">
        <v>83.40785843402151</v>
      </c>
    </row>
    <row r="779">
      <c r="A779" t="inlineStr">
        <is>
          <t>EPIGRAL</t>
        </is>
      </c>
      <c r="B779" t="inlineStr">
        <is>
          <t>Bear</t>
        </is>
      </c>
      <c r="C779" t="n">
        <v>955.3</v>
      </c>
      <c r="D779" s="22" t="n">
        <v>45218</v>
      </c>
      <c r="E779" t="n">
        <v>977.05</v>
      </c>
      <c r="F779" s="22" t="n">
        <v>45289</v>
      </c>
      <c r="G779" t="n">
        <v>-2.276771694755574</v>
      </c>
    </row>
    <row r="780">
      <c r="A780" t="inlineStr">
        <is>
          <t>EPIGRAL</t>
        </is>
      </c>
      <c r="B780" t="inlineStr">
        <is>
          <t>Bull</t>
        </is>
      </c>
      <c r="C780" t="n">
        <v>1063.85</v>
      </c>
      <c r="D780" s="22" t="n">
        <v>45177</v>
      </c>
      <c r="E780" t="n">
        <v>979.55</v>
      </c>
      <c r="F780" s="22" t="n">
        <v>45216</v>
      </c>
      <c r="G780" t="n">
        <v>-7.924049443060579</v>
      </c>
    </row>
    <row r="781">
      <c r="A781" t="inlineStr">
        <is>
          <t>EPIGRAL</t>
        </is>
      </c>
      <c r="B781" t="inlineStr">
        <is>
          <t>Bear</t>
        </is>
      </c>
      <c r="C781" t="n">
        <v>955</v>
      </c>
      <c r="D781" s="22" t="n">
        <v>45131</v>
      </c>
      <c r="E781" t="n">
        <v>1033</v>
      </c>
      <c r="F781" s="22" t="n">
        <v>45175</v>
      </c>
      <c r="G781" t="n">
        <v>-8.167539267015707</v>
      </c>
    </row>
    <row r="782">
      <c r="A782" t="inlineStr">
        <is>
          <t>EPIGRAL</t>
        </is>
      </c>
      <c r="B782" t="inlineStr">
        <is>
          <t>Bull</t>
        </is>
      </c>
      <c r="C782" t="n">
        <v>1040.85</v>
      </c>
      <c r="D782" s="22" t="n">
        <v>45086</v>
      </c>
      <c r="E782" t="n">
        <v>979.5</v>
      </c>
      <c r="F782" s="22" t="n">
        <v>45127</v>
      </c>
      <c r="G782" t="n">
        <v>-5.894221069318338</v>
      </c>
    </row>
    <row r="783">
      <c r="A783" t="inlineStr">
        <is>
          <t>EPIGRAL</t>
        </is>
      </c>
      <c r="B783" t="inlineStr">
        <is>
          <t>Bear</t>
        </is>
      </c>
      <c r="C783" t="n">
        <v>1301.95</v>
      </c>
      <c r="D783" s="22" t="n">
        <v>44866</v>
      </c>
      <c r="E783" t="n">
        <v>1067.65</v>
      </c>
      <c r="F783" s="22" t="n">
        <v>45084</v>
      </c>
      <c r="G783" t="n">
        <v>17.9960827988786</v>
      </c>
    </row>
    <row r="784">
      <c r="A784" t="inlineStr">
        <is>
          <t>ERIS</t>
        </is>
      </c>
      <c r="B784" t="inlineStr">
        <is>
          <t>Bear</t>
        </is>
      </c>
      <c r="C784" t="n">
        <v>569.65</v>
      </c>
      <c r="D784" s="22" t="n">
        <v>45012</v>
      </c>
      <c r="E784" t="n">
        <v>1297.35</v>
      </c>
      <c r="F784" s="22" t="n">
        <v>45660</v>
      </c>
      <c r="G784" t="n">
        <v>-127.7451066444308</v>
      </c>
    </row>
    <row r="785">
      <c r="A785" t="inlineStr">
        <is>
          <t>ERIS</t>
        </is>
      </c>
      <c r="B785" t="inlineStr">
        <is>
          <t>Bull</t>
        </is>
      </c>
      <c r="C785" t="n">
        <v>895.95</v>
      </c>
      <c r="D785" s="22" t="n">
        <v>45412</v>
      </c>
      <c r="E785" t="n">
        <v>1321.3</v>
      </c>
      <c r="F785" s="22" t="n">
        <v>45659</v>
      </c>
      <c r="G785" t="n">
        <v>47.47474747474747</v>
      </c>
    </row>
    <row r="786">
      <c r="A786" t="inlineStr">
        <is>
          <t>ERIS</t>
        </is>
      </c>
      <c r="B786" t="inlineStr">
        <is>
          <t>Bear</t>
        </is>
      </c>
      <c r="C786" t="n">
        <v>888.6</v>
      </c>
      <c r="D786" s="22" t="n">
        <v>45338</v>
      </c>
      <c r="E786" t="n">
        <v>892.95</v>
      </c>
      <c r="F786" s="22" t="n">
        <v>45408</v>
      </c>
      <c r="G786" t="n">
        <v>-0.4895340985820417</v>
      </c>
    </row>
    <row r="787">
      <c r="A787" t="inlineStr">
        <is>
          <t>ERIS</t>
        </is>
      </c>
      <c r="B787" t="inlineStr">
        <is>
          <t>Bull</t>
        </is>
      </c>
      <c r="C787" t="n">
        <v>623.6</v>
      </c>
      <c r="D787" s="22" t="n">
        <v>45050</v>
      </c>
      <c r="E787" t="n">
        <v>865.55</v>
      </c>
      <c r="F787" s="22" t="n">
        <v>45336</v>
      </c>
      <c r="G787" t="n">
        <v>38.79890955740859</v>
      </c>
    </row>
    <row r="788">
      <c r="A788" t="inlineStr">
        <is>
          <t>ESCORTS</t>
        </is>
      </c>
      <c r="B788" t="inlineStr">
        <is>
          <t>Bear</t>
        </is>
      </c>
      <c r="C788" t="n">
        <v>3671.7</v>
      </c>
      <c r="D788" s="22" t="n">
        <v>45587</v>
      </c>
      <c r="E788" t="n">
        <v>3371.9</v>
      </c>
      <c r="F788" s="22" t="n">
        <v>45660</v>
      </c>
      <c r="G788" t="n">
        <v>8.165155105264585</v>
      </c>
    </row>
    <row r="789">
      <c r="A789" t="inlineStr">
        <is>
          <t>ESCORTS</t>
        </is>
      </c>
      <c r="B789" t="inlineStr">
        <is>
          <t>Bull</t>
        </is>
      </c>
      <c r="C789" t="n">
        <v>4349.3</v>
      </c>
      <c r="D789" s="22" t="n">
        <v>45559</v>
      </c>
      <c r="E789" t="n">
        <v>3815.4</v>
      </c>
      <c r="F789" s="22" t="n">
        <v>45583</v>
      </c>
      <c r="G789" t="n">
        <v>-12.27553859241717</v>
      </c>
    </row>
    <row r="790">
      <c r="A790" t="inlineStr">
        <is>
          <t>ESCORTS</t>
        </is>
      </c>
      <c r="B790" t="inlineStr">
        <is>
          <t>Bear</t>
        </is>
      </c>
      <c r="C790" t="n">
        <v>3714.35</v>
      </c>
      <c r="D790" s="22" t="n">
        <v>45516</v>
      </c>
      <c r="E790" t="n">
        <v>4079.25</v>
      </c>
      <c r="F790" s="22" t="n">
        <v>45555</v>
      </c>
      <c r="G790" t="n">
        <v>-9.824060737410317</v>
      </c>
    </row>
    <row r="791">
      <c r="A791" t="inlineStr">
        <is>
          <t>ESCORTS</t>
        </is>
      </c>
      <c r="B791" t="inlineStr">
        <is>
          <t>Bull</t>
        </is>
      </c>
      <c r="C791" t="n">
        <v>3022.1</v>
      </c>
      <c r="D791" s="22" t="n">
        <v>45391</v>
      </c>
      <c r="E791" t="n">
        <v>3689.5</v>
      </c>
      <c r="F791" s="22" t="n">
        <v>45512</v>
      </c>
      <c r="G791" t="n">
        <v>22.08398133748056</v>
      </c>
    </row>
    <row r="792">
      <c r="A792" t="inlineStr">
        <is>
          <t>ESCORTS</t>
        </is>
      </c>
      <c r="B792" t="inlineStr">
        <is>
          <t>Bear</t>
        </is>
      </c>
      <c r="C792" t="n">
        <v>2984.85</v>
      </c>
      <c r="D792" s="22" t="n">
        <v>45281</v>
      </c>
      <c r="E792" t="n">
        <v>2998.35</v>
      </c>
      <c r="F792" s="22" t="n">
        <v>45387</v>
      </c>
      <c r="G792" t="n">
        <v>-0.4522840343735867</v>
      </c>
    </row>
    <row r="793">
      <c r="A793" t="inlineStr">
        <is>
          <t>ESCORTS</t>
        </is>
      </c>
      <c r="B793" t="inlineStr">
        <is>
          <t>Bull</t>
        </is>
      </c>
      <c r="C793" t="n">
        <v>2090.9</v>
      </c>
      <c r="D793" s="22" t="n">
        <v>45054</v>
      </c>
      <c r="E793" t="n">
        <v>3098.95</v>
      </c>
      <c r="F793" s="22" t="n">
        <v>45279</v>
      </c>
      <c r="G793" t="n">
        <v>48.21129657085464</v>
      </c>
    </row>
    <row r="794">
      <c r="A794" t="inlineStr">
        <is>
          <t>EKC</t>
        </is>
      </c>
      <c r="B794" t="inlineStr">
        <is>
          <t>Bear</t>
        </is>
      </c>
      <c r="C794" t="n">
        <v>189.6</v>
      </c>
      <c r="D794" s="22" t="n">
        <v>45659</v>
      </c>
      <c r="E794" t="n">
        <v>189.64</v>
      </c>
      <c r="F794" s="22" t="n">
        <v>45660</v>
      </c>
      <c r="G794" t="n">
        <v>-0.02109704641349791</v>
      </c>
    </row>
    <row r="795">
      <c r="A795" t="inlineStr">
        <is>
          <t>EKC</t>
        </is>
      </c>
      <c r="B795" t="inlineStr">
        <is>
          <t>Bull</t>
        </is>
      </c>
      <c r="C795" t="n">
        <v>212.13</v>
      </c>
      <c r="D795" s="22" t="n">
        <v>45621</v>
      </c>
      <c r="E795" t="n">
        <v>184.93</v>
      </c>
      <c r="F795" s="22" t="n">
        <v>45657</v>
      </c>
      <c r="G795" t="n">
        <v>-12.82232593221138</v>
      </c>
    </row>
    <row r="796">
      <c r="A796" t="inlineStr">
        <is>
          <t>EKC</t>
        </is>
      </c>
      <c r="B796" t="inlineStr">
        <is>
          <t>Bear</t>
        </is>
      </c>
      <c r="C796" t="n">
        <v>175.48</v>
      </c>
      <c r="D796" s="22" t="n">
        <v>45608</v>
      </c>
      <c r="E796" t="n">
        <v>202.62</v>
      </c>
      <c r="F796" s="22" t="n">
        <v>45617</v>
      </c>
      <c r="G796" t="n">
        <v>-15.4661499886027</v>
      </c>
    </row>
    <row r="797">
      <c r="A797" t="inlineStr">
        <is>
          <t>EKC</t>
        </is>
      </c>
      <c r="B797" t="inlineStr">
        <is>
          <t>Bull</t>
        </is>
      </c>
      <c r="C797" t="n">
        <v>147.82</v>
      </c>
      <c r="D797" s="22" t="n">
        <v>45484</v>
      </c>
      <c r="E797" t="n">
        <v>184.4</v>
      </c>
      <c r="F797" s="22" t="n">
        <v>45604</v>
      </c>
      <c r="G797" t="n">
        <v>24.74631308347992</v>
      </c>
    </row>
    <row r="798">
      <c r="A798" t="inlineStr">
        <is>
          <t>EKC</t>
        </is>
      </c>
      <c r="B798" t="inlineStr">
        <is>
          <t>Bear</t>
        </is>
      </c>
      <c r="C798" t="n">
        <v>134.3</v>
      </c>
      <c r="D798" s="22" t="n">
        <v>45422</v>
      </c>
      <c r="E798" t="n">
        <v>148.83</v>
      </c>
      <c r="F798" s="22" t="n">
        <v>45482</v>
      </c>
      <c r="G798" t="n">
        <v>-10.81906180193596</v>
      </c>
    </row>
    <row r="799">
      <c r="A799" t="inlineStr">
        <is>
          <t>EKC</t>
        </is>
      </c>
      <c r="B799" t="inlineStr">
        <is>
          <t>Bull</t>
        </is>
      </c>
      <c r="C799" t="n">
        <v>152.6</v>
      </c>
      <c r="D799" s="22" t="n">
        <v>45392</v>
      </c>
      <c r="E799" t="n">
        <v>139.1</v>
      </c>
      <c r="F799" s="22" t="n">
        <v>45420</v>
      </c>
      <c r="G799" t="n">
        <v>-8.846657929226737</v>
      </c>
    </row>
    <row r="800">
      <c r="A800" t="inlineStr">
        <is>
          <t>EKC</t>
        </is>
      </c>
      <c r="B800" t="inlineStr">
        <is>
          <t>Bear</t>
        </is>
      </c>
      <c r="C800" t="n">
        <v>128.95</v>
      </c>
      <c r="D800" s="22" t="n">
        <v>45366</v>
      </c>
      <c r="E800" t="n">
        <v>150.15</v>
      </c>
      <c r="F800" s="22" t="n">
        <v>45390</v>
      </c>
      <c r="G800" t="n">
        <v>-16.44048080651417</v>
      </c>
    </row>
    <row r="801">
      <c r="A801" t="inlineStr">
        <is>
          <t>EKC</t>
        </is>
      </c>
      <c r="B801" t="inlineStr">
        <is>
          <t>Bull</t>
        </is>
      </c>
      <c r="C801" t="n">
        <v>123.4</v>
      </c>
      <c r="D801" s="22" t="n">
        <v>45242</v>
      </c>
      <c r="E801" t="n">
        <v>117.1</v>
      </c>
      <c r="F801" s="22" t="n">
        <v>45364</v>
      </c>
      <c r="G801" t="n">
        <v>-5.105348460291744</v>
      </c>
    </row>
    <row r="802">
      <c r="A802" t="inlineStr">
        <is>
          <t>EKC</t>
        </is>
      </c>
      <c r="B802" t="inlineStr">
        <is>
          <t>Bear</t>
        </is>
      </c>
      <c r="C802" t="n">
        <v>111.8</v>
      </c>
      <c r="D802" s="22" t="n">
        <v>45225</v>
      </c>
      <c r="E802" t="n">
        <v>120.5</v>
      </c>
      <c r="F802" s="22" t="n">
        <v>45239</v>
      </c>
      <c r="G802" t="n">
        <v>-7.781753130590342</v>
      </c>
    </row>
    <row r="803">
      <c r="A803" t="inlineStr">
        <is>
          <t>EKC</t>
        </is>
      </c>
      <c r="B803" t="inlineStr">
        <is>
          <t>Bull</t>
        </is>
      </c>
      <c r="C803" t="n">
        <v>115.55</v>
      </c>
      <c r="D803" s="22" t="n">
        <v>45222</v>
      </c>
      <c r="E803" t="n">
        <v>115.55</v>
      </c>
      <c r="F803" s="22" t="n">
        <v>45222</v>
      </c>
      <c r="G803" t="n">
        <v>0</v>
      </c>
    </row>
    <row r="804">
      <c r="A804" t="inlineStr">
        <is>
          <t>EKC</t>
        </is>
      </c>
      <c r="B804" t="inlineStr">
        <is>
          <t>Bear</t>
        </is>
      </c>
      <c r="C804" t="n">
        <v>115.45</v>
      </c>
      <c r="D804" s="22" t="n">
        <v>45209</v>
      </c>
      <c r="E804" t="n">
        <v>123.35</v>
      </c>
      <c r="F804" s="22" t="n">
        <v>45218</v>
      </c>
      <c r="G804" t="n">
        <v>-6.842789086184488</v>
      </c>
    </row>
    <row r="805">
      <c r="A805" t="inlineStr">
        <is>
          <t>EKC</t>
        </is>
      </c>
      <c r="B805" t="inlineStr">
        <is>
          <t>Bull</t>
        </is>
      </c>
      <c r="C805" t="n">
        <v>118.2</v>
      </c>
      <c r="D805" s="22" t="n">
        <v>45181</v>
      </c>
      <c r="E805" t="n">
        <v>116.65</v>
      </c>
      <c r="F805" s="22" t="n">
        <v>45205</v>
      </c>
      <c r="G805" t="n">
        <v>-1.311336717428086</v>
      </c>
    </row>
    <row r="806">
      <c r="A806" t="inlineStr">
        <is>
          <t>EKC</t>
        </is>
      </c>
      <c r="B806" t="inlineStr">
        <is>
          <t>Bear</t>
        </is>
      </c>
      <c r="C806" t="n">
        <v>110.25</v>
      </c>
      <c r="D806" s="22" t="n">
        <v>45166</v>
      </c>
      <c r="E806" t="n">
        <v>120.8</v>
      </c>
      <c r="F806" s="22" t="n">
        <v>45177</v>
      </c>
      <c r="G806" t="n">
        <v>-9.569160997732423</v>
      </c>
    </row>
    <row r="807">
      <c r="A807" t="inlineStr">
        <is>
          <t>EKC</t>
        </is>
      </c>
      <c r="B807" t="inlineStr">
        <is>
          <t>Bull</t>
        </is>
      </c>
      <c r="C807" t="n">
        <v>89.65000000000001</v>
      </c>
      <c r="D807" s="22" t="n">
        <v>45016</v>
      </c>
      <c r="E807" t="n">
        <v>114.4</v>
      </c>
      <c r="F807" s="22" t="n">
        <v>45162</v>
      </c>
      <c r="G807" t="n">
        <v>27.60736196319018</v>
      </c>
    </row>
    <row r="808">
      <c r="A808" t="inlineStr">
        <is>
          <t>FAZE3Q</t>
        </is>
      </c>
      <c r="B808" t="inlineStr">
        <is>
          <t>Bull</t>
        </is>
      </c>
      <c r="C808" t="n">
        <v>434.7</v>
      </c>
      <c r="D808" s="22" t="n">
        <v>45644</v>
      </c>
      <c r="E808" t="n">
        <v>433.5</v>
      </c>
      <c r="F808" s="22" t="n">
        <v>45660</v>
      </c>
      <c r="G808" t="n">
        <v>-0.2760524499654908</v>
      </c>
    </row>
    <row r="809">
      <c r="A809" t="inlineStr">
        <is>
          <t>FAZE3Q</t>
        </is>
      </c>
      <c r="B809" t="inlineStr">
        <is>
          <t>Bear</t>
        </is>
      </c>
      <c r="C809" t="n">
        <v>464</v>
      </c>
      <c r="D809" s="22" t="n">
        <v>45551</v>
      </c>
      <c r="E809" t="n">
        <v>434.8</v>
      </c>
      <c r="F809" s="22" t="n">
        <v>45642</v>
      </c>
      <c r="G809" t="n">
        <v>6.293103448275859</v>
      </c>
    </row>
    <row r="810">
      <c r="A810" t="inlineStr">
        <is>
          <t>FAZE3Q</t>
        </is>
      </c>
      <c r="B810" t="inlineStr">
        <is>
          <t>Bull</t>
        </is>
      </c>
      <c r="C810" t="n">
        <v>438.6</v>
      </c>
      <c r="D810" s="22" t="n">
        <v>45457</v>
      </c>
      <c r="E810" t="n">
        <v>470.6</v>
      </c>
      <c r="F810" s="22" t="n">
        <v>45547</v>
      </c>
      <c r="G810" t="n">
        <v>7.29594163246694</v>
      </c>
    </row>
    <row r="811">
      <c r="A811" t="inlineStr">
        <is>
          <t>FAZE3Q</t>
        </is>
      </c>
      <c r="B811" t="inlineStr">
        <is>
          <t>Bear</t>
        </is>
      </c>
      <c r="C811" t="n">
        <v>385.95</v>
      </c>
      <c r="D811" s="22" t="n">
        <v>45448</v>
      </c>
      <c r="E811" t="n">
        <v>422.7</v>
      </c>
      <c r="F811" s="22" t="n">
        <v>45455</v>
      </c>
      <c r="G811" t="n">
        <v>-9.521958802953751</v>
      </c>
    </row>
    <row r="812">
      <c r="A812" t="inlineStr">
        <is>
          <t>FAZE3Q</t>
        </is>
      </c>
      <c r="B812" t="inlineStr">
        <is>
          <t>Bull</t>
        </is>
      </c>
      <c r="C812" t="n">
        <v>428.25</v>
      </c>
      <c r="D812" s="22" t="n">
        <v>45418</v>
      </c>
      <c r="E812" t="n">
        <v>406.4</v>
      </c>
      <c r="F812" s="22" t="n">
        <v>45446</v>
      </c>
      <c r="G812" t="n">
        <v>-5.102159953298313</v>
      </c>
    </row>
    <row r="813">
      <c r="A813" t="inlineStr">
        <is>
          <t>FAZE3Q</t>
        </is>
      </c>
      <c r="B813" t="inlineStr">
        <is>
          <t>Bear</t>
        </is>
      </c>
      <c r="C813" t="n">
        <v>440</v>
      </c>
      <c r="D813" s="22" t="n">
        <v>45310</v>
      </c>
      <c r="E813" t="n">
        <v>427</v>
      </c>
      <c r="F813" s="22" t="n">
        <v>45414</v>
      </c>
      <c r="G813" t="n">
        <v>2.954545454545455</v>
      </c>
    </row>
    <row r="814">
      <c r="A814" t="inlineStr">
        <is>
          <t>FAZE3Q</t>
        </is>
      </c>
      <c r="B814" t="inlineStr">
        <is>
          <t>Bull</t>
        </is>
      </c>
      <c r="C814" t="n">
        <v>477.4</v>
      </c>
      <c r="D814" s="22" t="n">
        <v>45215</v>
      </c>
      <c r="E814" t="n">
        <v>440.75</v>
      </c>
      <c r="F814" s="22" t="n">
        <v>45308</v>
      </c>
      <c r="G814" t="n">
        <v>-7.677000418935899</v>
      </c>
    </row>
    <row r="815">
      <c r="A815" t="inlineStr">
        <is>
          <t>FAZE3Q</t>
        </is>
      </c>
      <c r="B815" t="inlineStr">
        <is>
          <t>Bear</t>
        </is>
      </c>
      <c r="C815" t="n">
        <v>373</v>
      </c>
      <c r="D815" s="22" t="n">
        <v>45196</v>
      </c>
      <c r="E815" t="n">
        <v>400.85</v>
      </c>
      <c r="F815" s="22" t="n">
        <v>45211</v>
      </c>
      <c r="G815" t="n">
        <v>-7.466487935656843</v>
      </c>
    </row>
    <row r="816">
      <c r="A816" t="inlineStr">
        <is>
          <t>FAZE3Q</t>
        </is>
      </c>
      <c r="B816" t="inlineStr">
        <is>
          <t>Bull</t>
        </is>
      </c>
      <c r="C816" t="n">
        <v>397.25</v>
      </c>
      <c r="D816" s="22" t="n">
        <v>45168</v>
      </c>
      <c r="E816" t="n">
        <v>374.5</v>
      </c>
      <c r="F816" s="22" t="n">
        <v>45194</v>
      </c>
      <c r="G816" t="n">
        <v>-5.726872246696035</v>
      </c>
    </row>
    <row r="817">
      <c r="A817" t="inlineStr">
        <is>
          <t>FDC</t>
        </is>
      </c>
      <c r="B817" t="inlineStr">
        <is>
          <t>Bear</t>
        </is>
      </c>
      <c r="C817" t="n">
        <v>520.7</v>
      </c>
      <c r="D817" s="22" t="n">
        <v>45594</v>
      </c>
      <c r="E817" t="n">
        <v>509.6</v>
      </c>
      <c r="F817" s="22" t="n">
        <v>45660</v>
      </c>
      <c r="G817" t="n">
        <v>2.131745726906092</v>
      </c>
    </row>
    <row r="818">
      <c r="A818" t="inlineStr">
        <is>
          <t>FDC</t>
        </is>
      </c>
      <c r="B818" t="inlineStr">
        <is>
          <t>Bull</t>
        </is>
      </c>
      <c r="C818" t="n">
        <v>458.45</v>
      </c>
      <c r="D818" s="22" t="n">
        <v>45463</v>
      </c>
      <c r="E818" t="n">
        <v>516.4</v>
      </c>
      <c r="F818" s="22" t="n">
        <v>45590</v>
      </c>
      <c r="G818" t="n">
        <v>12.64041880248664</v>
      </c>
    </row>
    <row r="819">
      <c r="A819" t="inlineStr">
        <is>
          <t>FDC</t>
        </is>
      </c>
      <c r="B819" t="inlineStr">
        <is>
          <t>Bear</t>
        </is>
      </c>
      <c r="C819" t="n">
        <v>448.65</v>
      </c>
      <c r="D819" s="22" t="n">
        <v>45453</v>
      </c>
      <c r="E819" t="n">
        <v>457.95</v>
      </c>
      <c r="F819" s="22" t="n">
        <v>45461</v>
      </c>
      <c r="G819" t="n">
        <v>-2.072885322634573</v>
      </c>
    </row>
    <row r="820">
      <c r="A820" t="inlineStr">
        <is>
          <t>FDC</t>
        </is>
      </c>
      <c r="B820" t="inlineStr">
        <is>
          <t>Bull</t>
        </is>
      </c>
      <c r="C820" t="n">
        <v>384.25</v>
      </c>
      <c r="D820" s="22" t="n">
        <v>45245</v>
      </c>
      <c r="E820" t="n">
        <v>435.45</v>
      </c>
      <c r="F820" s="22" t="n">
        <v>45449</v>
      </c>
      <c r="G820" t="n">
        <v>13.32465842550423</v>
      </c>
    </row>
    <row r="821">
      <c r="A821" t="inlineStr">
        <is>
          <t>FDC</t>
        </is>
      </c>
      <c r="B821" t="inlineStr">
        <is>
          <t>Bear</t>
        </is>
      </c>
      <c r="C821" t="n">
        <v>365</v>
      </c>
      <c r="D821" s="22" t="n">
        <v>45229</v>
      </c>
      <c r="E821" t="n">
        <v>387.2</v>
      </c>
      <c r="F821" s="22" t="n">
        <v>45242</v>
      </c>
      <c r="G821" t="n">
        <v>-6.082191780821915</v>
      </c>
    </row>
    <row r="822">
      <c r="A822" t="inlineStr">
        <is>
          <t>FDC</t>
        </is>
      </c>
      <c r="B822" t="inlineStr">
        <is>
          <t>Bull</t>
        </is>
      </c>
      <c r="C822" t="n">
        <v>290</v>
      </c>
      <c r="D822" s="22" t="n">
        <v>45037</v>
      </c>
      <c r="E822" t="n">
        <v>352.7</v>
      </c>
      <c r="F822" s="22" t="n">
        <v>45225</v>
      </c>
      <c r="G822" t="n">
        <v>21.62068965517241</v>
      </c>
    </row>
    <row r="823">
      <c r="A823" t="inlineStr">
        <is>
          <t>FEDERALBNK</t>
        </is>
      </c>
      <c r="B823" t="inlineStr">
        <is>
          <t>Bear</t>
        </is>
      </c>
      <c r="C823" t="n">
        <v>206.14</v>
      </c>
      <c r="D823" s="22" t="n">
        <v>45659</v>
      </c>
      <c r="E823" t="n">
        <v>205.25</v>
      </c>
      <c r="F823" s="22" t="n">
        <v>45660</v>
      </c>
      <c r="G823" t="n">
        <v>0.4317454157368713</v>
      </c>
    </row>
    <row r="824">
      <c r="A824" t="inlineStr">
        <is>
          <t>FEDERALBNK</t>
        </is>
      </c>
      <c r="B824" t="inlineStr">
        <is>
          <t>Bull</t>
        </is>
      </c>
      <c r="C824" t="n">
        <v>203.24</v>
      </c>
      <c r="D824" s="22" t="n">
        <v>45595</v>
      </c>
      <c r="E824" t="n">
        <v>200.02</v>
      </c>
      <c r="F824" s="22" t="n">
        <v>45657</v>
      </c>
      <c r="G824" t="n">
        <v>-1.584333792560519</v>
      </c>
    </row>
    <row r="825">
      <c r="A825" t="inlineStr">
        <is>
          <t>FEDERALBNK</t>
        </is>
      </c>
      <c r="B825" t="inlineStr">
        <is>
          <t>Bear</t>
        </is>
      </c>
      <c r="C825" t="n">
        <v>138</v>
      </c>
      <c r="D825" s="22" t="n">
        <v>44943</v>
      </c>
      <c r="E825" t="n">
        <v>184.99</v>
      </c>
      <c r="F825" s="22" t="n">
        <v>45593</v>
      </c>
      <c r="G825" t="n">
        <v>-34.05072463768117</v>
      </c>
    </row>
    <row r="826">
      <c r="A826" t="inlineStr">
        <is>
          <t>FEDERALBNK</t>
        </is>
      </c>
      <c r="B826" t="inlineStr">
        <is>
          <t>Bull</t>
        </is>
      </c>
      <c r="C826" t="n">
        <v>194.4</v>
      </c>
      <c r="D826" s="22" t="n">
        <v>45581</v>
      </c>
      <c r="E826" t="n">
        <v>186.24</v>
      </c>
      <c r="F826" s="22" t="n">
        <v>45590</v>
      </c>
      <c r="G826" t="n">
        <v>-4.197530864197529</v>
      </c>
    </row>
    <row r="827">
      <c r="A827" t="inlineStr">
        <is>
          <t>FEDERALBNK</t>
        </is>
      </c>
      <c r="B827" t="inlineStr">
        <is>
          <t>Bear</t>
        </is>
      </c>
      <c r="C827" t="n">
        <v>185.68</v>
      </c>
      <c r="D827" s="22" t="n">
        <v>45575</v>
      </c>
      <c r="E827" t="n">
        <v>196.74</v>
      </c>
      <c r="F827" s="22" t="n">
        <v>45579</v>
      </c>
      <c r="G827" t="n">
        <v>-5.95648427401982</v>
      </c>
    </row>
    <row r="828">
      <c r="A828" t="inlineStr">
        <is>
          <t>FEDERALBNK</t>
        </is>
      </c>
      <c r="B828" t="inlineStr">
        <is>
          <t>Bull</t>
        </is>
      </c>
      <c r="C828" t="n">
        <v>193.67</v>
      </c>
      <c r="D828" s="22" t="n">
        <v>45569</v>
      </c>
      <c r="E828" t="n">
        <v>187.76</v>
      </c>
      <c r="F828" s="22" t="n">
        <v>45573</v>
      </c>
      <c r="G828" t="n">
        <v>-3.051582588939948</v>
      </c>
    </row>
    <row r="829">
      <c r="A829" t="inlineStr">
        <is>
          <t>FEDERALBNK</t>
        </is>
      </c>
      <c r="B829" t="inlineStr">
        <is>
          <t>Bear</t>
        </is>
      </c>
      <c r="C829" t="n">
        <v>184.69</v>
      </c>
      <c r="D829" s="22" t="n">
        <v>45551</v>
      </c>
      <c r="E829" t="n">
        <v>197.12</v>
      </c>
      <c r="F829" s="22" t="n">
        <v>45566</v>
      </c>
      <c r="G829" t="n">
        <v>-6.730196545562839</v>
      </c>
    </row>
    <row r="830">
      <c r="A830" t="inlineStr">
        <is>
          <t>FEDERALBNK</t>
        </is>
      </c>
      <c r="B830" t="inlineStr">
        <is>
          <t>Bull</t>
        </is>
      </c>
      <c r="C830" t="n">
        <v>152.45</v>
      </c>
      <c r="D830" s="22" t="n">
        <v>45386</v>
      </c>
      <c r="E830" t="n">
        <v>183.58</v>
      </c>
      <c r="F830" s="22" t="n">
        <v>45547</v>
      </c>
      <c r="G830" t="n">
        <v>20.41980977369631</v>
      </c>
    </row>
    <row r="831">
      <c r="A831" t="inlineStr">
        <is>
          <t>FEDERALBNK</t>
        </is>
      </c>
      <c r="B831" t="inlineStr">
        <is>
          <t>Bear</t>
        </is>
      </c>
      <c r="C831" t="n">
        <v>149.95</v>
      </c>
      <c r="D831" s="22" t="n">
        <v>45372</v>
      </c>
      <c r="E831" t="n">
        <v>154.05</v>
      </c>
      <c r="F831" s="22" t="n">
        <v>45384</v>
      </c>
      <c r="G831" t="n">
        <v>-2.734244748249432</v>
      </c>
    </row>
    <row r="832">
      <c r="A832" t="inlineStr">
        <is>
          <t>FEDERALBNK</t>
        </is>
      </c>
      <c r="B832" t="inlineStr">
        <is>
          <t>Bull</t>
        </is>
      </c>
      <c r="C832" t="n">
        <v>162.95</v>
      </c>
      <c r="D832" s="22" t="n">
        <v>45341</v>
      </c>
      <c r="E832" t="n">
        <v>147.5</v>
      </c>
      <c r="F832" s="22" t="n">
        <v>45370</v>
      </c>
      <c r="G832" t="n">
        <v>-9.481436023320031</v>
      </c>
    </row>
    <row r="833">
      <c r="A833" t="inlineStr">
        <is>
          <t>FEDERALBNK</t>
        </is>
      </c>
      <c r="B833" t="inlineStr">
        <is>
          <t>Bear</t>
        </is>
      </c>
      <c r="C833" t="n">
        <v>140.25</v>
      </c>
      <c r="D833" s="22" t="n">
        <v>45314</v>
      </c>
      <c r="E833" t="n">
        <v>156.6</v>
      </c>
      <c r="F833" s="22" t="n">
        <v>45337</v>
      </c>
      <c r="G833" t="n">
        <v>-11.65775401069518</v>
      </c>
    </row>
    <row r="834">
      <c r="A834" t="inlineStr">
        <is>
          <t>FEDERALBNK</t>
        </is>
      </c>
      <c r="B834" t="inlineStr">
        <is>
          <t>Bull</t>
        </is>
      </c>
      <c r="C834" t="n">
        <v>134.8</v>
      </c>
      <c r="D834" s="22" t="n">
        <v>45114</v>
      </c>
      <c r="E834" t="n">
        <v>146.55</v>
      </c>
      <c r="F834" s="22" t="n">
        <v>45310</v>
      </c>
      <c r="G834" t="n">
        <v>8.716617210682493</v>
      </c>
    </row>
    <row r="835">
      <c r="A835" t="inlineStr">
        <is>
          <t>FEDERALBNK</t>
        </is>
      </c>
      <c r="B835" t="inlineStr">
        <is>
          <t>Bear</t>
        </is>
      </c>
      <c r="C835" t="n">
        <v>127.5</v>
      </c>
      <c r="D835" s="22" t="n">
        <v>45061</v>
      </c>
      <c r="E835" t="n">
        <v>133.4</v>
      </c>
      <c r="F835" s="22" t="n">
        <v>45112</v>
      </c>
      <c r="G835" t="n">
        <v>-4.627450980392162</v>
      </c>
    </row>
    <row r="836">
      <c r="A836" t="inlineStr">
        <is>
          <t>FINEORG</t>
        </is>
      </c>
      <c r="B836" t="inlineStr">
        <is>
          <t>Bear</t>
        </is>
      </c>
      <c r="C836" t="n">
        <v>4853.8</v>
      </c>
      <c r="D836" s="22" t="n">
        <v>45645</v>
      </c>
      <c r="E836" t="n">
        <v>4523.1</v>
      </c>
      <c r="F836" s="22" t="n">
        <v>45660</v>
      </c>
      <c r="G836" t="n">
        <v>6.813218509209275</v>
      </c>
    </row>
    <row r="837">
      <c r="A837" t="inlineStr">
        <is>
          <t>FINEORG</t>
        </is>
      </c>
      <c r="B837" t="inlineStr">
        <is>
          <t>Bull</t>
        </is>
      </c>
      <c r="C837" t="n">
        <v>5098.9</v>
      </c>
      <c r="D837" s="22" t="n">
        <v>45631</v>
      </c>
      <c r="E837" t="n">
        <v>4894.7</v>
      </c>
      <c r="F837" s="22" t="n">
        <v>45643</v>
      </c>
      <c r="G837" t="n">
        <v>-4.004785345858908</v>
      </c>
    </row>
    <row r="838">
      <c r="A838" t="inlineStr">
        <is>
          <t>FINEORG</t>
        </is>
      </c>
      <c r="B838" t="inlineStr">
        <is>
          <t>Bear</t>
        </is>
      </c>
      <c r="C838" t="n">
        <v>5015.95</v>
      </c>
      <c r="D838" s="22" t="n">
        <v>45573</v>
      </c>
      <c r="E838" t="n">
        <v>5229.65</v>
      </c>
      <c r="F838" s="22" t="n">
        <v>45629</v>
      </c>
      <c r="G838" t="n">
        <v>-4.260409294351017</v>
      </c>
    </row>
    <row r="839">
      <c r="A839" t="inlineStr">
        <is>
          <t>FINEORG</t>
        </is>
      </c>
      <c r="B839" t="inlineStr">
        <is>
          <t>Bull</t>
        </is>
      </c>
      <c r="C839" t="n">
        <v>4481.85</v>
      </c>
      <c r="D839" s="22" t="n">
        <v>45408</v>
      </c>
      <c r="E839" t="n">
        <v>5141.7</v>
      </c>
      <c r="F839" s="22" t="n">
        <v>45569</v>
      </c>
      <c r="G839" t="n">
        <v>14.72271495029953</v>
      </c>
    </row>
    <row r="840">
      <c r="A840" t="inlineStr">
        <is>
          <t>FINEORG</t>
        </is>
      </c>
      <c r="B840" t="inlineStr">
        <is>
          <t>Bear</t>
        </is>
      </c>
      <c r="C840" t="n">
        <v>4443.95</v>
      </c>
      <c r="D840" s="22" t="n">
        <v>45330</v>
      </c>
      <c r="E840" t="n">
        <v>4451.45</v>
      </c>
      <c r="F840" s="22" t="n">
        <v>45406</v>
      </c>
      <c r="G840" t="n">
        <v>-0.1687687755262773</v>
      </c>
    </row>
    <row r="841">
      <c r="A841" t="inlineStr">
        <is>
          <t>FINEORG</t>
        </is>
      </c>
      <c r="B841" t="inlineStr">
        <is>
          <t>Bull</t>
        </is>
      </c>
      <c r="C841" t="n">
        <v>5031.95</v>
      </c>
      <c r="D841" s="22" t="n">
        <v>45287</v>
      </c>
      <c r="E841" t="n">
        <v>4495.05</v>
      </c>
      <c r="F841" s="22" t="n">
        <v>45328</v>
      </c>
      <c r="G841" t="n">
        <v>-10.66981985115114</v>
      </c>
    </row>
    <row r="842">
      <c r="A842" t="inlineStr">
        <is>
          <t>FINEORG</t>
        </is>
      </c>
      <c r="B842" t="inlineStr">
        <is>
          <t>Bear</t>
        </is>
      </c>
      <c r="C842" t="n">
        <v>4489.55</v>
      </c>
      <c r="D842" s="22" t="n">
        <v>45225</v>
      </c>
      <c r="E842" t="n">
        <v>4610</v>
      </c>
      <c r="F842" s="22" t="n">
        <v>45282</v>
      </c>
      <c r="G842" t="n">
        <v>-2.682896949582916</v>
      </c>
    </row>
    <row r="843">
      <c r="A843" t="inlineStr">
        <is>
          <t>FINEORG</t>
        </is>
      </c>
      <c r="B843" t="inlineStr">
        <is>
          <t>Bull</t>
        </is>
      </c>
      <c r="C843" t="n">
        <v>4870</v>
      </c>
      <c r="D843" s="22" t="n">
        <v>45173</v>
      </c>
      <c r="E843" t="n">
        <v>4658</v>
      </c>
      <c r="F843" s="22" t="n">
        <v>45222</v>
      </c>
      <c r="G843" t="n">
        <v>-4.353182751540041</v>
      </c>
    </row>
    <row r="844">
      <c r="A844" t="inlineStr">
        <is>
          <t>FINEORG</t>
        </is>
      </c>
      <c r="B844" t="inlineStr">
        <is>
          <t>Bear</t>
        </is>
      </c>
      <c r="C844" t="n">
        <v>4488</v>
      </c>
      <c r="D844" s="22" t="n">
        <v>45135</v>
      </c>
      <c r="E844" t="n">
        <v>4800.05</v>
      </c>
      <c r="F844" s="22" t="n">
        <v>45169</v>
      </c>
      <c r="G844" t="n">
        <v>-6.95298573975045</v>
      </c>
    </row>
    <row r="845">
      <c r="A845" t="inlineStr">
        <is>
          <t>FINEORG</t>
        </is>
      </c>
      <c r="B845" t="inlineStr">
        <is>
          <t>Bull</t>
        </is>
      </c>
      <c r="C845" t="n">
        <v>5000.9</v>
      </c>
      <c r="D845" s="22" t="n">
        <v>45084</v>
      </c>
      <c r="E845" t="n">
        <v>4727</v>
      </c>
      <c r="F845" s="22" t="n">
        <v>45133</v>
      </c>
      <c r="G845" t="n">
        <v>-5.477014137455251</v>
      </c>
    </row>
    <row r="846">
      <c r="A846" t="inlineStr">
        <is>
          <t>FINEORG</t>
        </is>
      </c>
      <c r="B846" t="inlineStr">
        <is>
          <t>Bear</t>
        </is>
      </c>
      <c r="C846" t="n">
        <v>5977.85</v>
      </c>
      <c r="D846" s="22" t="n">
        <v>44869</v>
      </c>
      <c r="E846" t="n">
        <v>4769.65</v>
      </c>
      <c r="F846" s="22" t="n">
        <v>45082</v>
      </c>
      <c r="G846" t="n">
        <v>20.21127997524195</v>
      </c>
    </row>
    <row r="847">
      <c r="A847" t="inlineStr">
        <is>
          <t>FCL</t>
        </is>
      </c>
      <c r="B847" t="inlineStr">
        <is>
          <t>Bear</t>
        </is>
      </c>
      <c r="C847" t="n">
        <v>377.2</v>
      </c>
      <c r="D847" s="22" t="n">
        <v>45595</v>
      </c>
      <c r="E847" t="n">
        <v>341.8</v>
      </c>
      <c r="F847" s="22" t="n">
        <v>45660</v>
      </c>
      <c r="G847" t="n">
        <v>9.384941675503706</v>
      </c>
    </row>
    <row r="848">
      <c r="A848" t="inlineStr">
        <is>
          <t>FCL</t>
        </is>
      </c>
      <c r="B848" t="inlineStr">
        <is>
          <t>Bull</t>
        </is>
      </c>
      <c r="C848" t="n">
        <v>404.5</v>
      </c>
      <c r="D848" s="22" t="n">
        <v>45547</v>
      </c>
      <c r="E848" t="n">
        <v>368.1</v>
      </c>
      <c r="F848" s="22" t="n">
        <v>45593</v>
      </c>
      <c r="G848" t="n">
        <v>-8.998763906056855</v>
      </c>
    </row>
    <row r="849">
      <c r="A849" t="inlineStr">
        <is>
          <t>FCL</t>
        </is>
      </c>
      <c r="B849" t="inlineStr">
        <is>
          <t>Bear</t>
        </is>
      </c>
      <c r="C849" t="n">
        <v>351.7</v>
      </c>
      <c r="D849" s="22" t="n">
        <v>45518</v>
      </c>
      <c r="E849" t="n">
        <v>375.25</v>
      </c>
      <c r="F849" s="22" t="n">
        <v>45545</v>
      </c>
      <c r="G849" t="n">
        <v>-6.696047767984082</v>
      </c>
    </row>
    <row r="850">
      <c r="A850" t="inlineStr">
        <is>
          <t>FCL</t>
        </is>
      </c>
      <c r="B850" t="inlineStr">
        <is>
          <t>Bull</t>
        </is>
      </c>
      <c r="C850" t="n">
        <v>381.6</v>
      </c>
      <c r="D850" s="22" t="n">
        <v>45504</v>
      </c>
      <c r="E850" t="n">
        <v>367.6</v>
      </c>
      <c r="F850" s="22" t="n">
        <v>45516</v>
      </c>
      <c r="G850" t="n">
        <v>-3.668763102725367</v>
      </c>
    </row>
    <row r="851">
      <c r="A851" t="inlineStr">
        <is>
          <t>FCL</t>
        </is>
      </c>
      <c r="B851" t="inlineStr">
        <is>
          <t>Bear</t>
        </is>
      </c>
      <c r="C851" t="n">
        <v>369.7</v>
      </c>
      <c r="D851" s="22" t="n">
        <v>45498</v>
      </c>
      <c r="E851" t="n">
        <v>378.05</v>
      </c>
      <c r="F851" s="22" t="n">
        <v>45502</v>
      </c>
      <c r="G851" t="n">
        <v>-2.258588044360298</v>
      </c>
    </row>
    <row r="852">
      <c r="A852" t="inlineStr">
        <is>
          <t>FCL</t>
        </is>
      </c>
      <c r="B852" t="inlineStr">
        <is>
          <t>Bull</t>
        </is>
      </c>
      <c r="C852" t="n">
        <v>389.1</v>
      </c>
      <c r="D852" s="22" t="n">
        <v>45468</v>
      </c>
      <c r="E852" t="n">
        <v>361.7</v>
      </c>
      <c r="F852" s="22" t="n">
        <v>45496</v>
      </c>
      <c r="G852" t="n">
        <v>-7.041891544590088</v>
      </c>
    </row>
    <row r="853">
      <c r="A853" t="inlineStr">
        <is>
          <t>FCL</t>
        </is>
      </c>
      <c r="B853" t="inlineStr">
        <is>
          <t>Bear</t>
        </is>
      </c>
      <c r="C853" t="n">
        <v>361.7</v>
      </c>
      <c r="D853" s="22" t="n">
        <v>45419</v>
      </c>
      <c r="E853" t="n">
        <v>390.15</v>
      </c>
      <c r="F853" s="22" t="n">
        <v>45464</v>
      </c>
      <c r="G853" t="n">
        <v>-7.865634503732371</v>
      </c>
    </row>
    <row r="854">
      <c r="A854" t="inlineStr">
        <is>
          <t>FCL</t>
        </is>
      </c>
      <c r="B854" t="inlineStr">
        <is>
          <t>Bull</t>
        </is>
      </c>
      <c r="C854" t="n">
        <v>376.35</v>
      </c>
      <c r="D854" s="22" t="n">
        <v>45397</v>
      </c>
      <c r="E854" t="n">
        <v>372.6</v>
      </c>
      <c r="F854" s="22" t="n">
        <v>45415</v>
      </c>
      <c r="G854" t="n">
        <v>-0.9964129135113591</v>
      </c>
    </row>
    <row r="855">
      <c r="A855" t="inlineStr">
        <is>
          <t>FCL</t>
        </is>
      </c>
      <c r="B855" t="inlineStr">
        <is>
          <t>Bear</t>
        </is>
      </c>
      <c r="C855" t="n">
        <v>382.95</v>
      </c>
      <c r="D855" s="22" t="n">
        <v>45373</v>
      </c>
      <c r="E855" t="n">
        <v>384.3</v>
      </c>
      <c r="F855" s="22" t="n">
        <v>45392</v>
      </c>
      <c r="G855" t="n">
        <v>-0.3525264394829672</v>
      </c>
    </row>
    <row r="856">
      <c r="A856" t="inlineStr">
        <is>
          <t>FCL</t>
        </is>
      </c>
      <c r="B856" t="inlineStr">
        <is>
          <t>Bull</t>
        </is>
      </c>
      <c r="C856" t="n">
        <v>390.6</v>
      </c>
      <c r="D856" s="22" t="n">
        <v>45335</v>
      </c>
      <c r="E856" t="n">
        <v>339.6</v>
      </c>
      <c r="F856" s="22" t="n">
        <v>45371</v>
      </c>
      <c r="G856" t="n">
        <v>-13.0568356374808</v>
      </c>
    </row>
    <row r="857">
      <c r="A857" t="inlineStr">
        <is>
          <t>FCL</t>
        </is>
      </c>
      <c r="B857" t="inlineStr">
        <is>
          <t>Bear</t>
        </is>
      </c>
      <c r="C857" t="n">
        <v>325.65</v>
      </c>
      <c r="D857" s="22" t="n">
        <v>45315</v>
      </c>
      <c r="E857" t="n">
        <v>374</v>
      </c>
      <c r="F857" s="22" t="n">
        <v>45331</v>
      </c>
      <c r="G857" t="n">
        <v>-14.84722861968372</v>
      </c>
    </row>
    <row r="858">
      <c r="A858" t="inlineStr">
        <is>
          <t>FCL</t>
        </is>
      </c>
      <c r="B858" t="inlineStr">
        <is>
          <t>Bull</t>
        </is>
      </c>
      <c r="C858" t="n">
        <v>329.35</v>
      </c>
      <c r="D858" s="22" t="n">
        <v>45245</v>
      </c>
      <c r="E858" t="n">
        <v>334.3</v>
      </c>
      <c r="F858" s="22" t="n">
        <v>45311</v>
      </c>
      <c r="G858" t="n">
        <v>1.502960376499161</v>
      </c>
    </row>
    <row r="859">
      <c r="A859" t="inlineStr">
        <is>
          <t>FCL</t>
        </is>
      </c>
      <c r="B859" t="inlineStr">
        <is>
          <t>Bear</t>
        </is>
      </c>
      <c r="C859" t="n">
        <v>297.75</v>
      </c>
      <c r="D859" s="22" t="n">
        <v>45230</v>
      </c>
      <c r="E859" t="n">
        <v>323.25</v>
      </c>
      <c r="F859" s="22" t="n">
        <v>45242</v>
      </c>
      <c r="G859" t="n">
        <v>-8.564231738035264</v>
      </c>
    </row>
    <row r="860">
      <c r="A860" t="inlineStr">
        <is>
          <t>FCL</t>
        </is>
      </c>
      <c r="B860" t="inlineStr">
        <is>
          <t>Bull</t>
        </is>
      </c>
      <c r="C860" t="n">
        <v>312.1</v>
      </c>
      <c r="D860" s="22" t="n">
        <v>45169</v>
      </c>
      <c r="E860" t="n">
        <v>298.3</v>
      </c>
      <c r="F860" s="22" t="n">
        <v>45226</v>
      </c>
      <c r="G860" t="n">
        <v>-4.421659724447296</v>
      </c>
    </row>
    <row r="861">
      <c r="A861" t="inlineStr">
        <is>
          <t>FCL</t>
        </is>
      </c>
      <c r="B861" t="inlineStr">
        <is>
          <t>Bear</t>
        </is>
      </c>
      <c r="C861" t="n">
        <v>280.9</v>
      </c>
      <c r="D861" s="22" t="n">
        <v>45160</v>
      </c>
      <c r="E861" t="n">
        <v>304.3</v>
      </c>
      <c r="F861" s="22" t="n">
        <v>45167</v>
      </c>
      <c r="G861" t="n">
        <v>-8.330366678533299</v>
      </c>
    </row>
    <row r="862">
      <c r="A862" t="inlineStr">
        <is>
          <t>FCL</t>
        </is>
      </c>
      <c r="B862" t="inlineStr">
        <is>
          <t>Bull</t>
        </is>
      </c>
      <c r="C862" t="n">
        <v>294.9</v>
      </c>
      <c r="D862" s="22" t="n">
        <v>45135</v>
      </c>
      <c r="E862" t="n">
        <v>277.25</v>
      </c>
      <c r="F862" s="22" t="n">
        <v>45156</v>
      </c>
      <c r="G862" t="n">
        <v>-5.985079688029833</v>
      </c>
    </row>
    <row r="863">
      <c r="A863" t="inlineStr">
        <is>
          <t>FCL</t>
        </is>
      </c>
      <c r="B863" t="inlineStr">
        <is>
          <t>Bear</t>
        </is>
      </c>
      <c r="C863" t="n">
        <v>284.15</v>
      </c>
      <c r="D863" s="22" t="n">
        <v>45128</v>
      </c>
      <c r="E863" t="n">
        <v>303.3</v>
      </c>
      <c r="F863" s="22" t="n">
        <v>45133</v>
      </c>
      <c r="G863" t="n">
        <v>-6.739398205173336</v>
      </c>
    </row>
    <row r="864">
      <c r="A864" t="inlineStr">
        <is>
          <t>FCL</t>
        </is>
      </c>
      <c r="B864" t="inlineStr">
        <is>
          <t>Bull</t>
        </is>
      </c>
      <c r="C864" t="n">
        <v>240.1</v>
      </c>
      <c r="D864" s="22" t="n">
        <v>45041</v>
      </c>
      <c r="E864" t="n">
        <v>274.95</v>
      </c>
      <c r="F864" s="22" t="n">
        <v>45126</v>
      </c>
      <c r="G864" t="n">
        <v>14.51478550603915</v>
      </c>
    </row>
    <row r="865">
      <c r="A865" t="inlineStr">
        <is>
          <t>FINCABLES</t>
        </is>
      </c>
      <c r="B865" t="inlineStr">
        <is>
          <t>Bear</t>
        </is>
      </c>
      <c r="C865" t="n">
        <v>1440.45</v>
      </c>
      <c r="D865" s="22" t="n">
        <v>45533</v>
      </c>
      <c r="E865" t="n">
        <v>1154.35</v>
      </c>
      <c r="F865" s="22" t="n">
        <v>45660</v>
      </c>
      <c r="G865" t="n">
        <v>19.86184872782812</v>
      </c>
    </row>
    <row r="866">
      <c r="A866" t="inlineStr">
        <is>
          <t>FINCABLES</t>
        </is>
      </c>
      <c r="B866" t="inlineStr">
        <is>
          <t>Bull</t>
        </is>
      </c>
      <c r="C866" t="n">
        <v>970.45</v>
      </c>
      <c r="D866" s="22" t="n">
        <v>45401</v>
      </c>
      <c r="E866" t="n">
        <v>1482.7</v>
      </c>
      <c r="F866" s="22" t="n">
        <v>45531</v>
      </c>
      <c r="G866" t="n">
        <v>52.78479056107991</v>
      </c>
    </row>
    <row r="867">
      <c r="A867" t="inlineStr">
        <is>
          <t>FINCABLES</t>
        </is>
      </c>
      <c r="B867" t="inlineStr">
        <is>
          <t>Bear</t>
        </is>
      </c>
      <c r="C867" t="n">
        <v>993.5</v>
      </c>
      <c r="D867" s="22" t="n">
        <v>45342</v>
      </c>
      <c r="E867" t="n">
        <v>984</v>
      </c>
      <c r="F867" s="22" t="n">
        <v>45398</v>
      </c>
      <c r="G867" t="n">
        <v>0.9562154001006542</v>
      </c>
    </row>
    <row r="868">
      <c r="A868" t="inlineStr">
        <is>
          <t>FINCABLES</t>
        </is>
      </c>
      <c r="B868" t="inlineStr">
        <is>
          <t>Bull</t>
        </is>
      </c>
      <c r="C868" t="n">
        <v>1032.15</v>
      </c>
      <c r="D868" s="22" t="n">
        <v>45268</v>
      </c>
      <c r="E868" t="n">
        <v>999.05</v>
      </c>
      <c r="F868" s="22" t="n">
        <v>45338</v>
      </c>
      <c r="G868" t="n">
        <v>-3.206898222157645</v>
      </c>
    </row>
    <row r="869">
      <c r="A869" t="inlineStr">
        <is>
          <t>FINCABLES</t>
        </is>
      </c>
      <c r="B869" t="inlineStr">
        <is>
          <t>Bear</t>
        </is>
      </c>
      <c r="C869" t="n">
        <v>921.85</v>
      </c>
      <c r="D869" s="22" t="n">
        <v>45217</v>
      </c>
      <c r="E869" t="n">
        <v>1050.8</v>
      </c>
      <c r="F869" s="22" t="n">
        <v>45266</v>
      </c>
      <c r="G869" t="n">
        <v>-13.98817595053424</v>
      </c>
    </row>
    <row r="870">
      <c r="A870" t="inlineStr">
        <is>
          <t>FINCABLES</t>
        </is>
      </c>
      <c r="B870" t="inlineStr">
        <is>
          <t>Bull</t>
        </is>
      </c>
      <c r="C870" t="n">
        <v>862.2</v>
      </c>
      <c r="D870" s="22" t="n">
        <v>45124</v>
      </c>
      <c r="E870" t="n">
        <v>964.8</v>
      </c>
      <c r="F870" s="22" t="n">
        <v>45215</v>
      </c>
      <c r="G870" t="n">
        <v>11.89979123173276</v>
      </c>
    </row>
    <row r="871">
      <c r="A871" t="inlineStr">
        <is>
          <t>FINCABLES</t>
        </is>
      </c>
      <c r="B871" t="inlineStr">
        <is>
          <t>Bear</t>
        </is>
      </c>
      <c r="C871" t="n">
        <v>801.8</v>
      </c>
      <c r="D871" s="22" t="n">
        <v>45086</v>
      </c>
      <c r="E871" t="n">
        <v>865</v>
      </c>
      <c r="F871" s="22" t="n">
        <v>45120</v>
      </c>
      <c r="G871" t="n">
        <v>-7.882264903966083</v>
      </c>
    </row>
    <row r="872">
      <c r="A872" t="inlineStr">
        <is>
          <t>FINCABLES</t>
        </is>
      </c>
      <c r="B872" t="inlineStr">
        <is>
          <t>Bull</t>
        </is>
      </c>
      <c r="C872" t="n">
        <v>416.3</v>
      </c>
      <c r="D872" s="22" t="n">
        <v>44753</v>
      </c>
      <c r="E872" t="n">
        <v>798.75</v>
      </c>
      <c r="F872" s="22" t="n">
        <v>45084</v>
      </c>
      <c r="G872" t="n">
        <v>91.86884458323324</v>
      </c>
    </row>
    <row r="873">
      <c r="A873" t="inlineStr">
        <is>
          <t>FSL</t>
        </is>
      </c>
      <c r="B873" t="inlineStr">
        <is>
          <t>Bull</t>
        </is>
      </c>
      <c r="C873" t="n">
        <v>205.87</v>
      </c>
      <c r="D873" s="22" t="n">
        <v>45464</v>
      </c>
      <c r="E873" t="n">
        <v>401.25</v>
      </c>
      <c r="F873" s="22" t="n">
        <v>45660</v>
      </c>
      <c r="G873" t="n">
        <v>94.90455141594209</v>
      </c>
    </row>
    <row r="874">
      <c r="A874" t="inlineStr">
        <is>
          <t>FSL</t>
        </is>
      </c>
      <c r="B874" t="inlineStr">
        <is>
          <t>Bear</t>
        </is>
      </c>
      <c r="C874" t="n">
        <v>184.05</v>
      </c>
      <c r="D874" s="22" t="n">
        <v>45425</v>
      </c>
      <c r="E874" t="n">
        <v>198.55</v>
      </c>
      <c r="F874" s="22" t="n">
        <v>45462</v>
      </c>
      <c r="G874" t="n">
        <v>-7.878293941863623</v>
      </c>
    </row>
    <row r="875">
      <c r="A875" t="inlineStr">
        <is>
          <t>FSL</t>
        </is>
      </c>
      <c r="B875" t="inlineStr">
        <is>
          <t>Bull</t>
        </is>
      </c>
      <c r="C875" t="n">
        <v>202.3</v>
      </c>
      <c r="D875" s="22" t="n">
        <v>45387</v>
      </c>
      <c r="E875" t="n">
        <v>185.45</v>
      </c>
      <c r="F875" s="22" t="n">
        <v>45421</v>
      </c>
      <c r="G875" t="n">
        <v>-8.329214038556609</v>
      </c>
    </row>
    <row r="876">
      <c r="A876" t="inlineStr">
        <is>
          <t>FSL</t>
        </is>
      </c>
      <c r="B876" t="inlineStr">
        <is>
          <t>Bear</t>
        </is>
      </c>
      <c r="C876" t="n">
        <v>186.95</v>
      </c>
      <c r="D876" s="22" t="n">
        <v>45371</v>
      </c>
      <c r="E876" t="n">
        <v>202.05</v>
      </c>
      <c r="F876" s="22" t="n">
        <v>45385</v>
      </c>
      <c r="G876" t="n">
        <v>-8.077025942765458</v>
      </c>
    </row>
    <row r="877">
      <c r="A877" t="inlineStr">
        <is>
          <t>FSL</t>
        </is>
      </c>
      <c r="B877" t="inlineStr">
        <is>
          <t>Bull</t>
        </is>
      </c>
      <c r="C877" t="n">
        <v>115</v>
      </c>
      <c r="D877" s="22" t="n">
        <v>45037</v>
      </c>
      <c r="E877" t="n">
        <v>190.2</v>
      </c>
      <c r="F877" s="22" t="n">
        <v>45369</v>
      </c>
      <c r="G877" t="n">
        <v>65.39130434782608</v>
      </c>
    </row>
    <row r="878">
      <c r="A878" t="inlineStr">
        <is>
          <t>GNFC</t>
        </is>
      </c>
      <c r="B878" t="inlineStr">
        <is>
          <t>Bear</t>
        </is>
      </c>
      <c r="C878" t="n">
        <v>660.1</v>
      </c>
      <c r="D878" s="22" t="n">
        <v>45548</v>
      </c>
      <c r="E878" t="n">
        <v>567</v>
      </c>
      <c r="F878" s="22" t="n">
        <v>45660</v>
      </c>
      <c r="G878" t="n">
        <v>14.10392364793213</v>
      </c>
    </row>
    <row r="879">
      <c r="A879" t="inlineStr">
        <is>
          <t>GNFC</t>
        </is>
      </c>
      <c r="B879" t="inlineStr">
        <is>
          <t>Bull</t>
        </is>
      </c>
      <c r="C879" t="n">
        <v>680.55</v>
      </c>
      <c r="D879" s="22" t="n">
        <v>45541</v>
      </c>
      <c r="E879" t="n">
        <v>655.35</v>
      </c>
      <c r="F879" s="22" t="n">
        <v>45546</v>
      </c>
      <c r="G879" t="n">
        <v>-3.702887370509137</v>
      </c>
    </row>
    <row r="880">
      <c r="A880" t="inlineStr">
        <is>
          <t>GNFC</t>
        </is>
      </c>
      <c r="B880" t="inlineStr">
        <is>
          <t>Bear</t>
        </is>
      </c>
      <c r="C880" t="n">
        <v>666.45</v>
      </c>
      <c r="D880" s="22" t="n">
        <v>45511</v>
      </c>
      <c r="E880" t="n">
        <v>695.9</v>
      </c>
      <c r="F880" s="22" t="n">
        <v>45539</v>
      </c>
      <c r="G880" t="n">
        <v>-4.418936154250121</v>
      </c>
    </row>
    <row r="881">
      <c r="A881" t="inlineStr">
        <is>
          <t>GNFC</t>
        </is>
      </c>
      <c r="B881" t="inlineStr">
        <is>
          <t>Bull</t>
        </is>
      </c>
      <c r="C881" t="n">
        <v>696.95</v>
      </c>
      <c r="D881" s="22" t="n">
        <v>45462</v>
      </c>
      <c r="E881" t="n">
        <v>649.15</v>
      </c>
      <c r="F881" s="22" t="n">
        <v>45509</v>
      </c>
      <c r="G881" t="n">
        <v>-6.858454695458795</v>
      </c>
    </row>
    <row r="882">
      <c r="A882" t="inlineStr">
        <is>
          <t>GNFC</t>
        </is>
      </c>
      <c r="B882" t="inlineStr">
        <is>
          <t>Bear</t>
        </is>
      </c>
      <c r="C882" t="n">
        <v>657.05</v>
      </c>
      <c r="D882" s="22" t="n">
        <v>45426</v>
      </c>
      <c r="E882" t="n">
        <v>683.8</v>
      </c>
      <c r="F882" s="22" t="n">
        <v>45457</v>
      </c>
      <c r="G882" t="n">
        <v>-4.071227456053573</v>
      </c>
    </row>
    <row r="883">
      <c r="A883" t="inlineStr">
        <is>
          <t>GNFC</t>
        </is>
      </c>
      <c r="B883" t="inlineStr">
        <is>
          <t>Bull</t>
        </is>
      </c>
      <c r="C883" t="n">
        <v>683.5</v>
      </c>
      <c r="D883" s="22" t="n">
        <v>45397</v>
      </c>
      <c r="E883" t="n">
        <v>645.75</v>
      </c>
      <c r="F883" s="22" t="n">
        <v>45422</v>
      </c>
      <c r="G883" t="n">
        <v>-5.523043160204828</v>
      </c>
    </row>
    <row r="884">
      <c r="A884" t="inlineStr">
        <is>
          <t>GNFC</t>
        </is>
      </c>
      <c r="B884" t="inlineStr">
        <is>
          <t>Bear</t>
        </is>
      </c>
      <c r="C884" t="n">
        <v>671.7</v>
      </c>
      <c r="D884" s="22" t="n">
        <v>45331</v>
      </c>
      <c r="E884" t="n">
        <v>708.5</v>
      </c>
      <c r="F884" s="22" t="n">
        <v>45392</v>
      </c>
      <c r="G884" t="n">
        <v>-5.478636295965454</v>
      </c>
    </row>
    <row r="885">
      <c r="A885" t="inlineStr">
        <is>
          <t>GNFC</t>
        </is>
      </c>
      <c r="B885" t="inlineStr">
        <is>
          <t>Bull</t>
        </is>
      </c>
      <c r="C885" t="n">
        <v>635.85</v>
      </c>
      <c r="D885" s="22" t="n">
        <v>45173</v>
      </c>
      <c r="E885" t="n">
        <v>701.2</v>
      </c>
      <c r="F885" s="22" t="n">
        <v>45329</v>
      </c>
      <c r="G885" t="n">
        <v>10.27758119053236</v>
      </c>
    </row>
    <row r="886">
      <c r="A886" t="inlineStr">
        <is>
          <t>GNFC</t>
        </is>
      </c>
      <c r="B886" t="inlineStr">
        <is>
          <t>Bear</t>
        </is>
      </c>
      <c r="C886" t="n">
        <v>548</v>
      </c>
      <c r="D886" s="22" t="n">
        <v>45146</v>
      </c>
      <c r="E886" t="n">
        <v>609.9</v>
      </c>
      <c r="F886" s="22" t="n">
        <v>45169</v>
      </c>
      <c r="G886" t="n">
        <v>-11.2956204379562</v>
      </c>
    </row>
    <row r="887">
      <c r="A887" t="inlineStr">
        <is>
          <t>GNFC</t>
        </is>
      </c>
      <c r="B887" t="inlineStr">
        <is>
          <t>Bull</t>
        </is>
      </c>
      <c r="C887" t="n">
        <v>588.5</v>
      </c>
      <c r="D887" s="22" t="n">
        <v>45044</v>
      </c>
      <c r="E887" t="n">
        <v>585.8</v>
      </c>
      <c r="F887" s="22" t="n">
        <v>45142</v>
      </c>
      <c r="G887" t="n">
        <v>-0.4587935429057001</v>
      </c>
    </row>
    <row r="888">
      <c r="A888" t="inlineStr">
        <is>
          <t>GRINFRA</t>
        </is>
      </c>
      <c r="B888" t="inlineStr">
        <is>
          <t>Bear</t>
        </is>
      </c>
      <c r="C888" t="n">
        <v>1565</v>
      </c>
      <c r="D888" s="22" t="n">
        <v>45644</v>
      </c>
      <c r="E888" t="n">
        <v>1448.7</v>
      </c>
      <c r="F888" s="22" t="n">
        <v>45660</v>
      </c>
      <c r="G888" t="n">
        <v>7.431309904153352</v>
      </c>
    </row>
    <row r="889">
      <c r="A889" t="inlineStr">
        <is>
          <t>GRINFRA</t>
        </is>
      </c>
      <c r="B889" t="inlineStr">
        <is>
          <t>Bull</t>
        </is>
      </c>
      <c r="C889" t="n">
        <v>1634.75</v>
      </c>
      <c r="D889" s="22" t="n">
        <v>45631</v>
      </c>
      <c r="E889" t="n">
        <v>1584.2</v>
      </c>
      <c r="F889" s="22" t="n">
        <v>45642</v>
      </c>
      <c r="G889" t="n">
        <v>-3.092215935158278</v>
      </c>
    </row>
    <row r="890">
      <c r="A890" t="inlineStr">
        <is>
          <t>GRINFRA</t>
        </is>
      </c>
      <c r="B890" t="inlineStr">
        <is>
          <t>Bear</t>
        </is>
      </c>
      <c r="C890" t="n">
        <v>1534.25</v>
      </c>
      <c r="D890" s="22" t="n">
        <v>45587</v>
      </c>
      <c r="E890" t="n">
        <v>1641</v>
      </c>
      <c r="F890" s="22" t="n">
        <v>45629</v>
      </c>
      <c r="G890" t="n">
        <v>-6.957796969203193</v>
      </c>
    </row>
    <row r="891">
      <c r="A891" t="inlineStr">
        <is>
          <t>GRINFRA</t>
        </is>
      </c>
      <c r="B891" t="inlineStr">
        <is>
          <t>Bull</t>
        </is>
      </c>
      <c r="C891" t="n">
        <v>1665.95</v>
      </c>
      <c r="D891" s="22" t="n">
        <v>45558</v>
      </c>
      <c r="E891" t="n">
        <v>1624.7</v>
      </c>
      <c r="F891" s="22" t="n">
        <v>45583</v>
      </c>
      <c r="G891" t="n">
        <v>-2.476064707824364</v>
      </c>
    </row>
    <row r="892">
      <c r="A892" t="inlineStr">
        <is>
          <t>GRINFRA</t>
        </is>
      </c>
      <c r="B892" t="inlineStr">
        <is>
          <t>Bear</t>
        </is>
      </c>
      <c r="C892" t="n">
        <v>1604.5</v>
      </c>
      <c r="D892" s="22" t="n">
        <v>45520</v>
      </c>
      <c r="E892" t="n">
        <v>1623.9</v>
      </c>
      <c r="F892" s="22" t="n">
        <v>45554</v>
      </c>
      <c r="G892" t="n">
        <v>-1.209099407915244</v>
      </c>
    </row>
    <row r="893">
      <c r="A893" t="inlineStr">
        <is>
          <t>GRINFRA</t>
        </is>
      </c>
      <c r="B893" t="inlineStr">
        <is>
          <t>Bull</t>
        </is>
      </c>
      <c r="C893" t="n">
        <v>1214.95</v>
      </c>
      <c r="D893" s="22" t="n">
        <v>45322</v>
      </c>
      <c r="E893" t="n">
        <v>1571.9</v>
      </c>
      <c r="F893" s="22" t="n">
        <v>45517</v>
      </c>
      <c r="G893" t="n">
        <v>29.37980986871888</v>
      </c>
    </row>
    <row r="894">
      <c r="A894" t="inlineStr">
        <is>
          <t>GRINFRA</t>
        </is>
      </c>
      <c r="B894" t="inlineStr">
        <is>
          <t>Bear</t>
        </is>
      </c>
      <c r="C894" t="n">
        <v>1105.1</v>
      </c>
      <c r="D894" s="22" t="n">
        <v>45296</v>
      </c>
      <c r="E894" t="n">
        <v>1184.5</v>
      </c>
      <c r="F894" s="22" t="n">
        <v>45320</v>
      </c>
      <c r="G894" t="n">
        <v>-7.184870147497972</v>
      </c>
    </row>
    <row r="895">
      <c r="A895" t="inlineStr">
        <is>
          <t>GRINFRA</t>
        </is>
      </c>
      <c r="B895" t="inlineStr">
        <is>
          <t>Bull</t>
        </is>
      </c>
      <c r="C895" t="n">
        <v>1247.7</v>
      </c>
      <c r="D895" s="22" t="n">
        <v>45278</v>
      </c>
      <c r="E895" t="n">
        <v>1096.85</v>
      </c>
      <c r="F895" s="22" t="n">
        <v>45294</v>
      </c>
      <c r="G895" t="n">
        <v>-12.09024605273705</v>
      </c>
    </row>
    <row r="896">
      <c r="A896" t="inlineStr">
        <is>
          <t>GRINFRA</t>
        </is>
      </c>
      <c r="B896" t="inlineStr">
        <is>
          <t>Bear</t>
        </is>
      </c>
      <c r="C896" t="n">
        <v>1215.25</v>
      </c>
      <c r="D896" s="22" t="n">
        <v>45183</v>
      </c>
      <c r="E896" t="n">
        <v>1210</v>
      </c>
      <c r="F896" s="22" t="n">
        <v>45274</v>
      </c>
      <c r="G896" t="n">
        <v>0.4320098745114174</v>
      </c>
    </row>
    <row r="897">
      <c r="A897" t="inlineStr">
        <is>
          <t>GRINFRA</t>
        </is>
      </c>
      <c r="B897" t="inlineStr">
        <is>
          <t>Bull</t>
        </is>
      </c>
      <c r="C897" t="n">
        <v>1090.95</v>
      </c>
      <c r="D897" s="22" t="n">
        <v>45068</v>
      </c>
      <c r="E897" t="n">
        <v>1243.25</v>
      </c>
      <c r="F897" s="22" t="n">
        <v>45181</v>
      </c>
      <c r="G897" t="n">
        <v>13.96030982171501</v>
      </c>
    </row>
    <row r="898">
      <c r="A898" t="inlineStr">
        <is>
          <t>GRINFRA</t>
        </is>
      </c>
      <c r="B898" t="inlineStr">
        <is>
          <t>Bear</t>
        </is>
      </c>
      <c r="C898" t="n">
        <v>1153.7</v>
      </c>
      <c r="D898" s="22" t="n">
        <v>44964</v>
      </c>
      <c r="E898" t="n">
        <v>1081.95</v>
      </c>
      <c r="F898" s="22" t="n">
        <v>45064</v>
      </c>
      <c r="G898" t="n">
        <v>6.219121088671232</v>
      </c>
    </row>
    <row r="899">
      <c r="A899" t="inlineStr">
        <is>
          <t>GSFC</t>
        </is>
      </c>
      <c r="B899" t="inlineStr">
        <is>
          <t>Bear</t>
        </is>
      </c>
      <c r="C899" t="n">
        <v>200.59</v>
      </c>
      <c r="D899" s="22" t="n">
        <v>45653</v>
      </c>
      <c r="E899" t="n">
        <v>205.62</v>
      </c>
      <c r="F899" s="22" t="n">
        <v>45660</v>
      </c>
      <c r="G899" t="n">
        <v>-2.507602572411387</v>
      </c>
    </row>
    <row r="900">
      <c r="A900" t="inlineStr">
        <is>
          <t>GSFC</t>
        </is>
      </c>
      <c r="B900" t="inlineStr">
        <is>
          <t>Bull</t>
        </is>
      </c>
      <c r="C900" t="n">
        <v>218.85</v>
      </c>
      <c r="D900" s="22" t="n">
        <v>45635</v>
      </c>
      <c r="E900" t="n">
        <v>203.82</v>
      </c>
      <c r="F900" s="22" t="n">
        <v>45650</v>
      </c>
      <c r="G900" t="n">
        <v>-6.867717614804661</v>
      </c>
    </row>
    <row r="901">
      <c r="A901" t="inlineStr">
        <is>
          <t>GSFC</t>
        </is>
      </c>
      <c r="B901" t="inlineStr">
        <is>
          <t>Bear</t>
        </is>
      </c>
      <c r="C901" t="n">
        <v>228.09</v>
      </c>
      <c r="D901" s="22" t="n">
        <v>45512</v>
      </c>
      <c r="E901" t="n">
        <v>223.06</v>
      </c>
      <c r="F901" s="22" t="n">
        <v>45631</v>
      </c>
      <c r="G901" t="n">
        <v>2.205269849620764</v>
      </c>
    </row>
    <row r="902">
      <c r="A902" t="inlineStr">
        <is>
          <t>GSFC</t>
        </is>
      </c>
      <c r="B902" t="inlineStr">
        <is>
          <t>Bull</t>
        </is>
      </c>
      <c r="C902" t="n">
        <v>251.62</v>
      </c>
      <c r="D902" s="22" t="n">
        <v>45464</v>
      </c>
      <c r="E902" t="n">
        <v>221.02</v>
      </c>
      <c r="F902" s="22" t="n">
        <v>45510</v>
      </c>
      <c r="G902" t="n">
        <v>-12.16119545346157</v>
      </c>
    </row>
    <row r="903">
      <c r="A903" t="inlineStr">
        <is>
          <t>GSFC</t>
        </is>
      </c>
      <c r="B903" t="inlineStr">
        <is>
          <t>Bear</t>
        </is>
      </c>
      <c r="C903" t="n">
        <v>223.3</v>
      </c>
      <c r="D903" s="22" t="n">
        <v>45439</v>
      </c>
      <c r="E903" t="n">
        <v>239.82</v>
      </c>
      <c r="F903" s="22" t="n">
        <v>45462</v>
      </c>
      <c r="G903" t="n">
        <v>-7.398119122257045</v>
      </c>
    </row>
    <row r="904">
      <c r="A904" t="inlineStr">
        <is>
          <t>GSFC</t>
        </is>
      </c>
      <c r="B904" t="inlineStr">
        <is>
          <t>Bull</t>
        </is>
      </c>
      <c r="C904" t="n">
        <v>249.95</v>
      </c>
      <c r="D904" s="22" t="n">
        <v>45407</v>
      </c>
      <c r="E904" t="n">
        <v>222.25</v>
      </c>
      <c r="F904" s="22" t="n">
        <v>45435</v>
      </c>
      <c r="G904" t="n">
        <v>-11.08221644328865</v>
      </c>
    </row>
    <row r="905">
      <c r="A905" t="inlineStr">
        <is>
          <t>GSFC</t>
        </is>
      </c>
      <c r="B905" t="inlineStr">
        <is>
          <t>Bear</t>
        </is>
      </c>
      <c r="C905" t="n">
        <v>230.25</v>
      </c>
      <c r="D905" s="22" t="n">
        <v>45344</v>
      </c>
      <c r="E905" t="n">
        <v>238.3</v>
      </c>
      <c r="F905" s="22" t="n">
        <v>45405</v>
      </c>
      <c r="G905" t="n">
        <v>-3.496199782844739</v>
      </c>
    </row>
    <row r="906">
      <c r="A906" t="inlineStr">
        <is>
          <t>GSFC</t>
        </is>
      </c>
      <c r="B906" t="inlineStr">
        <is>
          <t>Bull</t>
        </is>
      </c>
      <c r="C906" t="n">
        <v>174.1</v>
      </c>
      <c r="D906" s="22" t="n">
        <v>45168</v>
      </c>
      <c r="E906" t="n">
        <v>237.25</v>
      </c>
      <c r="F906" s="22" t="n">
        <v>45342</v>
      </c>
      <c r="G906" t="n">
        <v>36.27225732337737</v>
      </c>
    </row>
    <row r="907">
      <c r="A907" t="inlineStr">
        <is>
          <t>GSFC</t>
        </is>
      </c>
      <c r="B907" t="inlineStr">
        <is>
          <t>Bear</t>
        </is>
      </c>
      <c r="C907" t="n">
        <v>153</v>
      </c>
      <c r="D907" s="22" t="n">
        <v>45149</v>
      </c>
      <c r="E907" t="n">
        <v>171.5</v>
      </c>
      <c r="F907" s="22" t="n">
        <v>45166</v>
      </c>
      <c r="G907" t="n">
        <v>-12.09150326797386</v>
      </c>
    </row>
    <row r="908">
      <c r="A908" t="inlineStr">
        <is>
          <t>GSFC</t>
        </is>
      </c>
      <c r="B908" t="inlineStr">
        <is>
          <t>Bull</t>
        </is>
      </c>
      <c r="C908" t="n">
        <v>152.3</v>
      </c>
      <c r="D908" s="22" t="n">
        <v>45043</v>
      </c>
      <c r="E908" t="n">
        <v>150.8</v>
      </c>
      <c r="F908" s="22" t="n">
        <v>45147</v>
      </c>
      <c r="G908" t="n">
        <v>-0.984898227183191</v>
      </c>
    </row>
    <row r="909">
      <c r="A909" t="inlineStr">
        <is>
          <t>GALAXYSURF</t>
        </is>
      </c>
      <c r="B909" t="inlineStr">
        <is>
          <t>Bear</t>
        </is>
      </c>
      <c r="C909" t="n">
        <v>2731.8</v>
      </c>
      <c r="D909" s="22" t="n">
        <v>45610</v>
      </c>
      <c r="E909" t="n">
        <v>2543.95</v>
      </c>
      <c r="F909" s="22" t="n">
        <v>45660</v>
      </c>
      <c r="G909" t="n">
        <v>6.876418478658773</v>
      </c>
    </row>
    <row r="910">
      <c r="A910" t="inlineStr">
        <is>
          <t>GALAXYSURF</t>
        </is>
      </c>
      <c r="B910" t="inlineStr">
        <is>
          <t>Bull</t>
        </is>
      </c>
      <c r="C910" t="n">
        <v>3015.7</v>
      </c>
      <c r="D910" s="22" t="n">
        <v>45604</v>
      </c>
      <c r="E910" t="n">
        <v>2873.15</v>
      </c>
      <c r="F910" s="22" t="n">
        <v>45608</v>
      </c>
      <c r="G910" t="n">
        <v>-4.726929071194076</v>
      </c>
    </row>
    <row r="911">
      <c r="A911" t="inlineStr">
        <is>
          <t>GALAXYSURF</t>
        </is>
      </c>
      <c r="B911" t="inlineStr">
        <is>
          <t>Bear</t>
        </is>
      </c>
      <c r="C911" t="n">
        <v>2888.7</v>
      </c>
      <c r="D911" s="22" t="n">
        <v>45590</v>
      </c>
      <c r="E911" t="n">
        <v>3018.35</v>
      </c>
      <c r="F911" s="22" t="n">
        <v>45602</v>
      </c>
      <c r="G911" t="n">
        <v>-4.488178073181712</v>
      </c>
    </row>
    <row r="912">
      <c r="A912" t="inlineStr">
        <is>
          <t>GALAXYSURF</t>
        </is>
      </c>
      <c r="B912" t="inlineStr">
        <is>
          <t>Bull</t>
        </is>
      </c>
      <c r="C912" t="n">
        <v>2682.95</v>
      </c>
      <c r="D912" s="22" t="n">
        <v>45454</v>
      </c>
      <c r="E912" t="n">
        <v>2890.15</v>
      </c>
      <c r="F912" s="22" t="n">
        <v>45588</v>
      </c>
      <c r="G912" t="n">
        <v>7.722842393633885</v>
      </c>
    </row>
    <row r="913">
      <c r="A913" t="inlineStr">
        <is>
          <t>GALAXYSURF</t>
        </is>
      </c>
      <c r="B913" t="inlineStr">
        <is>
          <t>Bear</t>
        </is>
      </c>
      <c r="C913" t="n">
        <v>2495.3</v>
      </c>
      <c r="D913" s="22" t="n">
        <v>45442</v>
      </c>
      <c r="E913" t="n">
        <v>2570.7</v>
      </c>
      <c r="F913" s="22" t="n">
        <v>45450</v>
      </c>
      <c r="G913" t="n">
        <v>-3.021680759828463</v>
      </c>
    </row>
    <row r="914">
      <c r="A914" t="inlineStr">
        <is>
          <t>GALAXYSURF</t>
        </is>
      </c>
      <c r="B914" t="inlineStr">
        <is>
          <t>Bull</t>
        </is>
      </c>
      <c r="C914" t="n">
        <v>2603.85</v>
      </c>
      <c r="D914" s="22" t="n">
        <v>45404</v>
      </c>
      <c r="E914" t="n">
        <v>2486.6</v>
      </c>
      <c r="F914" s="22" t="n">
        <v>45440</v>
      </c>
      <c r="G914" t="n">
        <v>-4.502947558423105</v>
      </c>
    </row>
    <row r="915">
      <c r="A915" t="inlineStr">
        <is>
          <t>GALAXYSURF</t>
        </is>
      </c>
      <c r="B915" t="inlineStr">
        <is>
          <t>Bear</t>
        </is>
      </c>
      <c r="C915" t="n">
        <v>2649.3</v>
      </c>
      <c r="D915" s="22" t="n">
        <v>45314</v>
      </c>
      <c r="E915" t="n">
        <v>2609.8</v>
      </c>
      <c r="F915" s="22" t="n">
        <v>45400</v>
      </c>
      <c r="G915" t="n">
        <v>1.490959876193711</v>
      </c>
    </row>
    <row r="916">
      <c r="A916" t="inlineStr">
        <is>
          <t>GALAXYSURF</t>
        </is>
      </c>
      <c r="B916" t="inlineStr">
        <is>
          <t>Bull</t>
        </is>
      </c>
      <c r="C916" t="n">
        <v>2798.9</v>
      </c>
      <c r="D916" s="22" t="n">
        <v>45302</v>
      </c>
      <c r="E916" t="n">
        <v>2726.7</v>
      </c>
      <c r="F916" s="22" t="n">
        <v>45310</v>
      </c>
      <c r="G916" t="n">
        <v>-2.57958483690022</v>
      </c>
    </row>
    <row r="917">
      <c r="A917" t="inlineStr">
        <is>
          <t>GALAXYSURF</t>
        </is>
      </c>
      <c r="B917" t="inlineStr">
        <is>
          <t>Bear</t>
        </is>
      </c>
      <c r="C917" t="n">
        <v>2694</v>
      </c>
      <c r="D917" s="22" t="n">
        <v>45287</v>
      </c>
      <c r="E917" t="n">
        <v>2790</v>
      </c>
      <c r="F917" s="22" t="n">
        <v>45300</v>
      </c>
      <c r="G917" t="n">
        <v>-3.563474387527839</v>
      </c>
    </row>
    <row r="918">
      <c r="A918" t="inlineStr">
        <is>
          <t>GALAXYSURF</t>
        </is>
      </c>
      <c r="B918" t="inlineStr">
        <is>
          <t>Bull</t>
        </is>
      </c>
      <c r="C918" t="n">
        <v>2821.15</v>
      </c>
      <c r="D918" s="22" t="n">
        <v>45232</v>
      </c>
      <c r="E918" t="n">
        <v>2686.9</v>
      </c>
      <c r="F918" s="22" t="n">
        <v>45282</v>
      </c>
      <c r="G918" t="n">
        <v>-4.758697694202719</v>
      </c>
    </row>
    <row r="919">
      <c r="A919" t="inlineStr">
        <is>
          <t>GALAXYSURF</t>
        </is>
      </c>
      <c r="B919" t="inlineStr">
        <is>
          <t>Bear</t>
        </is>
      </c>
      <c r="C919" t="n">
        <v>2595</v>
      </c>
      <c r="D919" s="22" t="n">
        <v>45226</v>
      </c>
      <c r="E919" t="n">
        <v>2729.75</v>
      </c>
      <c r="F919" s="22" t="n">
        <v>45230</v>
      </c>
      <c r="G919" t="n">
        <v>-5.192678227360308</v>
      </c>
    </row>
    <row r="920">
      <c r="A920" t="inlineStr">
        <is>
          <t>GALAXYSURF</t>
        </is>
      </c>
      <c r="B920" t="inlineStr">
        <is>
          <t>Bull</t>
        </is>
      </c>
      <c r="C920" t="n">
        <v>2677.85</v>
      </c>
      <c r="D920" s="22" t="n">
        <v>45219</v>
      </c>
      <c r="E920" t="n">
        <v>2596.1</v>
      </c>
      <c r="F920" s="22" t="n">
        <v>45224</v>
      </c>
      <c r="G920" t="n">
        <v>-3.052822226786414</v>
      </c>
    </row>
    <row r="921">
      <c r="A921" t="inlineStr">
        <is>
          <t>GALAXYSURF</t>
        </is>
      </c>
      <c r="B921" t="inlineStr">
        <is>
          <t>Bear</t>
        </is>
      </c>
      <c r="C921" t="n">
        <v>2599.5</v>
      </c>
      <c r="D921" s="22" t="n">
        <v>45196</v>
      </c>
      <c r="E921" t="n">
        <v>2714.6</v>
      </c>
      <c r="F921" s="22" t="n">
        <v>45217</v>
      </c>
      <c r="G921" t="n">
        <v>-4.42777457203308</v>
      </c>
    </row>
    <row r="922">
      <c r="A922" t="inlineStr">
        <is>
          <t>GALAXYSURF</t>
        </is>
      </c>
      <c r="B922" t="inlineStr">
        <is>
          <t>Bull</t>
        </is>
      </c>
      <c r="C922" t="n">
        <v>2463.9</v>
      </c>
      <c r="D922" s="22" t="n">
        <v>45035</v>
      </c>
      <c r="E922" t="n">
        <v>2610</v>
      </c>
      <c r="F922" s="22" t="n">
        <v>45194</v>
      </c>
      <c r="G922" t="n">
        <v>5.92962376719834</v>
      </c>
    </row>
    <row r="923">
      <c r="A923" t="inlineStr">
        <is>
          <t>GANESHBE</t>
        </is>
      </c>
      <c r="B923" t="inlineStr">
        <is>
          <t>Bear</t>
        </is>
      </c>
      <c r="C923" t="n">
        <v>153.06</v>
      </c>
      <c r="D923" s="22" t="n">
        <v>45553</v>
      </c>
      <c r="E923" t="n">
        <v>134.61</v>
      </c>
      <c r="F923" s="22" t="n">
        <v>45660</v>
      </c>
      <c r="G923" t="n">
        <v>12.05409643277146</v>
      </c>
    </row>
    <row r="924">
      <c r="A924" t="inlineStr">
        <is>
          <t>GANESHBE</t>
        </is>
      </c>
      <c r="B924" t="inlineStr">
        <is>
          <t>Bull</t>
        </is>
      </c>
      <c r="C924" t="n">
        <v>160.77</v>
      </c>
      <c r="D924" s="22" t="n">
        <v>45495</v>
      </c>
      <c r="E924" t="n">
        <v>156.49</v>
      </c>
      <c r="F924" s="22" t="n">
        <v>45551</v>
      </c>
      <c r="G924" t="n">
        <v>-2.662188219195124</v>
      </c>
    </row>
    <row r="925">
      <c r="A925" t="inlineStr">
        <is>
          <t>GANESHBE</t>
        </is>
      </c>
      <c r="B925" t="inlineStr">
        <is>
          <t>Bear</t>
        </is>
      </c>
      <c r="C925" t="n">
        <v>177.8</v>
      </c>
      <c r="D925" s="22" t="n">
        <v>45392</v>
      </c>
      <c r="E925" t="n">
        <v>164.23</v>
      </c>
      <c r="F925" s="22" t="n">
        <v>45491</v>
      </c>
      <c r="G925" t="n">
        <v>7.632170978627684</v>
      </c>
    </row>
    <row r="926">
      <c r="A926" t="inlineStr">
        <is>
          <t>GANESHBE</t>
        </is>
      </c>
      <c r="B926" t="inlineStr">
        <is>
          <t>Bull</t>
        </is>
      </c>
      <c r="C926" t="n">
        <v>165.5</v>
      </c>
      <c r="D926" s="22" t="n">
        <v>45310</v>
      </c>
      <c r="E926" t="n">
        <v>174.5</v>
      </c>
      <c r="F926" s="22" t="n">
        <v>45390</v>
      </c>
      <c r="G926" t="n">
        <v>5.438066465256798</v>
      </c>
    </row>
    <row r="927">
      <c r="A927" t="inlineStr">
        <is>
          <t>GANESHBE</t>
        </is>
      </c>
      <c r="B927" t="inlineStr">
        <is>
          <t>Bear</t>
        </is>
      </c>
      <c r="C927" t="n">
        <v>158.95</v>
      </c>
      <c r="D927" s="22" t="n">
        <v>45306</v>
      </c>
      <c r="E927" t="n">
        <v>157.35</v>
      </c>
      <c r="F927" s="22" t="n">
        <v>45308</v>
      </c>
      <c r="G927" t="n">
        <v>1.006605850896505</v>
      </c>
    </row>
    <row r="928">
      <c r="A928" t="inlineStr">
        <is>
          <t>GANESHBE</t>
        </is>
      </c>
      <c r="B928" t="inlineStr">
        <is>
          <t>Bull</t>
        </is>
      </c>
      <c r="C928" t="n">
        <v>170</v>
      </c>
      <c r="D928" s="22" t="n">
        <v>45259</v>
      </c>
      <c r="E928" t="n">
        <v>149.65</v>
      </c>
      <c r="F928" s="22" t="n">
        <v>45302</v>
      </c>
      <c r="G928" t="n">
        <v>-11.97058823529411</v>
      </c>
    </row>
    <row r="929">
      <c r="A929" t="inlineStr">
        <is>
          <t>GANESHBE</t>
        </is>
      </c>
      <c r="B929" t="inlineStr">
        <is>
          <t>Bear</t>
        </is>
      </c>
      <c r="C929" t="n">
        <v>155.45</v>
      </c>
      <c r="D929" s="22" t="n">
        <v>45191</v>
      </c>
      <c r="E929" t="n">
        <v>156.15</v>
      </c>
      <c r="F929" s="22" t="n">
        <v>45254</v>
      </c>
      <c r="G929" t="n">
        <v>-0.4503055644902008</v>
      </c>
    </row>
    <row r="930">
      <c r="A930" t="inlineStr">
        <is>
          <t>GANESHBE</t>
        </is>
      </c>
      <c r="B930" t="inlineStr">
        <is>
          <t>Bull</t>
        </is>
      </c>
      <c r="C930" t="n">
        <v>160.85</v>
      </c>
      <c r="D930" s="22" t="n">
        <v>45132</v>
      </c>
      <c r="E930" t="n">
        <v>156.2</v>
      </c>
      <c r="F930" s="22" t="n">
        <v>45189</v>
      </c>
      <c r="G930" t="n">
        <v>-2.890892135530001</v>
      </c>
    </row>
    <row r="931">
      <c r="A931" t="inlineStr">
        <is>
          <t>GANESHBE</t>
        </is>
      </c>
      <c r="B931" t="inlineStr">
        <is>
          <t>Bear</t>
        </is>
      </c>
      <c r="C931" t="n">
        <v>149.15</v>
      </c>
      <c r="D931" s="22" t="n">
        <v>45061</v>
      </c>
      <c r="E931" t="n">
        <v>162.5</v>
      </c>
      <c r="F931" s="22" t="n">
        <v>45128</v>
      </c>
      <c r="G931" t="n">
        <v>-8.950720750921887</v>
      </c>
    </row>
    <row r="932">
      <c r="A932" t="inlineStr">
        <is>
          <t>GANESHHOUC</t>
        </is>
      </c>
      <c r="B932" t="inlineStr">
        <is>
          <t>Bull</t>
        </is>
      </c>
      <c r="C932" t="n">
        <v>1029.7</v>
      </c>
      <c r="D932" s="22" t="n">
        <v>45581</v>
      </c>
      <c r="E932" t="n">
        <v>1278.05</v>
      </c>
      <c r="F932" s="22" t="n">
        <v>45660</v>
      </c>
      <c r="G932" t="n">
        <v>24.11867534233271</v>
      </c>
    </row>
    <row r="933">
      <c r="A933" t="inlineStr">
        <is>
          <t>GANESHHOUC</t>
        </is>
      </c>
      <c r="B933" t="inlineStr">
        <is>
          <t>Bear</t>
        </is>
      </c>
      <c r="C933" t="n">
        <v>874.6</v>
      </c>
      <c r="D933" s="22" t="n">
        <v>45512</v>
      </c>
      <c r="E933" t="n">
        <v>991.9</v>
      </c>
      <c r="F933" s="22" t="n">
        <v>45579</v>
      </c>
      <c r="G933" t="n">
        <v>-13.41184541504687</v>
      </c>
    </row>
    <row r="934">
      <c r="A934" t="inlineStr">
        <is>
          <t>GANESHHOUC</t>
        </is>
      </c>
      <c r="B934" t="inlineStr">
        <is>
          <t>Bull</t>
        </is>
      </c>
      <c r="C934" t="n">
        <v>416.85</v>
      </c>
      <c r="D934" s="22" t="n">
        <v>45294</v>
      </c>
      <c r="E934" t="n">
        <v>842.15</v>
      </c>
      <c r="F934" s="22" t="n">
        <v>45510</v>
      </c>
      <c r="G934" t="n">
        <v>102.0271080724481</v>
      </c>
    </row>
    <row r="935">
      <c r="A935" t="inlineStr">
        <is>
          <t>GARFIBRES</t>
        </is>
      </c>
      <c r="B935" t="inlineStr">
        <is>
          <t>Bull</t>
        </is>
      </c>
      <c r="C935" t="n">
        <v>789.8</v>
      </c>
      <c r="D935" s="22" t="n">
        <v>45546</v>
      </c>
      <c r="E935" t="n">
        <v>911.4</v>
      </c>
      <c r="F935" s="22" t="n">
        <v>45660</v>
      </c>
      <c r="G935" t="n">
        <v>15.39630286148392</v>
      </c>
    </row>
    <row r="936">
      <c r="A936" t="inlineStr">
        <is>
          <t>GARFIBRES</t>
        </is>
      </c>
      <c r="B936" t="inlineStr">
        <is>
          <t>Bear</t>
        </is>
      </c>
      <c r="C936" t="n">
        <v>740.65</v>
      </c>
      <c r="D936" s="22" t="n">
        <v>45520</v>
      </c>
      <c r="E936" t="n">
        <v>753.1799999999999</v>
      </c>
      <c r="F936" s="22" t="n">
        <v>45544</v>
      </c>
      <c r="G936" t="n">
        <v>-1.691757240261928</v>
      </c>
    </row>
    <row r="937">
      <c r="A937" t="inlineStr">
        <is>
          <t>GARFIBRES</t>
        </is>
      </c>
      <c r="B937" t="inlineStr">
        <is>
          <t>Bull</t>
        </is>
      </c>
      <c r="C937" t="n">
        <v>709.0599999999999</v>
      </c>
      <c r="D937" s="22" t="n">
        <v>45442</v>
      </c>
      <c r="E937" t="n">
        <v>743.53</v>
      </c>
      <c r="F937" s="22" t="n">
        <v>45517</v>
      </c>
      <c r="G937" t="n">
        <v>4.861365751840469</v>
      </c>
    </row>
    <row r="938">
      <c r="A938" t="inlineStr">
        <is>
          <t>GARFIBRES</t>
        </is>
      </c>
      <c r="B938" t="inlineStr">
        <is>
          <t>Bear</t>
        </is>
      </c>
      <c r="C938" t="n">
        <v>644.22</v>
      </c>
      <c r="D938" s="22" t="n">
        <v>45364</v>
      </c>
      <c r="E938" t="n">
        <v>699.96</v>
      </c>
      <c r="F938" s="22" t="n">
        <v>45440</v>
      </c>
      <c r="G938" t="n">
        <v>-8.652323740337152</v>
      </c>
    </row>
    <row r="939">
      <c r="A939" t="inlineStr">
        <is>
          <t>GARFIBRES</t>
        </is>
      </c>
      <c r="B939" t="inlineStr">
        <is>
          <t>Bull</t>
        </is>
      </c>
      <c r="C939" t="n">
        <v>666.4299999999999</v>
      </c>
      <c r="D939" s="22" t="n">
        <v>45254</v>
      </c>
      <c r="E939" t="n">
        <v>657.29</v>
      </c>
      <c r="F939" s="22" t="n">
        <v>45362</v>
      </c>
      <c r="G939" t="n">
        <v>-1.371486877841632</v>
      </c>
    </row>
    <row r="940">
      <c r="A940" t="inlineStr">
        <is>
          <t>GARFIBRES</t>
        </is>
      </c>
      <c r="B940" t="inlineStr">
        <is>
          <t>Bear</t>
        </is>
      </c>
      <c r="C940" t="n">
        <v>630</v>
      </c>
      <c r="D940" s="22" t="n">
        <v>45211</v>
      </c>
      <c r="E940" t="n">
        <v>632.8099999999999</v>
      </c>
      <c r="F940" s="22" t="n">
        <v>45252</v>
      </c>
      <c r="G940" t="n">
        <v>-0.4460317460317374</v>
      </c>
    </row>
    <row r="941">
      <c r="A941" t="inlineStr">
        <is>
          <t>GARFIBRES</t>
        </is>
      </c>
      <c r="B941" t="inlineStr">
        <is>
          <t>Bull</t>
        </is>
      </c>
      <c r="C941" t="n">
        <v>595.3</v>
      </c>
      <c r="D941" s="22" t="n">
        <v>45062</v>
      </c>
      <c r="E941" t="n">
        <v>630.33</v>
      </c>
      <c r="F941" s="22" t="n">
        <v>45209</v>
      </c>
      <c r="G941" t="n">
        <v>5.884428019485989</v>
      </c>
    </row>
    <row r="942">
      <c r="A942" t="inlineStr">
        <is>
          <t>GATEWAY</t>
        </is>
      </c>
      <c r="B942" t="inlineStr">
        <is>
          <t>Bear</t>
        </is>
      </c>
      <c r="C942" t="n">
        <v>97.34</v>
      </c>
      <c r="D942" s="22" t="n">
        <v>45517</v>
      </c>
      <c r="E942" t="n">
        <v>82.36</v>
      </c>
      <c r="F942" s="22" t="n">
        <v>45660</v>
      </c>
      <c r="G942" t="n">
        <v>15.38935689336347</v>
      </c>
    </row>
    <row r="943">
      <c r="A943" t="inlineStr">
        <is>
          <t>GATEWAY</t>
        </is>
      </c>
      <c r="B943" t="inlineStr">
        <is>
          <t>Bull</t>
        </is>
      </c>
      <c r="C943" t="n">
        <v>105.39</v>
      </c>
      <c r="D943" s="22" t="n">
        <v>45477</v>
      </c>
      <c r="E943" t="n">
        <v>101.08</v>
      </c>
      <c r="F943" s="22" t="n">
        <v>45513</v>
      </c>
      <c r="G943" t="n">
        <v>-4.089572065660881</v>
      </c>
    </row>
    <row r="944">
      <c r="A944" t="inlineStr">
        <is>
          <t>GATEWAY</t>
        </is>
      </c>
      <c r="B944" t="inlineStr">
        <is>
          <t>Bear</t>
        </is>
      </c>
      <c r="C944" t="n">
        <v>102.85</v>
      </c>
      <c r="D944" s="22" t="n">
        <v>45441</v>
      </c>
      <c r="E944" t="n">
        <v>106.36</v>
      </c>
      <c r="F944" s="22" t="n">
        <v>45475</v>
      </c>
      <c r="G944" t="n">
        <v>-3.412736995624701</v>
      </c>
    </row>
    <row r="945">
      <c r="A945" t="inlineStr">
        <is>
          <t>GATEWAY</t>
        </is>
      </c>
      <c r="B945" t="inlineStr">
        <is>
          <t>Bull</t>
        </is>
      </c>
      <c r="C945" t="n">
        <v>106.9</v>
      </c>
      <c r="D945" s="22" t="n">
        <v>45433</v>
      </c>
      <c r="E945" t="n">
        <v>104.55</v>
      </c>
      <c r="F945" s="22" t="n">
        <v>45439</v>
      </c>
      <c r="G945" t="n">
        <v>-2.198316183348932</v>
      </c>
    </row>
    <row r="946">
      <c r="A946" t="inlineStr">
        <is>
          <t>GATEWAY</t>
        </is>
      </c>
      <c r="B946" t="inlineStr">
        <is>
          <t>Bear</t>
        </is>
      </c>
      <c r="C946" t="n">
        <v>103.3</v>
      </c>
      <c r="D946" s="22" t="n">
        <v>45420</v>
      </c>
      <c r="E946" t="n">
        <v>108.8</v>
      </c>
      <c r="F946" s="22" t="n">
        <v>45429</v>
      </c>
      <c r="G946" t="n">
        <v>-5.324298160696999</v>
      </c>
    </row>
    <row r="947">
      <c r="A947" t="inlineStr">
        <is>
          <t>GATEWAY</t>
        </is>
      </c>
      <c r="B947" t="inlineStr">
        <is>
          <t>Bull</t>
        </is>
      </c>
      <c r="C947" t="n">
        <v>110.2</v>
      </c>
      <c r="D947" s="22" t="n">
        <v>45391</v>
      </c>
      <c r="E947" t="n">
        <v>104.4</v>
      </c>
      <c r="F947" s="22" t="n">
        <v>45418</v>
      </c>
      <c r="G947" t="n">
        <v>-5.26315789473684</v>
      </c>
    </row>
    <row r="948">
      <c r="A948" t="inlineStr">
        <is>
          <t>GATEWAY</t>
        </is>
      </c>
      <c r="B948" t="inlineStr">
        <is>
          <t>Bear</t>
        </is>
      </c>
      <c r="C948" t="n">
        <v>104.95</v>
      </c>
      <c r="D948" s="22" t="n">
        <v>45358</v>
      </c>
      <c r="E948" t="n">
        <v>112.85</v>
      </c>
      <c r="F948" s="22" t="n">
        <v>45387</v>
      </c>
      <c r="G948" t="n">
        <v>-7.527393997141488</v>
      </c>
    </row>
    <row r="949">
      <c r="A949" t="inlineStr">
        <is>
          <t>GATEWAY</t>
        </is>
      </c>
      <c r="B949" t="inlineStr">
        <is>
          <t>Bull</t>
        </is>
      </c>
      <c r="C949" t="n">
        <v>64</v>
      </c>
      <c r="D949" s="22" t="n">
        <v>45068</v>
      </c>
      <c r="E949" t="n">
        <v>105.6</v>
      </c>
      <c r="F949" s="22" t="n">
        <v>45356</v>
      </c>
      <c r="G949" t="n">
        <v>64.99999999999999</v>
      </c>
    </row>
    <row r="950">
      <c r="A950" t="inlineStr">
        <is>
          <t>GATEWAY</t>
        </is>
      </c>
      <c r="B950" t="inlineStr">
        <is>
          <t>Bear</t>
        </is>
      </c>
      <c r="C950" t="n">
        <v>62.1</v>
      </c>
      <c r="D950" s="22" t="n">
        <v>45061</v>
      </c>
      <c r="E950" t="n">
        <v>63.9</v>
      </c>
      <c r="F950" s="22" t="n">
        <v>45064</v>
      </c>
      <c r="G950" t="n">
        <v>-2.898550724637677</v>
      </c>
    </row>
    <row r="951">
      <c r="A951" t="inlineStr">
        <is>
          <t>GESHIP</t>
        </is>
      </c>
      <c r="B951" t="inlineStr">
        <is>
          <t>Bear</t>
        </is>
      </c>
      <c r="C951" t="n">
        <v>1180.75</v>
      </c>
      <c r="D951" s="22" t="n">
        <v>45607</v>
      </c>
      <c r="E951" t="n">
        <v>984.7</v>
      </c>
      <c r="F951" s="22" t="n">
        <v>45660</v>
      </c>
      <c r="G951" t="n">
        <v>16.60385348295574</v>
      </c>
    </row>
    <row r="952">
      <c r="A952" t="inlineStr">
        <is>
          <t>GESHIP</t>
        </is>
      </c>
      <c r="B952" t="inlineStr">
        <is>
          <t>Bull</t>
        </is>
      </c>
      <c r="C952" t="n">
        <v>1257.95</v>
      </c>
      <c r="D952" s="22" t="n">
        <v>45602</v>
      </c>
      <c r="E952" t="n">
        <v>1291.6</v>
      </c>
      <c r="F952" s="22" t="n">
        <v>45603</v>
      </c>
      <c r="G952" t="n">
        <v>2.674987082157467</v>
      </c>
    </row>
    <row r="953">
      <c r="A953" t="inlineStr">
        <is>
          <t>GESHIP</t>
        </is>
      </c>
      <c r="B953" t="inlineStr">
        <is>
          <t>Bear</t>
        </is>
      </c>
      <c r="C953" t="n">
        <v>1206.85</v>
      </c>
      <c r="D953" s="22" t="n">
        <v>45554</v>
      </c>
      <c r="E953" t="n">
        <v>1293.45</v>
      </c>
      <c r="F953" s="22" t="n">
        <v>45600</v>
      </c>
      <c r="G953" t="n">
        <v>-7.175705348634888</v>
      </c>
    </row>
    <row r="954">
      <c r="A954" t="inlineStr">
        <is>
          <t>GESHIP</t>
        </is>
      </c>
      <c r="B954" t="inlineStr">
        <is>
          <t>Bull</t>
        </is>
      </c>
      <c r="C954" t="n">
        <v>869.35</v>
      </c>
      <c r="D954" s="22" t="n">
        <v>45261</v>
      </c>
      <c r="E954" t="n">
        <v>1255.05</v>
      </c>
      <c r="F954" s="22" t="n">
        <v>45552</v>
      </c>
      <c r="G954" t="n">
        <v>44.36648070397423</v>
      </c>
    </row>
    <row r="955">
      <c r="A955" t="inlineStr">
        <is>
          <t>GESHIP</t>
        </is>
      </c>
      <c r="B955" t="inlineStr">
        <is>
          <t>Bear</t>
        </is>
      </c>
      <c r="C955" t="n">
        <v>764.55</v>
      </c>
      <c r="D955" s="22" t="n">
        <v>45238</v>
      </c>
      <c r="E955" t="n">
        <v>812.5</v>
      </c>
      <c r="F955" s="22" t="n">
        <v>45259</v>
      </c>
      <c r="G955" t="n">
        <v>-6.271663069779615</v>
      </c>
    </row>
    <row r="956">
      <c r="A956" t="inlineStr">
        <is>
          <t>GESHIP</t>
        </is>
      </c>
      <c r="B956" t="inlineStr">
        <is>
          <t>Bull</t>
        </is>
      </c>
      <c r="C956" t="n">
        <v>643</v>
      </c>
      <c r="D956" s="22" t="n">
        <v>45016</v>
      </c>
      <c r="E956" t="n">
        <v>778.65</v>
      </c>
      <c r="F956" s="22" t="n">
        <v>45236</v>
      </c>
      <c r="G956" t="n">
        <v>21.09642301710731</v>
      </c>
    </row>
    <row r="957">
      <c r="A957" t="inlineStr">
        <is>
          <t>GHCL</t>
        </is>
      </c>
      <c r="B957" t="inlineStr">
        <is>
          <t>Bull</t>
        </is>
      </c>
      <c r="C957" t="n">
        <v>673.5</v>
      </c>
      <c r="D957" s="22" t="n">
        <v>45635</v>
      </c>
      <c r="E957" t="n">
        <v>758.5</v>
      </c>
      <c r="F957" s="22" t="n">
        <v>45660</v>
      </c>
      <c r="G957" t="n">
        <v>12.62063845582776</v>
      </c>
    </row>
    <row r="958">
      <c r="A958" t="inlineStr">
        <is>
          <t>GHCL</t>
        </is>
      </c>
      <c r="B958" t="inlineStr">
        <is>
          <t>Bear</t>
        </is>
      </c>
      <c r="C958" t="n">
        <v>561.9</v>
      </c>
      <c r="D958" s="22" t="n">
        <v>45587</v>
      </c>
      <c r="E958" t="n">
        <v>631.9</v>
      </c>
      <c r="F958" s="22" t="n">
        <v>45631</v>
      </c>
      <c r="G958" t="n">
        <v>-12.45773269264994</v>
      </c>
    </row>
    <row r="959">
      <c r="A959" t="inlineStr">
        <is>
          <t>GHCL</t>
        </is>
      </c>
      <c r="B959" t="inlineStr">
        <is>
          <t>Bull</t>
        </is>
      </c>
      <c r="C959" t="n">
        <v>524.95</v>
      </c>
      <c r="D959" s="22" t="n">
        <v>45455</v>
      </c>
      <c r="E959" t="n">
        <v>602.85</v>
      </c>
      <c r="F959" s="22" t="n">
        <v>45583</v>
      </c>
      <c r="G959" t="n">
        <v>14.83950852462139</v>
      </c>
    </row>
    <row r="960">
      <c r="A960" t="inlineStr">
        <is>
          <t>GHCL</t>
        </is>
      </c>
      <c r="B960" t="inlineStr">
        <is>
          <t>Bear</t>
        </is>
      </c>
      <c r="C960" t="n">
        <v>515.15</v>
      </c>
      <c r="D960" s="22" t="n">
        <v>45453</v>
      </c>
      <c r="E960" t="n">
        <v>515.15</v>
      </c>
      <c r="F960" s="22" t="n">
        <v>45453</v>
      </c>
      <c r="G960" t="n">
        <v>0</v>
      </c>
    </row>
    <row r="961">
      <c r="A961" t="inlineStr">
        <is>
          <t>GHCL</t>
        </is>
      </c>
      <c r="B961" t="inlineStr">
        <is>
          <t>Bull</t>
        </is>
      </c>
      <c r="C961" t="n">
        <v>529.95</v>
      </c>
      <c r="D961" s="22" t="n">
        <v>45411</v>
      </c>
      <c r="E961" t="n">
        <v>480</v>
      </c>
      <c r="F961" s="22" t="n">
        <v>45449</v>
      </c>
      <c r="G961" t="n">
        <v>-9.425417492216255</v>
      </c>
    </row>
    <row r="962">
      <c r="A962" t="inlineStr">
        <is>
          <t>GHCL</t>
        </is>
      </c>
      <c r="B962" t="inlineStr">
        <is>
          <t>Bear</t>
        </is>
      </c>
      <c r="C962" t="n">
        <v>527.5</v>
      </c>
      <c r="D962" s="22" t="n">
        <v>45329</v>
      </c>
      <c r="E962" t="n">
        <v>533</v>
      </c>
      <c r="F962" s="22" t="n">
        <v>45407</v>
      </c>
      <c r="G962" t="n">
        <v>-1.042654028436019</v>
      </c>
    </row>
    <row r="963">
      <c r="A963" t="inlineStr">
        <is>
          <t>GHCL</t>
        </is>
      </c>
      <c r="B963" t="inlineStr">
        <is>
          <t>Bull</t>
        </is>
      </c>
      <c r="C963" t="n">
        <v>610.55</v>
      </c>
      <c r="D963" s="22" t="n">
        <v>45293</v>
      </c>
      <c r="E963" t="n">
        <v>532.75</v>
      </c>
      <c r="F963" s="22" t="n">
        <v>45327</v>
      </c>
      <c r="G963" t="n">
        <v>-12.74260912292195</v>
      </c>
    </row>
    <row r="964">
      <c r="A964" t="inlineStr">
        <is>
          <t>GHCL</t>
        </is>
      </c>
      <c r="B964" t="inlineStr">
        <is>
          <t>Bear</t>
        </is>
      </c>
      <c r="C964" t="n">
        <v>567.45</v>
      </c>
      <c r="D964" s="22" t="n">
        <v>45236</v>
      </c>
      <c r="E964" t="n">
        <v>581</v>
      </c>
      <c r="F964" s="22" t="n">
        <v>45289</v>
      </c>
      <c r="G964" t="n">
        <v>-2.387875583751864</v>
      </c>
    </row>
    <row r="965">
      <c r="A965" t="inlineStr">
        <is>
          <t>GHCL</t>
        </is>
      </c>
      <c r="B965" t="inlineStr">
        <is>
          <t>Bull</t>
        </is>
      </c>
      <c r="C965" t="n">
        <v>521.15</v>
      </c>
      <c r="D965" s="22" t="n">
        <v>45098</v>
      </c>
      <c r="E965" t="n">
        <v>570</v>
      </c>
      <c r="F965" s="22" t="n">
        <v>45232</v>
      </c>
      <c r="G965" t="n">
        <v>9.373500911445845</v>
      </c>
    </row>
    <row r="966">
      <c r="A966" t="inlineStr">
        <is>
          <t>GHCL</t>
        </is>
      </c>
      <c r="B966" t="inlineStr">
        <is>
          <t>Bear</t>
        </is>
      </c>
      <c r="C966" t="n">
        <v>487</v>
      </c>
      <c r="D966" s="22" t="n">
        <v>45079</v>
      </c>
      <c r="E966" t="n">
        <v>509.4</v>
      </c>
      <c r="F966" s="22" t="n">
        <v>45096</v>
      </c>
      <c r="G966" t="n">
        <v>-4.599589322381926</v>
      </c>
    </row>
    <row r="967">
      <c r="A967" t="inlineStr">
        <is>
          <t>GHCL</t>
        </is>
      </c>
      <c r="B967" t="inlineStr">
        <is>
          <t>Bull</t>
        </is>
      </c>
      <c r="C967" t="n">
        <v>515.25</v>
      </c>
      <c r="D967" s="22" t="n">
        <v>45064</v>
      </c>
      <c r="E967" t="n">
        <v>484.35</v>
      </c>
      <c r="F967" s="22" t="n">
        <v>45077</v>
      </c>
      <c r="G967" t="n">
        <v>-5.997088791848613</v>
      </c>
    </row>
    <row r="968">
      <c r="A968" t="inlineStr">
        <is>
          <t>GHCL</t>
        </is>
      </c>
      <c r="B968" t="inlineStr">
        <is>
          <t>Bear</t>
        </is>
      </c>
      <c r="C968" t="n">
        <v>603.55</v>
      </c>
      <c r="D968" s="22" t="n">
        <v>44874</v>
      </c>
      <c r="E968" t="n">
        <v>510.6</v>
      </c>
      <c r="F968" s="22" t="n">
        <v>45062</v>
      </c>
      <c r="G968" t="n">
        <v>15.40054676497389</v>
      </c>
    </row>
    <row r="969">
      <c r="A969" t="inlineStr">
        <is>
          <t>GLAND</t>
        </is>
      </c>
      <c r="B969" t="inlineStr">
        <is>
          <t>Bull</t>
        </is>
      </c>
      <c r="C969" t="n">
        <v>1813.25</v>
      </c>
      <c r="D969" s="22" t="n">
        <v>45632</v>
      </c>
      <c r="E969" t="n">
        <v>1901.1</v>
      </c>
      <c r="F969" s="22" t="n">
        <v>45660</v>
      </c>
      <c r="G969" t="n">
        <v>4.844891768923199</v>
      </c>
    </row>
    <row r="970">
      <c r="A970" t="inlineStr">
        <is>
          <t>GLAND</t>
        </is>
      </c>
      <c r="B970" t="inlineStr">
        <is>
          <t>Bear</t>
        </is>
      </c>
      <c r="C970" t="n">
        <v>1849</v>
      </c>
      <c r="D970" s="22" t="n">
        <v>45533</v>
      </c>
      <c r="E970" t="n">
        <v>1800.85</v>
      </c>
      <c r="F970" s="22" t="n">
        <v>45630</v>
      </c>
      <c r="G970" t="n">
        <v>2.604110329908063</v>
      </c>
    </row>
    <row r="971">
      <c r="A971" t="inlineStr">
        <is>
          <t>GLAND</t>
        </is>
      </c>
      <c r="B971" t="inlineStr">
        <is>
          <t>Bull</t>
        </is>
      </c>
      <c r="C971" t="n">
        <v>1866.4</v>
      </c>
      <c r="D971" s="22" t="n">
        <v>45439</v>
      </c>
      <c r="E971" t="n">
        <v>1873.3</v>
      </c>
      <c r="F971" s="22" t="n">
        <v>45531</v>
      </c>
      <c r="G971" t="n">
        <v>0.3696956708101084</v>
      </c>
    </row>
    <row r="972">
      <c r="A972" t="inlineStr">
        <is>
          <t>GLAND</t>
        </is>
      </c>
      <c r="B972" t="inlineStr">
        <is>
          <t>Bear</t>
        </is>
      </c>
      <c r="C972" t="n">
        <v>1787.55</v>
      </c>
      <c r="D972" s="22" t="n">
        <v>45352</v>
      </c>
      <c r="E972" t="n">
        <v>1881.85</v>
      </c>
      <c r="F972" s="22" t="n">
        <v>45435</v>
      </c>
      <c r="G972" t="n">
        <v>-5.275376912533913</v>
      </c>
    </row>
    <row r="973">
      <c r="A973" t="inlineStr">
        <is>
          <t>GLAND</t>
        </is>
      </c>
      <c r="B973" t="inlineStr">
        <is>
          <t>Bull</t>
        </is>
      </c>
      <c r="C973" t="n">
        <v>1615.25</v>
      </c>
      <c r="D973" s="22" t="n">
        <v>45246</v>
      </c>
      <c r="E973" t="n">
        <v>1801.8</v>
      </c>
      <c r="F973" s="22" t="n">
        <v>45350</v>
      </c>
      <c r="G973" t="n">
        <v>11.54929577464788</v>
      </c>
    </row>
    <row r="974">
      <c r="A974" t="inlineStr">
        <is>
          <t>GLAND</t>
        </is>
      </c>
      <c r="B974" t="inlineStr">
        <is>
          <t>Bear</t>
        </is>
      </c>
      <c r="C974" t="n">
        <v>1510.5</v>
      </c>
      <c r="D974" s="22" t="n">
        <v>45233</v>
      </c>
      <c r="E974" t="n">
        <v>1630</v>
      </c>
      <c r="F974" s="22" t="n">
        <v>45243</v>
      </c>
      <c r="G974" t="n">
        <v>-7.911287653095002</v>
      </c>
    </row>
    <row r="975">
      <c r="A975" t="inlineStr">
        <is>
          <t>GLAND</t>
        </is>
      </c>
      <c r="B975" t="inlineStr">
        <is>
          <t>Bull</t>
        </is>
      </c>
      <c r="C975" t="n">
        <v>1233</v>
      </c>
      <c r="D975" s="22" t="n">
        <v>45128</v>
      </c>
      <c r="E975" t="n">
        <v>1533.95</v>
      </c>
      <c r="F975" s="22" t="n">
        <v>45231</v>
      </c>
      <c r="G975" t="n">
        <v>24.40794809407948</v>
      </c>
    </row>
    <row r="976">
      <c r="A976" t="inlineStr">
        <is>
          <t>GLAND</t>
        </is>
      </c>
      <c r="B976" t="inlineStr">
        <is>
          <t>Bear</t>
        </is>
      </c>
      <c r="C976" t="n">
        <v>941.4</v>
      </c>
      <c r="D976" s="22" t="n">
        <v>45069</v>
      </c>
      <c r="E976" t="n">
        <v>1193</v>
      </c>
      <c r="F976" s="22" t="n">
        <v>45126</v>
      </c>
      <c r="G976" t="n">
        <v>-26.72615253877205</v>
      </c>
    </row>
    <row r="977">
      <c r="A977" t="inlineStr">
        <is>
          <t>GLAND</t>
        </is>
      </c>
      <c r="B977" t="inlineStr">
        <is>
          <t>Bull</t>
        </is>
      </c>
      <c r="C977" t="n">
        <v>1375.7</v>
      </c>
      <c r="D977" s="22" t="n">
        <v>45048</v>
      </c>
      <c r="E977" t="n">
        <v>1065.6</v>
      </c>
      <c r="F977" s="22" t="n">
        <v>45065</v>
      </c>
      <c r="G977" t="n">
        <v>-22.54125172639385</v>
      </c>
    </row>
    <row r="978">
      <c r="A978" t="inlineStr">
        <is>
          <t>GLAXO</t>
        </is>
      </c>
      <c r="B978" t="inlineStr">
        <is>
          <t>Bear</t>
        </is>
      </c>
      <c r="C978" t="n">
        <v>2704.7</v>
      </c>
      <c r="D978" s="22" t="n">
        <v>45573</v>
      </c>
      <c r="E978" t="n">
        <v>2241.05</v>
      </c>
      <c r="F978" s="22" t="n">
        <v>45660</v>
      </c>
      <c r="G978" t="n">
        <v>17.14238177986467</v>
      </c>
    </row>
    <row r="979">
      <c r="A979" t="inlineStr">
        <is>
          <t>GLAXO</t>
        </is>
      </c>
      <c r="B979" t="inlineStr">
        <is>
          <t>Bull</t>
        </is>
      </c>
      <c r="C979" t="n">
        <v>2043.1</v>
      </c>
      <c r="D979" s="22" t="n">
        <v>45419</v>
      </c>
      <c r="E979" t="n">
        <v>2751.35</v>
      </c>
      <c r="F979" s="22" t="n">
        <v>45569</v>
      </c>
      <c r="G979" t="n">
        <v>34.66545935098625</v>
      </c>
    </row>
    <row r="980">
      <c r="A980" t="inlineStr">
        <is>
          <t>GLAXO</t>
        </is>
      </c>
      <c r="B980" t="inlineStr">
        <is>
          <t>Bear</t>
        </is>
      </c>
      <c r="C980" t="n">
        <v>1969.05</v>
      </c>
      <c r="D980" s="22" t="n">
        <v>45365</v>
      </c>
      <c r="E980" t="n">
        <v>2095.35</v>
      </c>
      <c r="F980" s="22" t="n">
        <v>45415</v>
      </c>
      <c r="G980" t="n">
        <v>-6.414260684086233</v>
      </c>
    </row>
    <row r="981">
      <c r="A981" t="inlineStr">
        <is>
          <t>GLAXO</t>
        </is>
      </c>
      <c r="B981" t="inlineStr">
        <is>
          <t>Bull</t>
        </is>
      </c>
      <c r="C981" t="n">
        <v>1647.95</v>
      </c>
      <c r="D981" s="22" t="n">
        <v>45250</v>
      </c>
      <c r="E981" t="n">
        <v>2001.25</v>
      </c>
      <c r="F981" s="22" t="n">
        <v>45363</v>
      </c>
      <c r="G981" t="n">
        <v>21.43875724384841</v>
      </c>
    </row>
    <row r="982">
      <c r="A982" t="inlineStr">
        <is>
          <t>GLAXO</t>
        </is>
      </c>
      <c r="B982" t="inlineStr">
        <is>
          <t>Bear</t>
        </is>
      </c>
      <c r="C982" t="n">
        <v>1390.25</v>
      </c>
      <c r="D982" s="22" t="n">
        <v>45232</v>
      </c>
      <c r="E982" t="n">
        <v>1587.95</v>
      </c>
      <c r="F982" s="22" t="n">
        <v>45246</v>
      </c>
      <c r="G982" t="n">
        <v>-14.22046394533358</v>
      </c>
    </row>
    <row r="983">
      <c r="A983" t="inlineStr">
        <is>
          <t>GLAXO</t>
        </is>
      </c>
      <c r="B983" t="inlineStr">
        <is>
          <t>Bull</t>
        </is>
      </c>
      <c r="C983" t="n">
        <v>1311.1</v>
      </c>
      <c r="D983" s="22" t="n">
        <v>45069</v>
      </c>
      <c r="E983" t="n">
        <v>1423.35</v>
      </c>
      <c r="F983" s="22" t="n">
        <v>45230</v>
      </c>
      <c r="G983" t="n">
        <v>8.561513233162993</v>
      </c>
    </row>
    <row r="984">
      <c r="A984" t="inlineStr">
        <is>
          <t>GLAXO</t>
        </is>
      </c>
      <c r="B984" t="inlineStr">
        <is>
          <t>Bear</t>
        </is>
      </c>
      <c r="C984" t="n">
        <v>1274.75</v>
      </c>
      <c r="D984" s="22" t="n">
        <v>45013</v>
      </c>
      <c r="E984" t="n">
        <v>1290.45</v>
      </c>
      <c r="F984" s="22" t="n">
        <v>45065</v>
      </c>
      <c r="G984" t="n">
        <v>-1.231614041969017</v>
      </c>
    </row>
    <row r="985">
      <c r="A985" t="inlineStr">
        <is>
          <t>MEDANTA</t>
        </is>
      </c>
      <c r="B985" t="inlineStr">
        <is>
          <t>Bull</t>
        </is>
      </c>
      <c r="C985" t="n">
        <v>1138.6</v>
      </c>
      <c r="D985" s="22" t="n">
        <v>45629</v>
      </c>
      <c r="E985" t="n">
        <v>1089.1</v>
      </c>
      <c r="F985" s="22" t="n">
        <v>45660</v>
      </c>
      <c r="G985" t="n">
        <v>-4.347444229755841</v>
      </c>
    </row>
    <row r="986">
      <c r="A986" t="inlineStr">
        <is>
          <t>MEDANTA</t>
        </is>
      </c>
      <c r="B986" t="inlineStr">
        <is>
          <t>Bear</t>
        </is>
      </c>
      <c r="C986" t="n">
        <v>1230.1</v>
      </c>
      <c r="D986" s="22" t="n">
        <v>45440</v>
      </c>
      <c r="E986" t="n">
        <v>1075.15</v>
      </c>
      <c r="F986" s="22" t="n">
        <v>45625</v>
      </c>
      <c r="G986" t="n">
        <v>12.59653686692137</v>
      </c>
    </row>
    <row r="987">
      <c r="A987" t="inlineStr">
        <is>
          <t>MEDANTA</t>
        </is>
      </c>
      <c r="B987" t="inlineStr">
        <is>
          <t>Bull</t>
        </is>
      </c>
      <c r="C987" t="n">
        <v>459.1</v>
      </c>
      <c r="D987" s="22" t="n">
        <v>44972</v>
      </c>
      <c r="E987" t="n">
        <v>1184.45</v>
      </c>
      <c r="F987" s="22" t="n">
        <v>45436</v>
      </c>
      <c r="G987" t="n">
        <v>157.9939011108691</v>
      </c>
    </row>
    <row r="988">
      <c r="A988" t="inlineStr">
        <is>
          <t>GMMPFAUDLR</t>
        </is>
      </c>
      <c r="B988" t="inlineStr">
        <is>
          <t>Bear</t>
        </is>
      </c>
      <c r="C988" t="n">
        <v>1387.05</v>
      </c>
      <c r="D988" s="22" t="n">
        <v>45595</v>
      </c>
      <c r="E988" t="n">
        <v>1210.55</v>
      </c>
      <c r="F988" s="22" t="n">
        <v>45660</v>
      </c>
      <c r="G988" t="n">
        <v>12.72484769835262</v>
      </c>
    </row>
    <row r="989">
      <c r="A989" t="inlineStr">
        <is>
          <t>GMMPFAUDLR</t>
        </is>
      </c>
      <c r="B989" t="inlineStr">
        <is>
          <t>Bull</t>
        </is>
      </c>
      <c r="C989" t="n">
        <v>1420.4</v>
      </c>
      <c r="D989" s="22" t="n">
        <v>45546</v>
      </c>
      <c r="E989" t="n">
        <v>1360.55</v>
      </c>
      <c r="F989" s="22" t="n">
        <v>45593</v>
      </c>
      <c r="G989" t="n">
        <v>-4.213601802309218</v>
      </c>
    </row>
    <row r="990">
      <c r="A990" t="inlineStr">
        <is>
          <t>GMMPFAUDLR</t>
        </is>
      </c>
      <c r="B990" t="inlineStr">
        <is>
          <t>Bear</t>
        </is>
      </c>
      <c r="C990" t="n">
        <v>1286</v>
      </c>
      <c r="D990" s="22" t="n">
        <v>45520</v>
      </c>
      <c r="E990" t="n">
        <v>1406.45</v>
      </c>
      <c r="F990" s="22" t="n">
        <v>45544</v>
      </c>
      <c r="G990" t="n">
        <v>-9.366251944012445</v>
      </c>
    </row>
    <row r="991">
      <c r="A991" t="inlineStr">
        <is>
          <t>GMMPFAUDLR</t>
        </is>
      </c>
      <c r="B991" t="inlineStr">
        <is>
          <t>Bull</t>
        </is>
      </c>
      <c r="C991" t="n">
        <v>1404.6</v>
      </c>
      <c r="D991" s="22" t="n">
        <v>45477</v>
      </c>
      <c r="E991" t="n">
        <v>1294</v>
      </c>
      <c r="F991" s="22" t="n">
        <v>45517</v>
      </c>
      <c r="G991" t="n">
        <v>-7.874127865584502</v>
      </c>
    </row>
    <row r="992">
      <c r="A992" t="inlineStr">
        <is>
          <t>GMMPFAUDLR</t>
        </is>
      </c>
      <c r="B992" t="inlineStr">
        <is>
          <t>Bear</t>
        </is>
      </c>
      <c r="C992" t="n">
        <v>1284.15</v>
      </c>
      <c r="D992" s="22" t="n">
        <v>45439</v>
      </c>
      <c r="E992" t="n">
        <v>1400.6</v>
      </c>
      <c r="F992" s="22" t="n">
        <v>45475</v>
      </c>
      <c r="G992" t="n">
        <v>-9.068255266129331</v>
      </c>
    </row>
    <row r="993">
      <c r="A993" t="inlineStr">
        <is>
          <t>GMMPFAUDLR</t>
        </is>
      </c>
      <c r="B993" t="inlineStr">
        <is>
          <t>Bull</t>
        </is>
      </c>
      <c r="C993" t="n">
        <v>1424.6</v>
      </c>
      <c r="D993" s="22" t="n">
        <v>45405</v>
      </c>
      <c r="E993" t="n">
        <v>1323.05</v>
      </c>
      <c r="F993" s="22" t="n">
        <v>45435</v>
      </c>
      <c r="G993" t="n">
        <v>-7.12831672048294</v>
      </c>
    </row>
    <row r="994">
      <c r="A994" t="inlineStr">
        <is>
          <t>GMMPFAUDLR</t>
        </is>
      </c>
      <c r="B994" t="inlineStr">
        <is>
          <t>Bear</t>
        </is>
      </c>
      <c r="C994" t="n">
        <v>1606.8</v>
      </c>
      <c r="D994" s="22" t="n">
        <v>45247</v>
      </c>
      <c r="E994" t="n">
        <v>1412.2</v>
      </c>
      <c r="F994" s="22" t="n">
        <v>45401</v>
      </c>
      <c r="G994" t="n">
        <v>12.1110281304456</v>
      </c>
    </row>
    <row r="995">
      <c r="A995" t="inlineStr">
        <is>
          <t>GMMPFAUDLR</t>
        </is>
      </c>
      <c r="B995" t="inlineStr">
        <is>
          <t>Bull</t>
        </is>
      </c>
      <c r="C995" t="n">
        <v>1510</v>
      </c>
      <c r="D995" s="22" t="n">
        <v>45154</v>
      </c>
      <c r="E995" t="n">
        <v>1649.7</v>
      </c>
      <c r="F995" s="22" t="n">
        <v>45245</v>
      </c>
      <c r="G995" t="n">
        <v>9.251655629139076</v>
      </c>
    </row>
    <row r="996">
      <c r="A996" t="inlineStr">
        <is>
          <t>GMMPFAUDLR</t>
        </is>
      </c>
      <c r="B996" t="inlineStr">
        <is>
          <t>Bear</t>
        </is>
      </c>
      <c r="C996" t="n">
        <v>1462</v>
      </c>
      <c r="D996" s="22" t="n">
        <v>45128</v>
      </c>
      <c r="E996" t="n">
        <v>1587</v>
      </c>
      <c r="F996" s="22" t="n">
        <v>45149</v>
      </c>
      <c r="G996" t="n">
        <v>-8.549931600547197</v>
      </c>
    </row>
    <row r="997">
      <c r="A997" t="inlineStr">
        <is>
          <t>GMMPFAUDLR</t>
        </is>
      </c>
      <c r="B997" t="inlineStr">
        <is>
          <t>Bull</t>
        </is>
      </c>
      <c r="C997" t="n">
        <v>1474.2</v>
      </c>
      <c r="D997" s="22" t="n">
        <v>45100</v>
      </c>
      <c r="E997" t="n">
        <v>1463.75</v>
      </c>
      <c r="F997" s="22" t="n">
        <v>45126</v>
      </c>
      <c r="G997" t="n">
        <v>-0.7088590421923785</v>
      </c>
    </row>
    <row r="998">
      <c r="A998" t="inlineStr">
        <is>
          <t>GMMPFAUDLR</t>
        </is>
      </c>
      <c r="B998" t="inlineStr">
        <is>
          <t>Bear</t>
        </is>
      </c>
      <c r="C998" t="n">
        <v>1653.05</v>
      </c>
      <c r="D998" s="22" t="n">
        <v>44915</v>
      </c>
      <c r="E998" t="n">
        <v>1536.45</v>
      </c>
      <c r="F998" s="22" t="n">
        <v>45098</v>
      </c>
      <c r="G998" t="n">
        <v>7.053628141919477</v>
      </c>
    </row>
    <row r="999">
      <c r="A999" t="inlineStr">
        <is>
          <t>GPIL</t>
        </is>
      </c>
      <c r="B999" t="inlineStr">
        <is>
          <t>Bull</t>
        </is>
      </c>
      <c r="C999" t="n">
        <v>214.57</v>
      </c>
      <c r="D999" s="22" t="n">
        <v>45632</v>
      </c>
      <c r="E999" t="n">
        <v>208.5</v>
      </c>
      <c r="F999" s="22" t="n">
        <v>45660</v>
      </c>
      <c r="G999" t="n">
        <v>-2.828913641235957</v>
      </c>
    </row>
    <row r="1000">
      <c r="A1000" t="inlineStr">
        <is>
          <t>GPIL</t>
        </is>
      </c>
      <c r="B1000" t="inlineStr">
        <is>
          <t>Bear</t>
        </is>
      </c>
      <c r="C1000" t="n">
        <v>190.15</v>
      </c>
      <c r="D1000" s="22" t="n">
        <v>45580</v>
      </c>
      <c r="E1000" t="n">
        <v>204.57</v>
      </c>
      <c r="F1000" s="22" t="n">
        <v>45630</v>
      </c>
      <c r="G1000" t="n">
        <v>-7.583486721009722</v>
      </c>
    </row>
    <row r="1001">
      <c r="A1001" t="inlineStr">
        <is>
          <t>GPIL</t>
        </is>
      </c>
      <c r="B1001" t="inlineStr">
        <is>
          <t>Bull</t>
        </is>
      </c>
      <c r="C1001" t="n">
        <v>214.09</v>
      </c>
      <c r="D1001" s="22" t="n">
        <v>45566</v>
      </c>
      <c r="E1001" t="n">
        <v>190.9</v>
      </c>
      <c r="F1001" s="22" t="n">
        <v>45576</v>
      </c>
      <c r="G1001" t="n">
        <v>-10.83189312905787</v>
      </c>
    </row>
    <row r="1002">
      <c r="A1002" t="inlineStr">
        <is>
          <t>GPIL</t>
        </is>
      </c>
      <c r="B1002" t="inlineStr">
        <is>
          <t>Bear</t>
        </is>
      </c>
      <c r="C1002" t="n">
        <v>191.41</v>
      </c>
      <c r="D1002" s="22" t="n">
        <v>45526</v>
      </c>
      <c r="E1002" t="n">
        <v>211.11</v>
      </c>
      <c r="F1002" s="22" t="n">
        <v>45562</v>
      </c>
      <c r="G1002" t="n">
        <v>-10.29204325792802</v>
      </c>
    </row>
    <row r="1003">
      <c r="A1003" t="inlineStr">
        <is>
          <t>GPIL</t>
        </is>
      </c>
      <c r="B1003" t="inlineStr">
        <is>
          <t>Bull</t>
        </is>
      </c>
      <c r="C1003" t="n">
        <v>163.66</v>
      </c>
      <c r="D1003" s="22" t="n">
        <v>45394</v>
      </c>
      <c r="E1003" t="n">
        <v>192.68</v>
      </c>
      <c r="F1003" s="22" t="n">
        <v>45524</v>
      </c>
      <c r="G1003" t="n">
        <v>17.73188317243065</v>
      </c>
    </row>
    <row r="1004">
      <c r="A1004" t="inlineStr">
        <is>
          <t>GPIL</t>
        </is>
      </c>
      <c r="B1004" t="inlineStr">
        <is>
          <t>Bear</t>
        </is>
      </c>
      <c r="C1004" t="n">
        <v>139.14</v>
      </c>
      <c r="D1004" s="22" t="n">
        <v>45366</v>
      </c>
      <c r="E1004" t="n">
        <v>151.48</v>
      </c>
      <c r="F1004" s="22" t="n">
        <v>45391</v>
      </c>
      <c r="G1004" t="n">
        <v>-8.868765272387527</v>
      </c>
    </row>
    <row r="1005">
      <c r="A1005" t="inlineStr">
        <is>
          <t>GPIL</t>
        </is>
      </c>
      <c r="B1005" t="inlineStr">
        <is>
          <t>Bull</t>
        </is>
      </c>
      <c r="C1005" t="n">
        <v>85.45</v>
      </c>
      <c r="D1005" s="22" t="n">
        <v>45090</v>
      </c>
      <c r="E1005" t="n">
        <v>138.25</v>
      </c>
      <c r="F1005" s="22" t="n">
        <v>45364</v>
      </c>
      <c r="G1005" t="n">
        <v>61.79052077238151</v>
      </c>
    </row>
    <row r="1006">
      <c r="A1006" t="inlineStr">
        <is>
          <t>GPIL</t>
        </is>
      </c>
      <c r="B1006" t="inlineStr">
        <is>
          <t>Bear</t>
        </is>
      </c>
      <c r="C1006" t="n">
        <v>72.39</v>
      </c>
      <c r="D1006" s="22" t="n">
        <v>45075</v>
      </c>
      <c r="E1006" t="n">
        <v>75.7</v>
      </c>
      <c r="F1006" s="22" t="n">
        <v>45086</v>
      </c>
      <c r="G1006" t="n">
        <v>-4.572454758944609</v>
      </c>
    </row>
    <row r="1007">
      <c r="A1007" t="inlineStr">
        <is>
          <t>GPIL</t>
        </is>
      </c>
      <c r="B1007" t="inlineStr">
        <is>
          <t>Bull</t>
        </is>
      </c>
      <c r="C1007" t="n">
        <v>75.48999999999999</v>
      </c>
      <c r="D1007" s="22" t="n">
        <v>45063</v>
      </c>
      <c r="E1007" t="n">
        <v>72.34999999999999</v>
      </c>
      <c r="F1007" s="22" t="n">
        <v>45071</v>
      </c>
      <c r="G1007" t="n">
        <v>-4.159491323354088</v>
      </c>
    </row>
    <row r="1008">
      <c r="A1008" t="inlineStr">
        <is>
          <t>GODFRYPHLP</t>
        </is>
      </c>
      <c r="B1008" t="inlineStr">
        <is>
          <t>Bear</t>
        </is>
      </c>
      <c r="C1008" t="n">
        <v>5626.2</v>
      </c>
      <c r="D1008" s="22" t="n">
        <v>45618</v>
      </c>
      <c r="E1008" t="n">
        <v>5105.9</v>
      </c>
      <c r="F1008" s="22" t="n">
        <v>45660</v>
      </c>
      <c r="G1008" t="n">
        <v>9.247804912729732</v>
      </c>
    </row>
    <row r="1009">
      <c r="A1009" t="inlineStr">
        <is>
          <t>GODFRYPHLP</t>
        </is>
      </c>
      <c r="B1009" t="inlineStr">
        <is>
          <t>Bull</t>
        </is>
      </c>
      <c r="C1009" t="n">
        <v>2175.25</v>
      </c>
      <c r="D1009" s="22" t="n">
        <v>45295</v>
      </c>
      <c r="E1009" t="n">
        <v>5985.65</v>
      </c>
      <c r="F1009" s="22" t="n">
        <v>45615</v>
      </c>
      <c r="G1009" t="n">
        <v>175.1706700379267</v>
      </c>
    </row>
    <row r="1010">
      <c r="A1010" t="inlineStr">
        <is>
          <t>GODFRYPHLP</t>
        </is>
      </c>
      <c r="B1010" t="inlineStr">
        <is>
          <t>Bear</t>
        </is>
      </c>
      <c r="C1010" t="n">
        <v>2059</v>
      </c>
      <c r="D1010" s="22" t="n">
        <v>45252</v>
      </c>
      <c r="E1010" t="n">
        <v>2153.25</v>
      </c>
      <c r="F1010" s="22" t="n">
        <v>45293</v>
      </c>
      <c r="G1010" t="n">
        <v>-4.577464788732395</v>
      </c>
    </row>
    <row r="1011">
      <c r="A1011" t="inlineStr">
        <is>
          <t>GODFRYPHLP</t>
        </is>
      </c>
      <c r="B1011" t="inlineStr">
        <is>
          <t>Bull</t>
        </is>
      </c>
      <c r="C1011" t="n">
        <v>2143.95</v>
      </c>
      <c r="D1011" s="22" t="n">
        <v>45138</v>
      </c>
      <c r="E1011" t="n">
        <v>2077.55</v>
      </c>
      <c r="F1011" s="22" t="n">
        <v>45250</v>
      </c>
      <c r="G1011" t="n">
        <v>-3.097087152219018</v>
      </c>
    </row>
    <row r="1012">
      <c r="A1012" t="inlineStr">
        <is>
          <t>GODFRYPHLP</t>
        </is>
      </c>
      <c r="B1012" t="inlineStr">
        <is>
          <t>Bear</t>
        </is>
      </c>
      <c r="C1012" t="n">
        <v>1768.5</v>
      </c>
      <c r="D1012" s="22" t="n">
        <v>45021</v>
      </c>
      <c r="E1012" t="n">
        <v>1915</v>
      </c>
      <c r="F1012" s="22" t="n">
        <v>45134</v>
      </c>
      <c r="G1012" t="n">
        <v>-8.283856375459429</v>
      </c>
    </row>
    <row r="1013">
      <c r="A1013" t="inlineStr">
        <is>
          <t>GOLDIAM</t>
        </is>
      </c>
      <c r="B1013" t="inlineStr">
        <is>
          <t>Bull</t>
        </is>
      </c>
      <c r="C1013" t="n">
        <v>420.35</v>
      </c>
      <c r="D1013" s="22" t="n">
        <v>45635</v>
      </c>
      <c r="E1013" t="n">
        <v>424.65</v>
      </c>
      <c r="F1013" s="22" t="n">
        <v>45660</v>
      </c>
      <c r="G1013" t="n">
        <v>1.022957059593185</v>
      </c>
    </row>
    <row r="1014">
      <c r="A1014" t="inlineStr">
        <is>
          <t>GOLDIAM</t>
        </is>
      </c>
      <c r="B1014" t="inlineStr">
        <is>
          <t>Bear</t>
        </is>
      </c>
      <c r="C1014" t="n">
        <v>316.3</v>
      </c>
      <c r="D1014" s="22" t="n">
        <v>45622</v>
      </c>
      <c r="E1014" t="n">
        <v>367.25</v>
      </c>
      <c r="F1014" s="22" t="n">
        <v>45631</v>
      </c>
      <c r="G1014" t="n">
        <v>-16.10812519759721</v>
      </c>
    </row>
    <row r="1015">
      <c r="A1015" t="inlineStr">
        <is>
          <t>GOLDIAM</t>
        </is>
      </c>
      <c r="B1015" t="inlineStr">
        <is>
          <t>Bull</t>
        </is>
      </c>
      <c r="C1015" t="n">
        <v>175.85</v>
      </c>
      <c r="D1015" s="22" t="n">
        <v>45483</v>
      </c>
      <c r="E1015" t="n">
        <v>317.15</v>
      </c>
      <c r="F1015" s="22" t="n">
        <v>45618</v>
      </c>
      <c r="G1015" t="n">
        <v>80.35257321580892</v>
      </c>
    </row>
    <row r="1016">
      <c r="A1016" t="inlineStr">
        <is>
          <t>GOLDIAM</t>
        </is>
      </c>
      <c r="B1016" t="inlineStr">
        <is>
          <t>Bear</t>
        </is>
      </c>
      <c r="C1016" t="n">
        <v>172.4</v>
      </c>
      <c r="D1016" s="22" t="n">
        <v>45370</v>
      </c>
      <c r="E1016" t="n">
        <v>175.91</v>
      </c>
      <c r="F1016" s="22" t="n">
        <v>45481</v>
      </c>
      <c r="G1016" t="n">
        <v>-2.035962877030157</v>
      </c>
    </row>
    <row r="1017">
      <c r="A1017" t="inlineStr">
        <is>
          <t>GOLDIAM</t>
        </is>
      </c>
      <c r="B1017" t="inlineStr">
        <is>
          <t>Bull</t>
        </is>
      </c>
      <c r="C1017" t="n">
        <v>136.9</v>
      </c>
      <c r="D1017" s="22" t="n">
        <v>45240</v>
      </c>
      <c r="E1017" t="n">
        <v>173.4</v>
      </c>
      <c r="F1017" s="22" t="n">
        <v>45366</v>
      </c>
      <c r="G1017" t="n">
        <v>26.6617969320672</v>
      </c>
    </row>
    <row r="1018">
      <c r="A1018" t="inlineStr">
        <is>
          <t>GOLDIAM</t>
        </is>
      </c>
      <c r="B1018" t="inlineStr">
        <is>
          <t>Bear</t>
        </is>
      </c>
      <c r="C1018" t="n">
        <v>128.45</v>
      </c>
      <c r="D1018" s="22" t="n">
        <v>45231</v>
      </c>
      <c r="E1018" t="n">
        <v>131.65</v>
      </c>
      <c r="F1018" s="22" t="n">
        <v>45238</v>
      </c>
      <c r="G1018" t="n">
        <v>-2.491241728298963</v>
      </c>
    </row>
    <row r="1019">
      <c r="A1019" t="inlineStr">
        <is>
          <t>GOLDIAM</t>
        </is>
      </c>
      <c r="B1019" t="inlineStr">
        <is>
          <t>Bull</t>
        </is>
      </c>
      <c r="C1019" t="n">
        <v>133</v>
      </c>
      <c r="D1019" s="22" t="n">
        <v>45212</v>
      </c>
      <c r="E1019" t="n">
        <v>126.2</v>
      </c>
      <c r="F1019" s="22" t="n">
        <v>45229</v>
      </c>
      <c r="G1019" t="n">
        <v>-5.112781954887216</v>
      </c>
    </row>
    <row r="1020">
      <c r="A1020" t="inlineStr">
        <is>
          <t>GOLDIAM</t>
        </is>
      </c>
      <c r="B1020" t="inlineStr">
        <is>
          <t>Bear</t>
        </is>
      </c>
      <c r="C1020" t="n">
        <v>127.35</v>
      </c>
      <c r="D1020" s="22" t="n">
        <v>45197</v>
      </c>
      <c r="E1020" t="n">
        <v>132.7</v>
      </c>
      <c r="F1020" s="22" t="n">
        <v>45210</v>
      </c>
      <c r="G1020" t="n">
        <v>-4.201020808794656</v>
      </c>
    </row>
    <row r="1021">
      <c r="A1021" t="inlineStr">
        <is>
          <t>GOLDIAM</t>
        </is>
      </c>
      <c r="B1021" t="inlineStr">
        <is>
          <t>Bull</t>
        </is>
      </c>
      <c r="C1021" t="n">
        <v>127.8</v>
      </c>
      <c r="D1021" s="22" t="n">
        <v>45189</v>
      </c>
      <c r="E1021" t="n">
        <v>127.45</v>
      </c>
      <c r="F1021" s="22" t="n">
        <v>45195</v>
      </c>
      <c r="G1021" t="n">
        <v>-0.2738654147104806</v>
      </c>
    </row>
    <row r="1022">
      <c r="A1022" t="inlineStr">
        <is>
          <t>GOLDIAM</t>
        </is>
      </c>
      <c r="B1022" t="inlineStr">
        <is>
          <t>Bear</t>
        </is>
      </c>
      <c r="C1022" t="n">
        <v>131.05</v>
      </c>
      <c r="D1022" s="22" t="n">
        <v>45072</v>
      </c>
      <c r="E1022" t="n">
        <v>129.85</v>
      </c>
      <c r="F1022" s="22" t="n">
        <v>45184</v>
      </c>
      <c r="G1022" t="n">
        <v>0.9156810377718557</v>
      </c>
    </row>
    <row r="1023">
      <c r="A1023" t="inlineStr">
        <is>
          <t>GOLDIAM</t>
        </is>
      </c>
      <c r="B1023" t="inlineStr">
        <is>
          <t>Bull</t>
        </is>
      </c>
      <c r="C1023" t="n">
        <v>144.7</v>
      </c>
      <c r="D1023" s="22" t="n">
        <v>45049</v>
      </c>
      <c r="E1023" t="n">
        <v>132.5</v>
      </c>
      <c r="F1023" s="22" t="n">
        <v>45070</v>
      </c>
      <c r="G1023" t="n">
        <v>-8.431237042156178</v>
      </c>
    </row>
    <row r="1024">
      <c r="A1024" t="inlineStr">
        <is>
          <t>GRANULES</t>
        </is>
      </c>
      <c r="B1024" t="inlineStr">
        <is>
          <t>Bull</t>
        </is>
      </c>
      <c r="C1024" t="n">
        <v>584.1</v>
      </c>
      <c r="D1024" s="22" t="n">
        <v>45642</v>
      </c>
      <c r="E1024" t="n">
        <v>605.2</v>
      </c>
      <c r="F1024" s="22" t="n">
        <v>45660</v>
      </c>
      <c r="G1024" t="n">
        <v>3.61239513781887</v>
      </c>
    </row>
    <row r="1025">
      <c r="A1025" t="inlineStr">
        <is>
          <t>GRANULES</t>
        </is>
      </c>
      <c r="B1025" t="inlineStr">
        <is>
          <t>Bear</t>
        </is>
      </c>
      <c r="C1025" t="n">
        <v>563.1</v>
      </c>
      <c r="D1025" s="22" t="n">
        <v>45559</v>
      </c>
      <c r="E1025" t="n">
        <v>589.3</v>
      </c>
      <c r="F1025" s="22" t="n">
        <v>45638</v>
      </c>
      <c r="G1025" t="n">
        <v>-4.652814775350725</v>
      </c>
    </row>
    <row r="1026">
      <c r="A1026" t="inlineStr">
        <is>
          <t>GRANULES</t>
        </is>
      </c>
      <c r="B1026" t="inlineStr">
        <is>
          <t>Bull</t>
        </is>
      </c>
      <c r="C1026" t="n">
        <v>412</v>
      </c>
      <c r="D1026" s="22" t="n">
        <v>45447</v>
      </c>
      <c r="E1026" t="n">
        <v>539.9</v>
      </c>
      <c r="F1026" s="22" t="n">
        <v>45555</v>
      </c>
      <c r="G1026" t="n">
        <v>31.04368932038835</v>
      </c>
    </row>
    <row r="1027">
      <c r="A1027" t="inlineStr">
        <is>
          <t>GRANULES</t>
        </is>
      </c>
      <c r="B1027" t="inlineStr">
        <is>
          <t>Bear</t>
        </is>
      </c>
      <c r="C1027" t="n">
        <v>415.75</v>
      </c>
      <c r="D1027" s="22" t="n">
        <v>45398</v>
      </c>
      <c r="E1027" t="n">
        <v>418.5</v>
      </c>
      <c r="F1027" s="22" t="n">
        <v>45443</v>
      </c>
      <c r="G1027" t="n">
        <v>-0.661455201443175</v>
      </c>
    </row>
    <row r="1028">
      <c r="A1028" t="inlineStr">
        <is>
          <t>GRANULES</t>
        </is>
      </c>
      <c r="B1028" t="inlineStr">
        <is>
          <t>Bull</t>
        </is>
      </c>
      <c r="C1028" t="n">
        <v>312.85</v>
      </c>
      <c r="D1028" s="22" t="n">
        <v>45177</v>
      </c>
      <c r="E1028" t="n">
        <v>421.85</v>
      </c>
      <c r="F1028" s="22" t="n">
        <v>45394</v>
      </c>
      <c r="G1028" t="n">
        <v>34.84097810452293</v>
      </c>
    </row>
    <row r="1029">
      <c r="A1029" t="inlineStr">
        <is>
          <t>GRANULES</t>
        </is>
      </c>
      <c r="B1029" t="inlineStr">
        <is>
          <t>Bear</t>
        </is>
      </c>
      <c r="C1029" t="n">
        <v>294.75</v>
      </c>
      <c r="D1029" s="22" t="n">
        <v>45162</v>
      </c>
      <c r="E1029" t="n">
        <v>310.95</v>
      </c>
      <c r="F1029" s="22" t="n">
        <v>45175</v>
      </c>
      <c r="G1029" t="n">
        <v>-5.496183206106867</v>
      </c>
    </row>
    <row r="1030">
      <c r="A1030" t="inlineStr">
        <is>
          <t>GRANULES</t>
        </is>
      </c>
      <c r="B1030" t="inlineStr">
        <is>
          <t>Bull</t>
        </is>
      </c>
      <c r="C1030" t="n">
        <v>297.2</v>
      </c>
      <c r="D1030" s="22" t="n">
        <v>45107</v>
      </c>
      <c r="E1030" t="n">
        <v>294.95</v>
      </c>
      <c r="F1030" s="22" t="n">
        <v>45160</v>
      </c>
      <c r="G1030" t="n">
        <v>-0.7570659488559892</v>
      </c>
    </row>
    <row r="1031">
      <c r="A1031" t="inlineStr">
        <is>
          <t>GRANULES</t>
        </is>
      </c>
      <c r="B1031" t="inlineStr">
        <is>
          <t>Bear</t>
        </is>
      </c>
      <c r="C1031" t="n">
        <v>276.3</v>
      </c>
      <c r="D1031" s="22" t="n">
        <v>45065</v>
      </c>
      <c r="E1031" t="n">
        <v>297</v>
      </c>
      <c r="F1031" s="22" t="n">
        <v>45104</v>
      </c>
      <c r="G1031" t="n">
        <v>-7.491856677524425</v>
      </c>
    </row>
    <row r="1032">
      <c r="A1032" t="inlineStr">
        <is>
          <t>GRANULES</t>
        </is>
      </c>
      <c r="B1032" t="inlineStr">
        <is>
          <t>Bull</t>
        </is>
      </c>
      <c r="C1032" t="n">
        <v>300.5</v>
      </c>
      <c r="D1032" s="22" t="n">
        <v>45037</v>
      </c>
      <c r="E1032" t="n">
        <v>285.95</v>
      </c>
      <c r="F1032" s="22" t="n">
        <v>45063</v>
      </c>
      <c r="G1032" t="n">
        <v>-4.841930116472549</v>
      </c>
    </row>
    <row r="1033">
      <c r="A1033" t="inlineStr">
        <is>
          <t>GREENLAM</t>
        </is>
      </c>
      <c r="B1033" t="inlineStr">
        <is>
          <t>Bull</t>
        </is>
      </c>
      <c r="C1033" t="n">
        <v>583.05</v>
      </c>
      <c r="D1033" s="22" t="n">
        <v>45628</v>
      </c>
      <c r="E1033" t="n">
        <v>589</v>
      </c>
      <c r="F1033" s="22" t="n">
        <v>45660</v>
      </c>
      <c r="G1033" t="n">
        <v>1.020495669325109</v>
      </c>
    </row>
    <row r="1034">
      <c r="A1034" t="inlineStr">
        <is>
          <t>GREENLAM</t>
        </is>
      </c>
      <c r="B1034" t="inlineStr">
        <is>
          <t>Bear</t>
        </is>
      </c>
      <c r="C1034" t="n">
        <v>506.7</v>
      </c>
      <c r="D1034" s="22" t="n">
        <v>45618</v>
      </c>
      <c r="E1034" t="n">
        <v>543.05</v>
      </c>
      <c r="F1034" s="22" t="n">
        <v>45624</v>
      </c>
      <c r="G1034" t="n">
        <v>-7.173870140122355</v>
      </c>
    </row>
    <row r="1035">
      <c r="A1035" t="inlineStr">
        <is>
          <t>GREENLAM</t>
        </is>
      </c>
      <c r="B1035" t="inlineStr">
        <is>
          <t>Bull</t>
        </is>
      </c>
      <c r="C1035" t="n">
        <v>547.6</v>
      </c>
      <c r="D1035" s="22" t="n">
        <v>45607</v>
      </c>
      <c r="E1035" t="n">
        <v>511.3</v>
      </c>
      <c r="F1035" s="22" t="n">
        <v>45615</v>
      </c>
      <c r="G1035" t="n">
        <v>-6.62892622352082</v>
      </c>
    </row>
    <row r="1036">
      <c r="A1036" t="inlineStr">
        <is>
          <t>GREENLAM</t>
        </is>
      </c>
      <c r="B1036" t="inlineStr">
        <is>
          <t>Bear</t>
        </is>
      </c>
      <c r="C1036" t="n">
        <v>560</v>
      </c>
      <c r="D1036" s="22" t="n">
        <v>45492</v>
      </c>
      <c r="E1036" t="n">
        <v>563.75</v>
      </c>
      <c r="F1036" s="22" t="n">
        <v>45603</v>
      </c>
      <c r="G1036" t="n">
        <v>-0.6696428571428571</v>
      </c>
    </row>
    <row r="1037">
      <c r="A1037" t="inlineStr">
        <is>
          <t>GREENLAM</t>
        </is>
      </c>
      <c r="B1037" t="inlineStr">
        <is>
          <t>Bull</t>
        </is>
      </c>
      <c r="C1037" t="n">
        <v>588.2</v>
      </c>
      <c r="D1037" s="22" t="n">
        <v>45390</v>
      </c>
      <c r="E1037" t="n">
        <v>569.6</v>
      </c>
      <c r="F1037" s="22" t="n">
        <v>45489</v>
      </c>
      <c r="G1037" t="n">
        <v>-3.162189731383887</v>
      </c>
    </row>
    <row r="1038">
      <c r="A1038" t="inlineStr">
        <is>
          <t>GREENLAM</t>
        </is>
      </c>
      <c r="B1038" t="inlineStr">
        <is>
          <t>Bear</t>
        </is>
      </c>
      <c r="C1038" t="n">
        <v>467.7</v>
      </c>
      <c r="D1038" s="22" t="n">
        <v>45362</v>
      </c>
      <c r="E1038" t="n">
        <v>585.8</v>
      </c>
      <c r="F1038" s="22" t="n">
        <v>45386</v>
      </c>
      <c r="G1038" t="n">
        <v>-25.25122942056873</v>
      </c>
    </row>
    <row r="1039">
      <c r="A1039" t="inlineStr">
        <is>
          <t>GREENLAM</t>
        </is>
      </c>
      <c r="B1039" t="inlineStr">
        <is>
          <t>Bull</t>
        </is>
      </c>
      <c r="C1039" t="n">
        <v>526.5</v>
      </c>
      <c r="D1039" s="22" t="n">
        <v>45355</v>
      </c>
      <c r="E1039" t="n">
        <v>527.7</v>
      </c>
      <c r="F1039" s="22" t="n">
        <v>45357</v>
      </c>
      <c r="G1039" t="n">
        <v>0.2279202279202365</v>
      </c>
    </row>
    <row r="1040">
      <c r="A1040" t="inlineStr">
        <is>
          <t>GREENLAM</t>
        </is>
      </c>
      <c r="B1040" t="inlineStr">
        <is>
          <t>Bear</t>
        </is>
      </c>
      <c r="C1040" t="n">
        <v>520.7</v>
      </c>
      <c r="D1040" s="22" t="n">
        <v>45315</v>
      </c>
      <c r="E1040" t="n">
        <v>538.9</v>
      </c>
      <c r="F1040" s="22" t="n">
        <v>45352</v>
      </c>
      <c r="G1040" t="n">
        <v>-3.495294795467626</v>
      </c>
    </row>
    <row r="1041">
      <c r="A1041" t="inlineStr">
        <is>
          <t>GREENLAM</t>
        </is>
      </c>
      <c r="B1041" t="inlineStr">
        <is>
          <t>Bull</t>
        </is>
      </c>
      <c r="C1041" t="n">
        <v>522.35</v>
      </c>
      <c r="D1041" s="22" t="n">
        <v>45232</v>
      </c>
      <c r="E1041" t="n">
        <v>523.45</v>
      </c>
      <c r="F1041" s="22" t="n">
        <v>45311</v>
      </c>
      <c r="G1041" t="n">
        <v>0.2105867713219149</v>
      </c>
    </row>
    <row r="1042">
      <c r="A1042" t="inlineStr">
        <is>
          <t>GREENLAM</t>
        </is>
      </c>
      <c r="B1042" t="inlineStr">
        <is>
          <t>Bear</t>
        </is>
      </c>
      <c r="C1042" t="n">
        <v>395.95</v>
      </c>
      <c r="D1042" s="22" t="n">
        <v>45195</v>
      </c>
      <c r="E1042" t="n">
        <v>479.55</v>
      </c>
      <c r="F1042" s="22" t="n">
        <v>45230</v>
      </c>
      <c r="G1042" t="n">
        <v>-21.11377699204446</v>
      </c>
    </row>
    <row r="1043">
      <c r="A1043" t="inlineStr">
        <is>
          <t>GREENLAM</t>
        </is>
      </c>
      <c r="B1043" t="inlineStr">
        <is>
          <t>Bull</t>
        </is>
      </c>
      <c r="C1043" t="n">
        <v>311.8</v>
      </c>
      <c r="D1043" s="22" t="n">
        <v>45064</v>
      </c>
      <c r="E1043" t="n">
        <v>427.65</v>
      </c>
      <c r="F1043" s="22" t="n">
        <v>45191</v>
      </c>
      <c r="G1043" t="n">
        <v>37.15522771007054</v>
      </c>
    </row>
    <row r="1044">
      <c r="A1044" t="inlineStr">
        <is>
          <t>GREENLAM</t>
        </is>
      </c>
      <c r="B1044" t="inlineStr">
        <is>
          <t>Bear</t>
        </is>
      </c>
      <c r="C1044" t="n">
        <v>307.5</v>
      </c>
      <c r="D1044" s="22" t="n">
        <v>44943</v>
      </c>
      <c r="E1044" t="n">
        <v>317</v>
      </c>
      <c r="F1044" s="22" t="n">
        <v>45062</v>
      </c>
      <c r="G1044" t="n">
        <v>-3.089430894308943</v>
      </c>
    </row>
    <row r="1045">
      <c r="A1045" t="inlineStr">
        <is>
          <t>GREENPANEL</t>
        </is>
      </c>
      <c r="B1045" t="inlineStr">
        <is>
          <t>Bear</t>
        </is>
      </c>
      <c r="C1045" t="n">
        <v>354.2</v>
      </c>
      <c r="D1045" s="22" t="n">
        <v>45656</v>
      </c>
      <c r="E1045" t="n">
        <v>367.7</v>
      </c>
      <c r="F1045" s="22" t="n">
        <v>45660</v>
      </c>
      <c r="G1045" t="n">
        <v>-3.811405985319029</v>
      </c>
    </row>
    <row r="1046">
      <c r="A1046" t="inlineStr">
        <is>
          <t>GREENPANEL</t>
        </is>
      </c>
      <c r="B1046" t="inlineStr">
        <is>
          <t>Bull</t>
        </is>
      </c>
      <c r="C1046" t="n">
        <v>394.2</v>
      </c>
      <c r="D1046" s="22" t="n">
        <v>45642</v>
      </c>
      <c r="E1046" t="n">
        <v>348.15</v>
      </c>
      <c r="F1046" s="22" t="n">
        <v>45652</v>
      </c>
      <c r="G1046" t="n">
        <v>-11.68188736681888</v>
      </c>
    </row>
    <row r="1047">
      <c r="A1047" t="inlineStr">
        <is>
          <t>GREENPANEL</t>
        </is>
      </c>
      <c r="B1047" t="inlineStr">
        <is>
          <t>Bear</t>
        </is>
      </c>
      <c r="C1047" t="n">
        <v>353.6</v>
      </c>
      <c r="D1047" s="22" t="n">
        <v>45608</v>
      </c>
      <c r="E1047" t="n">
        <v>410.45</v>
      </c>
      <c r="F1047" s="22" t="n">
        <v>45638</v>
      </c>
      <c r="G1047" t="n">
        <v>-16.0774886877828</v>
      </c>
    </row>
    <row r="1048">
      <c r="A1048" t="inlineStr">
        <is>
          <t>GREENPANEL</t>
        </is>
      </c>
      <c r="B1048" t="inlineStr">
        <is>
          <t>Bull</t>
        </is>
      </c>
      <c r="C1048" t="n">
        <v>330.1</v>
      </c>
      <c r="D1048" s="22" t="n">
        <v>45474</v>
      </c>
      <c r="E1048" t="n">
        <v>372.2</v>
      </c>
      <c r="F1048" s="22" t="n">
        <v>45604</v>
      </c>
      <c r="G1048" t="n">
        <v>12.75371099666767</v>
      </c>
    </row>
    <row r="1049">
      <c r="A1049" t="inlineStr">
        <is>
          <t>GREENPANEL</t>
        </is>
      </c>
      <c r="B1049" t="inlineStr">
        <is>
          <t>Bear</t>
        </is>
      </c>
      <c r="C1049" t="n">
        <v>360</v>
      </c>
      <c r="D1049" s="22" t="n">
        <v>45338</v>
      </c>
      <c r="E1049" t="n">
        <v>318.75</v>
      </c>
      <c r="F1049" s="22" t="n">
        <v>45470</v>
      </c>
      <c r="G1049" t="n">
        <v>11.45833333333333</v>
      </c>
    </row>
    <row r="1050">
      <c r="A1050" t="inlineStr">
        <is>
          <t>GREENPANEL</t>
        </is>
      </c>
      <c r="B1050" t="inlineStr">
        <is>
          <t>Bull</t>
        </is>
      </c>
      <c r="C1050" t="n">
        <v>366.85</v>
      </c>
      <c r="D1050" s="22" t="n">
        <v>45280</v>
      </c>
      <c r="E1050" t="n">
        <v>362.1</v>
      </c>
      <c r="F1050" s="22" t="n">
        <v>45336</v>
      </c>
      <c r="G1050" t="n">
        <v>-1.294807141883604</v>
      </c>
    </row>
    <row r="1051">
      <c r="A1051" t="inlineStr">
        <is>
          <t>GREENPANEL</t>
        </is>
      </c>
      <c r="B1051" t="inlineStr">
        <is>
          <t>Bear</t>
        </is>
      </c>
      <c r="C1051" t="n">
        <v>353.25</v>
      </c>
      <c r="D1051" s="22" t="n">
        <v>45230</v>
      </c>
      <c r="E1051" t="n">
        <v>363.35</v>
      </c>
      <c r="F1051" s="22" t="n">
        <v>45278</v>
      </c>
      <c r="G1051" t="n">
        <v>-2.859164897381465</v>
      </c>
    </row>
    <row r="1052">
      <c r="A1052" t="inlineStr">
        <is>
          <t>GREENPANEL</t>
        </is>
      </c>
      <c r="B1052" t="inlineStr">
        <is>
          <t>Bull</t>
        </is>
      </c>
      <c r="C1052" t="n">
        <v>301.3</v>
      </c>
      <c r="D1052" s="22" t="n">
        <v>45048</v>
      </c>
      <c r="E1052" t="n">
        <v>357.95</v>
      </c>
      <c r="F1052" s="22" t="n">
        <v>45226</v>
      </c>
      <c r="G1052" t="n">
        <v>18.80185861267838</v>
      </c>
    </row>
    <row r="1053">
      <c r="A1053" t="inlineStr">
        <is>
          <t>GPPL</t>
        </is>
      </c>
      <c r="B1053" t="inlineStr">
        <is>
          <t>Bear</t>
        </is>
      </c>
      <c r="C1053" t="n">
        <v>220.03</v>
      </c>
      <c r="D1053" s="22" t="n">
        <v>45565</v>
      </c>
      <c r="E1053" t="n">
        <v>183.04</v>
      </c>
      <c r="F1053" s="22" t="n">
        <v>45660</v>
      </c>
      <c r="G1053" t="n">
        <v>16.81134390764896</v>
      </c>
    </row>
    <row r="1054">
      <c r="A1054" t="inlineStr">
        <is>
          <t>GPPL</t>
        </is>
      </c>
      <c r="B1054" t="inlineStr">
        <is>
          <t>Bull</t>
        </is>
      </c>
      <c r="C1054" t="n">
        <v>208.87</v>
      </c>
      <c r="D1054" s="22" t="n">
        <v>45469</v>
      </c>
      <c r="E1054" t="n">
        <v>218.74</v>
      </c>
      <c r="F1054" s="22" t="n">
        <v>45561</v>
      </c>
      <c r="G1054" t="n">
        <v>4.725427299277064</v>
      </c>
    </row>
    <row r="1055">
      <c r="A1055" t="inlineStr">
        <is>
          <t>GPPL</t>
        </is>
      </c>
      <c r="B1055" t="inlineStr">
        <is>
          <t>Bear</t>
        </is>
      </c>
      <c r="C1055" t="n">
        <v>194.2</v>
      </c>
      <c r="D1055" s="22" t="n">
        <v>45443</v>
      </c>
      <c r="E1055" t="n">
        <v>213.78</v>
      </c>
      <c r="F1055" s="22" t="n">
        <v>45467</v>
      </c>
      <c r="G1055" t="n">
        <v>-10.08238928939239</v>
      </c>
    </row>
    <row r="1056">
      <c r="A1056" t="inlineStr">
        <is>
          <t>GPPL</t>
        </is>
      </c>
      <c r="B1056" t="inlineStr">
        <is>
          <t>Bull</t>
        </is>
      </c>
      <c r="C1056" t="n">
        <v>135</v>
      </c>
      <c r="D1056" s="22" t="n">
        <v>45240</v>
      </c>
      <c r="E1056" t="n">
        <v>196.45</v>
      </c>
      <c r="F1056" s="22" t="n">
        <v>45441</v>
      </c>
      <c r="G1056" t="n">
        <v>45.5185185185185</v>
      </c>
    </row>
    <row r="1057">
      <c r="A1057" t="inlineStr">
        <is>
          <t>GPPL</t>
        </is>
      </c>
      <c r="B1057" t="inlineStr">
        <is>
          <t>Bear</t>
        </is>
      </c>
      <c r="C1057" t="n">
        <v>127.1</v>
      </c>
      <c r="D1057" s="22" t="n">
        <v>45233</v>
      </c>
      <c r="E1057" t="n">
        <v>133.3</v>
      </c>
      <c r="F1057" s="22" t="n">
        <v>45238</v>
      </c>
      <c r="G1057" t="n">
        <v>-4.878048780487818</v>
      </c>
    </row>
    <row r="1058">
      <c r="A1058" t="inlineStr">
        <is>
          <t>GPPL</t>
        </is>
      </c>
      <c r="B1058" t="inlineStr">
        <is>
          <t>Bull</t>
        </is>
      </c>
      <c r="C1058" t="n">
        <v>97.59999999999999</v>
      </c>
      <c r="D1058" s="22" t="n">
        <v>44970</v>
      </c>
      <c r="E1058" t="n">
        <v>121</v>
      </c>
      <c r="F1058" s="22" t="n">
        <v>45231</v>
      </c>
      <c r="G1058" t="n">
        <v>23.97540983606558</v>
      </c>
    </row>
    <row r="1059">
      <c r="A1059" t="inlineStr">
        <is>
          <t>GSPL</t>
        </is>
      </c>
      <c r="B1059" t="inlineStr">
        <is>
          <t>Bear</t>
        </is>
      </c>
      <c r="C1059" t="n">
        <v>390.4</v>
      </c>
      <c r="D1059" s="22" t="n">
        <v>45603</v>
      </c>
      <c r="E1059" t="n">
        <v>367.05</v>
      </c>
      <c r="F1059" s="22" t="n">
        <v>45660</v>
      </c>
      <c r="G1059" t="n">
        <v>5.981045081967205</v>
      </c>
    </row>
    <row r="1060">
      <c r="A1060" t="inlineStr">
        <is>
          <t>GSPL</t>
        </is>
      </c>
      <c r="B1060" t="inlineStr">
        <is>
          <t>Bull</t>
        </is>
      </c>
      <c r="C1060" t="n">
        <v>324.65</v>
      </c>
      <c r="D1060" s="22" t="n">
        <v>45488</v>
      </c>
      <c r="E1060" t="n">
        <v>383.8</v>
      </c>
      <c r="F1060" s="22" t="n">
        <v>45601</v>
      </c>
      <c r="G1060" t="n">
        <v>18.21962113044819</v>
      </c>
    </row>
    <row r="1061">
      <c r="A1061" t="inlineStr">
        <is>
          <t>GSPL</t>
        </is>
      </c>
      <c r="B1061" t="inlineStr">
        <is>
          <t>Bear</t>
        </is>
      </c>
      <c r="C1061" t="n">
        <v>293.3</v>
      </c>
      <c r="D1061" s="22" t="n">
        <v>45407</v>
      </c>
      <c r="E1061" t="n">
        <v>317.7</v>
      </c>
      <c r="F1061" s="22" t="n">
        <v>45484</v>
      </c>
      <c r="G1061" t="n">
        <v>-8.319127173542441</v>
      </c>
    </row>
    <row r="1062">
      <c r="A1062" t="inlineStr">
        <is>
          <t>GSPL</t>
        </is>
      </c>
      <c r="B1062" t="inlineStr">
        <is>
          <t>Bull</t>
        </is>
      </c>
      <c r="C1062" t="n">
        <v>288.9</v>
      </c>
      <c r="D1062" s="22" t="n">
        <v>45264</v>
      </c>
      <c r="E1062" t="n">
        <v>301.3</v>
      </c>
      <c r="F1062" s="22" t="n">
        <v>45405</v>
      </c>
      <c r="G1062" t="n">
        <v>4.292142609899631</v>
      </c>
    </row>
    <row r="1063">
      <c r="A1063" t="inlineStr">
        <is>
          <t>GSPL</t>
        </is>
      </c>
      <c r="B1063" t="inlineStr">
        <is>
          <t>Bear</t>
        </is>
      </c>
      <c r="C1063" t="n">
        <v>274.85</v>
      </c>
      <c r="D1063" s="22" t="n">
        <v>45226</v>
      </c>
      <c r="E1063" t="n">
        <v>288.5</v>
      </c>
      <c r="F1063" s="22" t="n">
        <v>45260</v>
      </c>
      <c r="G1063" t="n">
        <v>-4.966345279243215</v>
      </c>
    </row>
    <row r="1064">
      <c r="A1064" t="inlineStr">
        <is>
          <t>GSPL</t>
        </is>
      </c>
      <c r="B1064" t="inlineStr">
        <is>
          <t>Bull</t>
        </is>
      </c>
      <c r="C1064" t="n">
        <v>287.5</v>
      </c>
      <c r="D1064" s="22" t="n">
        <v>45196</v>
      </c>
      <c r="E1064" t="n">
        <v>274.5</v>
      </c>
      <c r="F1064" s="22" t="n">
        <v>45224</v>
      </c>
      <c r="G1064" t="n">
        <v>-4.521739130434783</v>
      </c>
    </row>
    <row r="1065">
      <c r="A1065" t="inlineStr">
        <is>
          <t>GSPL</t>
        </is>
      </c>
      <c r="B1065" t="inlineStr">
        <is>
          <t>Bear</t>
        </is>
      </c>
      <c r="C1065" t="n">
        <v>286</v>
      </c>
      <c r="D1065" s="22" t="n">
        <v>45140</v>
      </c>
      <c r="E1065" t="n">
        <v>284.75</v>
      </c>
      <c r="F1065" s="22" t="n">
        <v>45194</v>
      </c>
      <c r="G1065" t="n">
        <v>0.4370629370629371</v>
      </c>
    </row>
    <row r="1066">
      <c r="A1066" t="inlineStr">
        <is>
          <t>GSPL</t>
        </is>
      </c>
      <c r="B1066" t="inlineStr">
        <is>
          <t>Bull</t>
        </is>
      </c>
      <c r="C1066" t="n">
        <v>284.15</v>
      </c>
      <c r="D1066" s="22" t="n">
        <v>45048</v>
      </c>
      <c r="E1066" t="n">
        <v>289.5</v>
      </c>
      <c r="F1066" s="22" t="n">
        <v>45138</v>
      </c>
      <c r="G1066" t="n">
        <v>1.88280837585783</v>
      </c>
    </row>
    <row r="1067">
      <c r="A1067" t="inlineStr">
        <is>
          <t>GUJGASLTD</t>
        </is>
      </c>
      <c r="B1067" t="inlineStr">
        <is>
          <t>Bear</t>
        </is>
      </c>
      <c r="C1067" t="n">
        <v>610.8</v>
      </c>
      <c r="D1067" s="22" t="n">
        <v>45562</v>
      </c>
      <c r="E1067" t="n">
        <v>514.15</v>
      </c>
      <c r="F1067" s="22" t="n">
        <v>45660</v>
      </c>
      <c r="G1067" t="n">
        <v>15.82351015062213</v>
      </c>
    </row>
    <row r="1068">
      <c r="A1068" t="inlineStr">
        <is>
          <t>GUJGASLTD</t>
        </is>
      </c>
      <c r="B1068" t="inlineStr">
        <is>
          <t>Bull</t>
        </is>
      </c>
      <c r="C1068" t="n">
        <v>660.55</v>
      </c>
      <c r="D1068" s="22" t="n">
        <v>45539</v>
      </c>
      <c r="E1068" t="n">
        <v>605.3</v>
      </c>
      <c r="F1068" s="22" t="n">
        <v>45560</v>
      </c>
      <c r="G1068" t="n">
        <v>-8.364241919612445</v>
      </c>
    </row>
    <row r="1069">
      <c r="A1069" t="inlineStr">
        <is>
          <t>GUJGASLTD</t>
        </is>
      </c>
      <c r="B1069" t="inlineStr">
        <is>
          <t>Bear</t>
        </is>
      </c>
      <c r="C1069" t="n">
        <v>595.4</v>
      </c>
      <c r="D1069" s="22" t="n">
        <v>45526</v>
      </c>
      <c r="E1069" t="n">
        <v>680</v>
      </c>
      <c r="F1069" s="22" t="n">
        <v>45537</v>
      </c>
      <c r="G1069" t="n">
        <v>-14.20893516963386</v>
      </c>
    </row>
    <row r="1070">
      <c r="A1070" t="inlineStr">
        <is>
          <t>GUJGASLTD</t>
        </is>
      </c>
      <c r="B1070" t="inlineStr">
        <is>
          <t>Bull</t>
        </is>
      </c>
      <c r="C1070" t="n">
        <v>560.75</v>
      </c>
      <c r="D1070" s="22" t="n">
        <v>45435</v>
      </c>
      <c r="E1070" t="n">
        <v>588</v>
      </c>
      <c r="F1070" s="22" t="n">
        <v>45524</v>
      </c>
      <c r="G1070" t="n">
        <v>4.859563085153812</v>
      </c>
    </row>
    <row r="1071">
      <c r="A1071" t="inlineStr">
        <is>
          <t>GUJGASLTD</t>
        </is>
      </c>
      <c r="B1071" t="inlineStr">
        <is>
          <t>Bear</t>
        </is>
      </c>
      <c r="C1071" t="n">
        <v>548.2</v>
      </c>
      <c r="D1071" s="22" t="n">
        <v>45418</v>
      </c>
      <c r="E1071" t="n">
        <v>560.8</v>
      </c>
      <c r="F1071" s="22" t="n">
        <v>45433</v>
      </c>
      <c r="G1071" t="n">
        <v>-2.298431229478276</v>
      </c>
    </row>
    <row r="1072">
      <c r="A1072" t="inlineStr">
        <is>
          <t>GUJGASLTD</t>
        </is>
      </c>
      <c r="B1072" t="inlineStr">
        <is>
          <t>Bull</t>
        </is>
      </c>
      <c r="C1072" t="n">
        <v>441.45</v>
      </c>
      <c r="D1072" s="22" t="n">
        <v>45266</v>
      </c>
      <c r="E1072" t="n">
        <v>537.1</v>
      </c>
      <c r="F1072" s="22" t="n">
        <v>45414</v>
      </c>
      <c r="G1072" t="n">
        <v>21.6672329822177</v>
      </c>
    </row>
    <row r="1073">
      <c r="A1073" t="inlineStr">
        <is>
          <t>GUJGASLTD</t>
        </is>
      </c>
      <c r="B1073" t="inlineStr">
        <is>
          <t>Bear</t>
        </is>
      </c>
      <c r="C1073" t="n">
        <v>462</v>
      </c>
      <c r="D1073" s="22" t="n">
        <v>45100</v>
      </c>
      <c r="E1073" t="n">
        <v>441.85</v>
      </c>
      <c r="F1073" s="22" t="n">
        <v>45264</v>
      </c>
      <c r="G1073" t="n">
        <v>4.361471861471856</v>
      </c>
    </row>
    <row r="1074">
      <c r="A1074" t="inlineStr">
        <is>
          <t>GUJGASLTD</t>
        </is>
      </c>
      <c r="B1074" t="inlineStr">
        <is>
          <t>Bull</t>
        </is>
      </c>
      <c r="C1074" t="n">
        <v>487.2</v>
      </c>
      <c r="D1074" s="22" t="n">
        <v>45070</v>
      </c>
      <c r="E1074" t="n">
        <v>472.6</v>
      </c>
      <c r="F1074" s="22" t="n">
        <v>45098</v>
      </c>
      <c r="G1074" t="n">
        <v>-2.996715927750404</v>
      </c>
    </row>
    <row r="1075">
      <c r="A1075" t="inlineStr">
        <is>
          <t>GUJGASLTD</t>
        </is>
      </c>
      <c r="B1075" t="inlineStr">
        <is>
          <t>Bear</t>
        </is>
      </c>
      <c r="C1075" t="n">
        <v>460.7</v>
      </c>
      <c r="D1075" s="22" t="n">
        <v>45016</v>
      </c>
      <c r="E1075" t="n">
        <v>482.95</v>
      </c>
      <c r="F1075" s="22" t="n">
        <v>45068</v>
      </c>
      <c r="G1075" t="n">
        <v>-4.829607119600608</v>
      </c>
    </row>
    <row r="1076">
      <c r="A1076" t="inlineStr">
        <is>
          <t>GULFOILLUB</t>
        </is>
      </c>
      <c r="B1076" t="inlineStr">
        <is>
          <t>Bull</t>
        </is>
      </c>
      <c r="C1076" t="n">
        <v>1178.35</v>
      </c>
      <c r="D1076" s="22" t="n">
        <v>45660</v>
      </c>
      <c r="E1076" t="n">
        <v>1178.35</v>
      </c>
      <c r="F1076" s="22" t="n">
        <v>45660</v>
      </c>
      <c r="G1076" t="n">
        <v>0</v>
      </c>
    </row>
    <row r="1077">
      <c r="A1077" t="inlineStr">
        <is>
          <t>GULFOILLUB</t>
        </is>
      </c>
      <c r="B1077" t="inlineStr">
        <is>
          <t>Bear</t>
        </is>
      </c>
      <c r="C1077" t="n">
        <v>1179.5</v>
      </c>
      <c r="D1077" s="22" t="n">
        <v>45587</v>
      </c>
      <c r="E1077" t="n">
        <v>1202.8</v>
      </c>
      <c r="F1077" s="22" t="n">
        <v>45658</v>
      </c>
      <c r="G1077" t="n">
        <v>-1.97541331072488</v>
      </c>
    </row>
    <row r="1078">
      <c r="A1078" t="inlineStr">
        <is>
          <t>GULFOILLUB</t>
        </is>
      </c>
      <c r="B1078" t="inlineStr">
        <is>
          <t>Bull</t>
        </is>
      </c>
      <c r="C1078" t="n">
        <v>1012.6</v>
      </c>
      <c r="D1078" s="22" t="n">
        <v>45464</v>
      </c>
      <c r="E1078" t="n">
        <v>1281.85</v>
      </c>
      <c r="F1078" s="22" t="n">
        <v>45583</v>
      </c>
      <c r="G1078" t="n">
        <v>26.58996642306932</v>
      </c>
    </row>
    <row r="1079">
      <c r="A1079" t="inlineStr">
        <is>
          <t>GULFOILLUB</t>
        </is>
      </c>
      <c r="B1079" t="inlineStr">
        <is>
          <t>Bear</t>
        </is>
      </c>
      <c r="C1079" t="n">
        <v>926.05</v>
      </c>
      <c r="D1079" s="22" t="n">
        <v>45430</v>
      </c>
      <c r="E1079" t="n">
        <v>992.05</v>
      </c>
      <c r="F1079" s="22" t="n">
        <v>45462</v>
      </c>
      <c r="G1079" t="n">
        <v>-7.127044975973219</v>
      </c>
    </row>
    <row r="1080">
      <c r="A1080" t="inlineStr">
        <is>
          <t>GULFOILLUB</t>
        </is>
      </c>
      <c r="B1080" t="inlineStr">
        <is>
          <t>Bull</t>
        </is>
      </c>
      <c r="C1080" t="n">
        <v>560.35</v>
      </c>
      <c r="D1080" s="22" t="n">
        <v>45217</v>
      </c>
      <c r="E1080" t="n">
        <v>927.9</v>
      </c>
      <c r="F1080" s="22" t="n">
        <v>45428</v>
      </c>
      <c r="G1080" t="n">
        <v>65.59293298831086</v>
      </c>
    </row>
    <row r="1081">
      <c r="A1081" t="inlineStr">
        <is>
          <t>GULFOILLUB</t>
        </is>
      </c>
      <c r="B1081" t="inlineStr">
        <is>
          <t>Bear</t>
        </is>
      </c>
      <c r="C1081" t="n">
        <v>537.7</v>
      </c>
      <c r="D1081" s="22" t="n">
        <v>45203</v>
      </c>
      <c r="E1081" t="n">
        <v>577</v>
      </c>
      <c r="F1081" s="22" t="n">
        <v>45215</v>
      </c>
      <c r="G1081" t="n">
        <v>-7.308908313185783</v>
      </c>
    </row>
    <row r="1082">
      <c r="A1082" t="inlineStr">
        <is>
          <t>GULFOILLUB</t>
        </is>
      </c>
      <c r="B1082" t="inlineStr">
        <is>
          <t>Bull</t>
        </is>
      </c>
      <c r="C1082" t="n">
        <v>421.75</v>
      </c>
      <c r="D1082" s="22" t="n">
        <v>45064</v>
      </c>
      <c r="E1082" t="n">
        <v>530.55</v>
      </c>
      <c r="F1082" s="22" t="n">
        <v>45198</v>
      </c>
      <c r="G1082" t="n">
        <v>25.79727326615292</v>
      </c>
    </row>
    <row r="1083">
      <c r="A1083" t="inlineStr">
        <is>
          <t>GULFOILLUB</t>
        </is>
      </c>
      <c r="B1083" t="inlineStr">
        <is>
          <t>Bear</t>
        </is>
      </c>
      <c r="C1083" t="n">
        <v>415.8</v>
      </c>
      <c r="D1083" s="22" t="n">
        <v>44986</v>
      </c>
      <c r="E1083" t="n">
        <v>419.45</v>
      </c>
      <c r="F1083" s="22" t="n">
        <v>45062</v>
      </c>
      <c r="G1083" t="n">
        <v>-0.8778258778258724</v>
      </c>
    </row>
    <row r="1084">
      <c r="A1084" t="inlineStr">
        <is>
          <t>HUDCO</t>
        </is>
      </c>
      <c r="B1084" t="inlineStr">
        <is>
          <t>Bull</t>
        </is>
      </c>
      <c r="C1084" t="n">
        <v>254.26</v>
      </c>
      <c r="D1084" s="22" t="n">
        <v>45636</v>
      </c>
      <c r="E1084" t="n">
        <v>245.91</v>
      </c>
      <c r="F1084" s="22" t="n">
        <v>45660</v>
      </c>
      <c r="G1084" t="n">
        <v>-3.284039959096985</v>
      </c>
    </row>
    <row r="1085">
      <c r="A1085" t="inlineStr">
        <is>
          <t>HUDCO</t>
        </is>
      </c>
      <c r="B1085" t="inlineStr">
        <is>
          <t>Bear</t>
        </is>
      </c>
      <c r="C1085" t="n">
        <v>293.65</v>
      </c>
      <c r="D1085" s="22" t="n">
        <v>45533</v>
      </c>
      <c r="E1085" t="n">
        <v>247.77</v>
      </c>
      <c r="F1085" s="22" t="n">
        <v>45632</v>
      </c>
      <c r="G1085" t="n">
        <v>15.62404222714114</v>
      </c>
    </row>
    <row r="1086">
      <c r="A1086" t="inlineStr">
        <is>
          <t>HUDCO</t>
        </is>
      </c>
      <c r="B1086" t="inlineStr">
        <is>
          <t>Bull</t>
        </is>
      </c>
      <c r="C1086" t="n">
        <v>49.15</v>
      </c>
      <c r="D1086" s="22" t="n">
        <v>45044</v>
      </c>
      <c r="E1086" t="n">
        <v>278.65</v>
      </c>
      <c r="F1086" s="22" t="n">
        <v>45531</v>
      </c>
      <c r="G1086" t="n">
        <v>466.9379450661241</v>
      </c>
    </row>
    <row r="1087">
      <c r="A1087" t="inlineStr">
        <is>
          <t>HGINFRA</t>
        </is>
      </c>
      <c r="B1087" t="inlineStr">
        <is>
          <t>Bull</t>
        </is>
      </c>
      <c r="C1087" t="n">
        <v>1468.8</v>
      </c>
      <c r="D1087" s="22" t="n">
        <v>45639</v>
      </c>
      <c r="E1087" t="n">
        <v>1509.85</v>
      </c>
      <c r="F1087" s="22" t="n">
        <v>45660</v>
      </c>
      <c r="G1087" t="n">
        <v>2.794798474945531</v>
      </c>
    </row>
    <row r="1088">
      <c r="A1088" t="inlineStr">
        <is>
          <t>HGINFRA</t>
        </is>
      </c>
      <c r="B1088" t="inlineStr">
        <is>
          <t>Bear</t>
        </is>
      </c>
      <c r="C1088" t="n">
        <v>1539.95</v>
      </c>
      <c r="D1088" s="22" t="n">
        <v>45531</v>
      </c>
      <c r="E1088" t="n">
        <v>1503.3</v>
      </c>
      <c r="F1088" s="22" t="n">
        <v>45637</v>
      </c>
      <c r="G1088" t="n">
        <v>2.379947400889645</v>
      </c>
    </row>
    <row r="1089">
      <c r="A1089" t="inlineStr">
        <is>
          <t>HGINFRA</t>
        </is>
      </c>
      <c r="B1089" t="inlineStr">
        <is>
          <t>Bull</t>
        </is>
      </c>
      <c r="C1089" t="n">
        <v>1058.95</v>
      </c>
      <c r="D1089" s="22" t="n">
        <v>45384</v>
      </c>
      <c r="E1089" t="n">
        <v>1588.95</v>
      </c>
      <c r="F1089" s="22" t="n">
        <v>45527</v>
      </c>
      <c r="G1089" t="n">
        <v>50.04957741158695</v>
      </c>
    </row>
    <row r="1090">
      <c r="A1090" t="inlineStr">
        <is>
          <t>HGINFRA</t>
        </is>
      </c>
      <c r="B1090" t="inlineStr">
        <is>
          <t>Bear</t>
        </is>
      </c>
      <c r="C1090" t="n">
        <v>898.65</v>
      </c>
      <c r="D1090" s="22" t="n">
        <v>45373</v>
      </c>
      <c r="E1090" t="n">
        <v>908.9</v>
      </c>
      <c r="F1090" s="22" t="n">
        <v>45379</v>
      </c>
      <c r="G1090" t="n">
        <v>-1.140599788571746</v>
      </c>
    </row>
    <row r="1091">
      <c r="A1091" t="inlineStr">
        <is>
          <t>HGINFRA</t>
        </is>
      </c>
      <c r="B1091" t="inlineStr">
        <is>
          <t>Bull</t>
        </is>
      </c>
      <c r="C1091" t="n">
        <v>911.15</v>
      </c>
      <c r="D1091" s="22" t="n">
        <v>45308</v>
      </c>
      <c r="E1091" t="n">
        <v>893.3</v>
      </c>
      <c r="F1091" s="22" t="n">
        <v>45371</v>
      </c>
      <c r="G1091" t="n">
        <v>-1.95906272293256</v>
      </c>
    </row>
    <row r="1092">
      <c r="A1092" t="inlineStr">
        <is>
          <t>HGINFRA</t>
        </is>
      </c>
      <c r="B1092" t="inlineStr">
        <is>
          <t>Bear</t>
        </is>
      </c>
      <c r="C1092" t="n">
        <v>893.65</v>
      </c>
      <c r="D1092" s="22" t="n">
        <v>45224</v>
      </c>
      <c r="E1092" t="n">
        <v>914.3</v>
      </c>
      <c r="F1092" s="22" t="n">
        <v>45306</v>
      </c>
      <c r="G1092" t="n">
        <v>-2.310748055726512</v>
      </c>
    </row>
    <row r="1093">
      <c r="A1093" t="inlineStr">
        <is>
          <t>HGINFRA</t>
        </is>
      </c>
      <c r="B1093" t="inlineStr">
        <is>
          <t>Bull</t>
        </is>
      </c>
      <c r="C1093" t="n">
        <v>925</v>
      </c>
      <c r="D1093" s="22" t="n">
        <v>45131</v>
      </c>
      <c r="E1093" t="n">
        <v>938</v>
      </c>
      <c r="F1093" s="22" t="n">
        <v>45219</v>
      </c>
      <c r="G1093" t="n">
        <v>1.405405405405405</v>
      </c>
    </row>
    <row r="1094">
      <c r="A1094" t="inlineStr">
        <is>
          <t>HGINFRA</t>
        </is>
      </c>
      <c r="B1094" t="inlineStr">
        <is>
          <t>Bear</t>
        </is>
      </c>
      <c r="C1094" t="n">
        <v>861.05</v>
      </c>
      <c r="D1094" s="22" t="n">
        <v>45110</v>
      </c>
      <c r="E1094" t="n">
        <v>919</v>
      </c>
      <c r="F1094" s="22" t="n">
        <v>45127</v>
      </c>
      <c r="G1094" t="n">
        <v>-6.73015504326114</v>
      </c>
    </row>
    <row r="1095">
      <c r="A1095" t="inlineStr">
        <is>
          <t>HGINFRA</t>
        </is>
      </c>
      <c r="B1095" t="inlineStr">
        <is>
          <t>Bull</t>
        </is>
      </c>
      <c r="C1095" t="n">
        <v>639.45</v>
      </c>
      <c r="D1095" s="22" t="n">
        <v>44929</v>
      </c>
      <c r="E1095" t="n">
        <v>855</v>
      </c>
      <c r="F1095" s="22" t="n">
        <v>45105</v>
      </c>
      <c r="G1095" t="n">
        <v>33.70865587614355</v>
      </c>
    </row>
    <row r="1096">
      <c r="A1096" t="inlineStr">
        <is>
          <t>HDFCAMC</t>
        </is>
      </c>
      <c r="B1096" t="inlineStr">
        <is>
          <t>Bear</t>
        </is>
      </c>
      <c r="C1096" t="n">
        <v>4269.45</v>
      </c>
      <c r="D1096" s="22" t="n">
        <v>45652</v>
      </c>
      <c r="E1096" t="n">
        <v>4224.65</v>
      </c>
      <c r="F1096" s="22" t="n">
        <v>45660</v>
      </c>
      <c r="G1096" t="n">
        <v>1.049315485601194</v>
      </c>
    </row>
    <row r="1097">
      <c r="A1097" t="inlineStr">
        <is>
          <t>HDFCAMC</t>
        </is>
      </c>
      <c r="B1097" t="inlineStr">
        <is>
          <t>Bull</t>
        </is>
      </c>
      <c r="C1097" t="n">
        <v>4542.6</v>
      </c>
      <c r="D1097" s="22" t="n">
        <v>45638</v>
      </c>
      <c r="E1097" t="n">
        <v>4249.65</v>
      </c>
      <c r="F1097" s="22" t="n">
        <v>45649</v>
      </c>
      <c r="G1097" t="n">
        <v>-6.448949940562689</v>
      </c>
    </row>
    <row r="1098">
      <c r="A1098" t="inlineStr">
        <is>
          <t>HDFCAMC</t>
        </is>
      </c>
      <c r="B1098" t="inlineStr">
        <is>
          <t>Bear</t>
        </is>
      </c>
      <c r="C1098" t="n">
        <v>4190.15</v>
      </c>
      <c r="D1098" s="22" t="n">
        <v>45615</v>
      </c>
      <c r="E1098" t="n">
        <v>4456.5</v>
      </c>
      <c r="F1098" s="22" t="n">
        <v>45636</v>
      </c>
      <c r="G1098" t="n">
        <v>-6.356574346980428</v>
      </c>
    </row>
    <row r="1099">
      <c r="A1099" t="inlineStr">
        <is>
          <t>HDFCAMC</t>
        </is>
      </c>
      <c r="B1099" t="inlineStr">
        <is>
          <t>Bull</t>
        </is>
      </c>
      <c r="C1099" t="n">
        <v>1821.65</v>
      </c>
      <c r="D1099" s="22" t="n">
        <v>45055</v>
      </c>
      <c r="E1099" t="n">
        <v>4278.75</v>
      </c>
      <c r="F1099" s="22" t="n">
        <v>45610</v>
      </c>
      <c r="G1099" t="n">
        <v>134.8832102763978</v>
      </c>
    </row>
    <row r="1100">
      <c r="A1100" t="inlineStr">
        <is>
          <t>HDFCBANK</t>
        </is>
      </c>
      <c r="B1100" t="inlineStr">
        <is>
          <t>Bull</t>
        </is>
      </c>
      <c r="C1100" t="n">
        <v>1508.3</v>
      </c>
      <c r="D1100" s="22" t="n">
        <v>45441</v>
      </c>
      <c r="E1100" t="n">
        <v>1749.2</v>
      </c>
      <c r="F1100" s="22" t="n">
        <v>45660</v>
      </c>
      <c r="G1100" t="n">
        <v>15.97162368229133</v>
      </c>
    </row>
    <row r="1101">
      <c r="A1101" t="inlineStr">
        <is>
          <t>HDFCBANK</t>
        </is>
      </c>
      <c r="B1101" t="inlineStr">
        <is>
          <t>Bear</t>
        </is>
      </c>
      <c r="C1101" t="n">
        <v>1460.25</v>
      </c>
      <c r="D1101" s="22" t="n">
        <v>45428</v>
      </c>
      <c r="E1101" t="n">
        <v>1527.7</v>
      </c>
      <c r="F1101" s="22" t="n">
        <v>45439</v>
      </c>
      <c r="G1101" t="n">
        <v>-4.619072076699198</v>
      </c>
    </row>
    <row r="1102">
      <c r="A1102" t="inlineStr">
        <is>
          <t>HDFCBANK</t>
        </is>
      </c>
      <c r="B1102" t="inlineStr">
        <is>
          <t>Bull</t>
        </is>
      </c>
      <c r="C1102" t="n">
        <v>1548.55</v>
      </c>
      <c r="D1102" s="22" t="n">
        <v>45391</v>
      </c>
      <c r="E1102" t="n">
        <v>1460.95</v>
      </c>
      <c r="F1102" s="22" t="n">
        <v>45426</v>
      </c>
      <c r="G1102" t="n">
        <v>-5.656904846469271</v>
      </c>
    </row>
    <row r="1103">
      <c r="A1103" t="inlineStr">
        <is>
          <t>HDFCBANK</t>
        </is>
      </c>
      <c r="B1103" t="inlineStr">
        <is>
          <t>Bear</t>
        </is>
      </c>
      <c r="C1103" t="n">
        <v>1427.35</v>
      </c>
      <c r="D1103" s="22" t="n">
        <v>45314</v>
      </c>
      <c r="E1103" t="n">
        <v>1549.55</v>
      </c>
      <c r="F1103" s="22" t="n">
        <v>45387</v>
      </c>
      <c r="G1103" t="n">
        <v>-8.561319928538905</v>
      </c>
    </row>
    <row r="1104">
      <c r="A1104" t="inlineStr">
        <is>
          <t>HDFCBANK</t>
        </is>
      </c>
      <c r="B1104" t="inlineStr">
        <is>
          <t>Bull</t>
        </is>
      </c>
      <c r="C1104" t="n">
        <v>1623.7</v>
      </c>
      <c r="D1104" s="22" t="n">
        <v>45265</v>
      </c>
      <c r="E1104" t="n">
        <v>1470.65</v>
      </c>
      <c r="F1104" s="22" t="n">
        <v>45310</v>
      </c>
      <c r="G1104" t="n">
        <v>-9.426002340333802</v>
      </c>
    </row>
    <row r="1105">
      <c r="A1105" t="inlineStr">
        <is>
          <t>HDFCBANK</t>
        </is>
      </c>
      <c r="B1105" t="inlineStr">
        <is>
          <t>Bear</t>
        </is>
      </c>
      <c r="C1105" t="n">
        <v>1604</v>
      </c>
      <c r="D1105" s="22" t="n">
        <v>45154</v>
      </c>
      <c r="E1105" t="n">
        <v>1555.4</v>
      </c>
      <c r="F1105" s="22" t="n">
        <v>45261</v>
      </c>
      <c r="G1105" t="n">
        <v>3.029925187032413</v>
      </c>
    </row>
    <row r="1106">
      <c r="A1106" t="inlineStr">
        <is>
          <t>HDFCBANK</t>
        </is>
      </c>
      <c r="B1106" t="inlineStr">
        <is>
          <t>Bull</t>
        </is>
      </c>
      <c r="C1106" t="n">
        <v>1721</v>
      </c>
      <c r="D1106" s="22" t="n">
        <v>45110</v>
      </c>
      <c r="E1106" t="n">
        <v>1620.8</v>
      </c>
      <c r="F1106" s="22" t="n">
        <v>45149</v>
      </c>
      <c r="G1106" t="n">
        <v>-5.822196397443349</v>
      </c>
    </row>
    <row r="1107">
      <c r="A1107" t="inlineStr">
        <is>
          <t>HDFCBANK</t>
        </is>
      </c>
      <c r="B1107" t="inlineStr">
        <is>
          <t>Bear</t>
        </is>
      </c>
      <c r="C1107" t="n">
        <v>1604</v>
      </c>
      <c r="D1107" s="22" t="n">
        <v>45078</v>
      </c>
      <c r="E1107" t="n">
        <v>1672.25</v>
      </c>
      <c r="F1107" s="22" t="n">
        <v>45105</v>
      </c>
      <c r="G1107" t="n">
        <v>-4.25498753117207</v>
      </c>
    </row>
    <row r="1108">
      <c r="A1108" t="inlineStr">
        <is>
          <t>HDFCBANK</t>
        </is>
      </c>
      <c r="B1108" t="inlineStr">
        <is>
          <t>Bull</t>
        </is>
      </c>
      <c r="C1108" t="n">
        <v>1663.3</v>
      </c>
      <c r="D1108" s="22" t="n">
        <v>45027</v>
      </c>
      <c r="E1108" t="n">
        <v>1636.75</v>
      </c>
      <c r="F1108" s="22" t="n">
        <v>45076</v>
      </c>
      <c r="G1108" t="n">
        <v>-1.59622437323393</v>
      </c>
    </row>
    <row r="1109">
      <c r="A1109" t="inlineStr">
        <is>
          <t>HEROMOTOCO</t>
        </is>
      </c>
      <c r="B1109" t="inlineStr">
        <is>
          <t>Bear</t>
        </is>
      </c>
      <c r="C1109" t="n">
        <v>5216.2</v>
      </c>
      <c r="D1109" s="22" t="n">
        <v>45583</v>
      </c>
      <c r="E1109" t="n">
        <v>4243.1</v>
      </c>
      <c r="F1109" s="22" t="n">
        <v>45660</v>
      </c>
      <c r="G1109" t="n">
        <v>18.65534296997814</v>
      </c>
    </row>
    <row r="1110">
      <c r="A1110" t="inlineStr">
        <is>
          <t>HEROMOTOCO</t>
        </is>
      </c>
      <c r="B1110" t="inlineStr">
        <is>
          <t>Bull</t>
        </is>
      </c>
      <c r="C1110" t="n">
        <v>5683.75</v>
      </c>
      <c r="D1110" s="22" t="n">
        <v>45539</v>
      </c>
      <c r="E1110" t="n">
        <v>5398.2</v>
      </c>
      <c r="F1110" s="22" t="n">
        <v>45581</v>
      </c>
      <c r="G1110" t="n">
        <v>-5.023971849571149</v>
      </c>
    </row>
    <row r="1111">
      <c r="A1111" t="inlineStr">
        <is>
          <t>HEROMOTOCO</t>
        </is>
      </c>
      <c r="B1111" t="inlineStr">
        <is>
          <t>Bear</t>
        </is>
      </c>
      <c r="C1111" t="n">
        <v>5311.85</v>
      </c>
      <c r="D1111" s="22" t="n">
        <v>45516</v>
      </c>
      <c r="E1111" t="n">
        <v>5578.2</v>
      </c>
      <c r="F1111" s="22" t="n">
        <v>45537</v>
      </c>
      <c r="G1111" t="n">
        <v>-5.014260568351882</v>
      </c>
    </row>
    <row r="1112">
      <c r="A1112" t="inlineStr">
        <is>
          <t>HEROMOTOCO</t>
        </is>
      </c>
      <c r="B1112" t="inlineStr">
        <is>
          <t>Bull</t>
        </is>
      </c>
      <c r="C1112" t="n">
        <v>4877.4</v>
      </c>
      <c r="D1112" s="22" t="n">
        <v>45422</v>
      </c>
      <c r="E1112" t="n">
        <v>5158.9</v>
      </c>
      <c r="F1112" s="22" t="n">
        <v>45512</v>
      </c>
      <c r="G1112" t="n">
        <v>5.771517611842376</v>
      </c>
    </row>
    <row r="1113">
      <c r="A1113" t="inlineStr">
        <is>
          <t>HEROMOTOCO</t>
        </is>
      </c>
      <c r="B1113" t="inlineStr">
        <is>
          <t>Bear</t>
        </is>
      </c>
      <c r="C1113" t="n">
        <v>4213.7</v>
      </c>
      <c r="D1113" s="22" t="n">
        <v>45401</v>
      </c>
      <c r="E1113" t="n">
        <v>4613.9</v>
      </c>
      <c r="F1113" s="22" t="n">
        <v>45420</v>
      </c>
      <c r="G1113" t="n">
        <v>-9.497591190640051</v>
      </c>
    </row>
    <row r="1114">
      <c r="A1114" t="inlineStr">
        <is>
          <t>HEROMOTOCO</t>
        </is>
      </c>
      <c r="B1114" t="inlineStr">
        <is>
          <t>Bull</t>
        </is>
      </c>
      <c r="C1114" t="n">
        <v>3114.65</v>
      </c>
      <c r="D1114" s="22" t="n">
        <v>45187</v>
      </c>
      <c r="E1114" t="n">
        <v>4322.9</v>
      </c>
      <c r="F1114" s="22" t="n">
        <v>45398</v>
      </c>
      <c r="G1114" t="n">
        <v>38.79248069606535</v>
      </c>
    </row>
    <row r="1115">
      <c r="A1115" t="inlineStr">
        <is>
          <t>HEROMOTOCO</t>
        </is>
      </c>
      <c r="B1115" t="inlineStr">
        <is>
          <t>Bear</t>
        </is>
      </c>
      <c r="C1115" t="n">
        <v>2942.85</v>
      </c>
      <c r="D1115" s="22" t="n">
        <v>45173</v>
      </c>
      <c r="E1115" t="n">
        <v>2998.4</v>
      </c>
      <c r="F1115" s="22" t="n">
        <v>45183</v>
      </c>
      <c r="G1115" t="n">
        <v>-1.887625940839668</v>
      </c>
    </row>
    <row r="1116">
      <c r="A1116" t="inlineStr">
        <is>
          <t>HEROMOTOCO</t>
        </is>
      </c>
      <c r="B1116" t="inlineStr">
        <is>
          <t>Bull</t>
        </is>
      </c>
      <c r="C1116" t="n">
        <v>2576.35</v>
      </c>
      <c r="D1116" s="22" t="n">
        <v>45054</v>
      </c>
      <c r="E1116" t="n">
        <v>2920</v>
      </c>
      <c r="F1116" s="22" t="n">
        <v>45169</v>
      </c>
      <c r="G1116" t="n">
        <v>13.33863799561395</v>
      </c>
    </row>
    <row r="1117">
      <c r="A1117" t="inlineStr">
        <is>
          <t>HINDUNILVR</t>
        </is>
      </c>
      <c r="B1117" t="inlineStr">
        <is>
          <t>Bear</t>
        </is>
      </c>
      <c r="C1117" t="n">
        <v>2681.7</v>
      </c>
      <c r="D1117" s="22" t="n">
        <v>45587</v>
      </c>
      <c r="E1117" t="n">
        <v>2406.25</v>
      </c>
      <c r="F1117" s="22" t="n">
        <v>45660</v>
      </c>
      <c r="G1117" t="n">
        <v>10.27146959018532</v>
      </c>
    </row>
    <row r="1118">
      <c r="A1118" t="inlineStr">
        <is>
          <t>HINDUNILVR</t>
        </is>
      </c>
      <c r="B1118" t="inlineStr">
        <is>
          <t>Bull</t>
        </is>
      </c>
      <c r="C1118" t="n">
        <v>2382.5</v>
      </c>
      <c r="D1118" s="22" t="n">
        <v>45435</v>
      </c>
      <c r="E1118" t="n">
        <v>2717.1</v>
      </c>
      <c r="F1118" s="22" t="n">
        <v>45583</v>
      </c>
      <c r="G1118" t="n">
        <v>14.04407135362014</v>
      </c>
    </row>
    <row r="1119">
      <c r="A1119" t="inlineStr">
        <is>
          <t>HINDUNILVR</t>
        </is>
      </c>
      <c r="B1119" t="inlineStr">
        <is>
          <t>Bear</t>
        </is>
      </c>
      <c r="C1119" t="n">
        <v>2441.65</v>
      </c>
      <c r="D1119" s="22" t="n">
        <v>45315</v>
      </c>
      <c r="E1119" t="n">
        <v>2310.7</v>
      </c>
      <c r="F1119" s="22" t="n">
        <v>45433</v>
      </c>
      <c r="G1119" t="n">
        <v>5.363176540454212</v>
      </c>
    </row>
    <row r="1120">
      <c r="A1120" t="inlineStr">
        <is>
          <t>HINDUNILVR</t>
        </is>
      </c>
      <c r="B1120" t="inlineStr">
        <is>
          <t>Bull</t>
        </is>
      </c>
      <c r="C1120" t="n">
        <v>2602.3</v>
      </c>
      <c r="D1120" s="22" t="n">
        <v>45264</v>
      </c>
      <c r="E1120" t="n">
        <v>2468.9</v>
      </c>
      <c r="F1120" s="22" t="n">
        <v>45311</v>
      </c>
      <c r="G1120" t="n">
        <v>-5.126234484878765</v>
      </c>
    </row>
    <row r="1121">
      <c r="A1121" t="inlineStr">
        <is>
          <t>HINDUNILVR</t>
        </is>
      </c>
      <c r="B1121" t="inlineStr">
        <is>
          <t>Bear</t>
        </is>
      </c>
      <c r="C1121" t="n">
        <v>2580</v>
      </c>
      <c r="D1121" s="22" t="n">
        <v>45135</v>
      </c>
      <c r="E1121" t="n">
        <v>2545.55</v>
      </c>
      <c r="F1121" s="22" t="n">
        <v>45260</v>
      </c>
      <c r="G1121" t="n">
        <v>1.33527131782945</v>
      </c>
    </row>
    <row r="1122">
      <c r="A1122" t="inlineStr">
        <is>
          <t>HINDUNILVR</t>
        </is>
      </c>
      <c r="B1122" t="inlineStr">
        <is>
          <t>Bull</t>
        </is>
      </c>
      <c r="C1122" t="n">
        <v>2662.25</v>
      </c>
      <c r="D1122" s="22" t="n">
        <v>45061</v>
      </c>
      <c r="E1122" t="n">
        <v>2580.4</v>
      </c>
      <c r="F1122" s="22" t="n">
        <v>45133</v>
      </c>
      <c r="G1122" t="n">
        <v>-3.074467086111369</v>
      </c>
    </row>
    <row r="1123">
      <c r="A1123" t="inlineStr">
        <is>
          <t>HAL</t>
        </is>
      </c>
      <c r="B1123" t="inlineStr">
        <is>
          <t>Bear</t>
        </is>
      </c>
      <c r="C1123" t="n">
        <v>4233.35</v>
      </c>
      <c r="D1123" s="22" t="n">
        <v>45653</v>
      </c>
      <c r="E1123" t="n">
        <v>4206</v>
      </c>
      <c r="F1123" s="22" t="n">
        <v>45660</v>
      </c>
      <c r="G1123" t="n">
        <v>0.6460604485809197</v>
      </c>
    </row>
    <row r="1124">
      <c r="A1124" t="inlineStr">
        <is>
          <t>HAL</t>
        </is>
      </c>
      <c r="B1124" t="inlineStr">
        <is>
          <t>Bull</t>
        </is>
      </c>
      <c r="C1124" t="n">
        <v>4618.95</v>
      </c>
      <c r="D1124" s="22" t="n">
        <v>45635</v>
      </c>
      <c r="E1124" t="n">
        <v>4216.2</v>
      </c>
      <c r="F1124" s="22" t="n">
        <v>45650</v>
      </c>
      <c r="G1124" t="n">
        <v>-8.719514175299581</v>
      </c>
    </row>
    <row r="1125">
      <c r="A1125" t="inlineStr">
        <is>
          <t>HAL</t>
        </is>
      </c>
      <c r="B1125" t="inlineStr">
        <is>
          <t>Bear</t>
        </is>
      </c>
      <c r="C1125" t="n">
        <v>4667.85</v>
      </c>
      <c r="D1125" s="22" t="n">
        <v>45512</v>
      </c>
      <c r="E1125" t="n">
        <v>4568.85</v>
      </c>
      <c r="F1125" s="22" t="n">
        <v>45631</v>
      </c>
      <c r="G1125" t="n">
        <v>2.120890774125132</v>
      </c>
    </row>
    <row r="1126">
      <c r="A1126" t="inlineStr">
        <is>
          <t>HAL</t>
        </is>
      </c>
      <c r="B1126" t="inlineStr">
        <is>
          <t>Bull</t>
        </is>
      </c>
      <c r="C1126" t="n">
        <v>2058.9</v>
      </c>
      <c r="D1126" s="22" t="n">
        <v>45240</v>
      </c>
      <c r="E1126" t="n">
        <v>4514.3</v>
      </c>
      <c r="F1126" s="22" t="n">
        <v>45510</v>
      </c>
      <c r="G1126" t="n">
        <v>119.2578561367721</v>
      </c>
    </row>
    <row r="1127">
      <c r="A1127" t="inlineStr">
        <is>
          <t>HAL</t>
        </is>
      </c>
      <c r="B1127" t="inlineStr">
        <is>
          <t>Bear</t>
        </is>
      </c>
      <c r="C1127" t="n">
        <v>1819.45</v>
      </c>
      <c r="D1127" s="22" t="n">
        <v>45225</v>
      </c>
      <c r="E1127" t="n">
        <v>2044.55</v>
      </c>
      <c r="F1127" s="22" t="n">
        <v>45238</v>
      </c>
      <c r="G1127" t="n">
        <v>-12.37187062024238</v>
      </c>
    </row>
    <row r="1128">
      <c r="A1128" t="inlineStr">
        <is>
          <t>HAL</t>
        </is>
      </c>
      <c r="B1128" t="inlineStr">
        <is>
          <t>Bull</t>
        </is>
      </c>
      <c r="C1128" t="n">
        <v>1279.78</v>
      </c>
      <c r="D1128" s="22" t="n">
        <v>44979</v>
      </c>
      <c r="E1128" t="n">
        <v>1845.3</v>
      </c>
      <c r="F1128" s="22" t="n">
        <v>45222</v>
      </c>
      <c r="G1128" t="n">
        <v>44.18884495772711</v>
      </c>
    </row>
    <row r="1129">
      <c r="A1129" t="inlineStr">
        <is>
          <t>HINDOILEXP</t>
        </is>
      </c>
      <c r="B1129" t="inlineStr">
        <is>
          <t>Bear</t>
        </is>
      </c>
      <c r="C1129" t="n">
        <v>239.65</v>
      </c>
      <c r="D1129" s="22" t="n">
        <v>45561</v>
      </c>
      <c r="E1129" t="n">
        <v>198.66</v>
      </c>
      <c r="F1129" s="22" t="n">
        <v>45660</v>
      </c>
      <c r="G1129" t="n">
        <v>17.10411016065095</v>
      </c>
    </row>
    <row r="1130">
      <c r="A1130" t="inlineStr">
        <is>
          <t>HINDOILEXP</t>
        </is>
      </c>
      <c r="B1130" t="inlineStr">
        <is>
          <t>Bull</t>
        </is>
      </c>
      <c r="C1130" t="n">
        <v>200.76</v>
      </c>
      <c r="D1130" s="22" t="n">
        <v>45468</v>
      </c>
      <c r="E1130" t="n">
        <v>239.45</v>
      </c>
      <c r="F1130" s="22" t="n">
        <v>45559</v>
      </c>
      <c r="G1130" t="n">
        <v>19.27176728431959</v>
      </c>
    </row>
    <row r="1131">
      <c r="A1131" t="inlineStr">
        <is>
          <t>HINDOILEXP</t>
        </is>
      </c>
      <c r="B1131" t="inlineStr">
        <is>
          <t>Bear</t>
        </is>
      </c>
      <c r="C1131" t="n">
        <v>181.4</v>
      </c>
      <c r="D1131" s="22" t="n">
        <v>45449</v>
      </c>
      <c r="E1131" t="n">
        <v>191.69</v>
      </c>
      <c r="F1131" s="22" t="n">
        <v>45464</v>
      </c>
      <c r="G1131" t="n">
        <v>-5.672546857772873</v>
      </c>
    </row>
    <row r="1132">
      <c r="A1132" t="inlineStr">
        <is>
          <t>HINDOILEXP</t>
        </is>
      </c>
      <c r="B1132" t="inlineStr">
        <is>
          <t>Bull</t>
        </is>
      </c>
      <c r="C1132" t="n">
        <v>191.8</v>
      </c>
      <c r="D1132" s="22" t="n">
        <v>45394</v>
      </c>
      <c r="E1132" t="n">
        <v>172.75</v>
      </c>
      <c r="F1132" s="22" t="n">
        <v>45447</v>
      </c>
      <c r="G1132" t="n">
        <v>-9.932221063607932</v>
      </c>
    </row>
    <row r="1133">
      <c r="A1133" t="inlineStr">
        <is>
          <t>HINDOILEXP</t>
        </is>
      </c>
      <c r="B1133" t="inlineStr">
        <is>
          <t>Bear</t>
        </is>
      </c>
      <c r="C1133" t="n">
        <v>164.2</v>
      </c>
      <c r="D1133" s="22" t="n">
        <v>45366</v>
      </c>
      <c r="E1133" t="n">
        <v>182</v>
      </c>
      <c r="F1133" s="22" t="n">
        <v>45391</v>
      </c>
      <c r="G1133" t="n">
        <v>-10.84043848964678</v>
      </c>
    </row>
    <row r="1134">
      <c r="A1134" t="inlineStr">
        <is>
          <t>HINDOILEXP</t>
        </is>
      </c>
      <c r="B1134" t="inlineStr">
        <is>
          <t>Bull</t>
        </is>
      </c>
      <c r="C1134" t="n">
        <v>183.3</v>
      </c>
      <c r="D1134" s="22" t="n">
        <v>45286</v>
      </c>
      <c r="E1134" t="n">
        <v>159.15</v>
      </c>
      <c r="F1134" s="22" t="n">
        <v>45364</v>
      </c>
      <c r="G1134" t="n">
        <v>-13.17512274959084</v>
      </c>
    </row>
    <row r="1135">
      <c r="A1135" t="inlineStr">
        <is>
          <t>HINDOILEXP</t>
        </is>
      </c>
      <c r="B1135" t="inlineStr">
        <is>
          <t>Bear</t>
        </is>
      </c>
      <c r="C1135" t="n">
        <v>156.65</v>
      </c>
      <c r="D1135" s="22" t="n">
        <v>45162</v>
      </c>
      <c r="E1135" t="n">
        <v>179.4</v>
      </c>
      <c r="F1135" s="22" t="n">
        <v>45281</v>
      </c>
      <c r="G1135" t="n">
        <v>-14.52282157676348</v>
      </c>
    </row>
    <row r="1136">
      <c r="A1136" t="inlineStr">
        <is>
          <t>HINDOILEXP</t>
        </is>
      </c>
      <c r="B1136" t="inlineStr">
        <is>
          <t>Bull</t>
        </is>
      </c>
      <c r="C1136" t="n">
        <v>147.75</v>
      </c>
      <c r="D1136" s="22" t="n">
        <v>45041</v>
      </c>
      <c r="E1136" t="n">
        <v>168.25</v>
      </c>
      <c r="F1136" s="22" t="n">
        <v>45160</v>
      </c>
      <c r="G1136" t="n">
        <v>13.87478849407783</v>
      </c>
    </row>
    <row r="1137">
      <c r="A1137" t="inlineStr">
        <is>
          <t>HINDALCO</t>
        </is>
      </c>
      <c r="B1137" t="inlineStr">
        <is>
          <t>Bear</t>
        </is>
      </c>
      <c r="C1137" t="n">
        <v>650.45</v>
      </c>
      <c r="D1137" s="22" t="n">
        <v>45604</v>
      </c>
      <c r="E1137" t="n">
        <v>591.15</v>
      </c>
      <c r="F1137" s="22" t="n">
        <v>45660</v>
      </c>
      <c r="G1137" t="n">
        <v>9.11676531631948</v>
      </c>
    </row>
    <row r="1138">
      <c r="A1138" t="inlineStr">
        <is>
          <t>HINDALCO</t>
        </is>
      </c>
      <c r="B1138" t="inlineStr">
        <is>
          <t>Bull</t>
        </is>
      </c>
      <c r="C1138" t="n">
        <v>703.5</v>
      </c>
      <c r="D1138" s="22" t="n">
        <v>45531</v>
      </c>
      <c r="E1138" t="n">
        <v>708.2</v>
      </c>
      <c r="F1138" s="22" t="n">
        <v>45602</v>
      </c>
      <c r="G1138" t="n">
        <v>0.6680881307747044</v>
      </c>
    </row>
    <row r="1139">
      <c r="A1139" t="inlineStr">
        <is>
          <t>HINDALCO</t>
        </is>
      </c>
      <c r="B1139" t="inlineStr">
        <is>
          <t>Bear</t>
        </is>
      </c>
      <c r="C1139" t="n">
        <v>610.3</v>
      </c>
      <c r="D1139" s="22" t="n">
        <v>45510</v>
      </c>
      <c r="E1139" t="n">
        <v>685.1</v>
      </c>
      <c r="F1139" s="22" t="n">
        <v>45527</v>
      </c>
      <c r="G1139" t="n">
        <v>-12.25626740947076</v>
      </c>
    </row>
    <row r="1140">
      <c r="A1140" t="inlineStr">
        <is>
          <t>HINDALCO</t>
        </is>
      </c>
      <c r="B1140" t="inlineStr">
        <is>
          <t>Bull</t>
        </is>
      </c>
      <c r="C1140" t="n">
        <v>571.2</v>
      </c>
      <c r="D1140" s="22" t="n">
        <v>45384</v>
      </c>
      <c r="E1140" t="n">
        <v>648.05</v>
      </c>
      <c r="F1140" s="22" t="n">
        <v>45506</v>
      </c>
      <c r="G1140" t="n">
        <v>13.45413165266105</v>
      </c>
    </row>
    <row r="1141">
      <c r="A1141" t="inlineStr">
        <is>
          <t>HINDALCO</t>
        </is>
      </c>
      <c r="B1141" t="inlineStr">
        <is>
          <t>Bear</t>
        </is>
      </c>
      <c r="C1141" t="n">
        <v>511.6</v>
      </c>
      <c r="D1141" s="22" t="n">
        <v>45342</v>
      </c>
      <c r="E1141" t="n">
        <v>560.25</v>
      </c>
      <c r="F1141" s="22" t="n">
        <v>45379</v>
      </c>
      <c r="G1141" t="n">
        <v>-9.509382329945264</v>
      </c>
    </row>
    <row r="1142">
      <c r="A1142" t="inlineStr">
        <is>
          <t>HINDALCO</t>
        </is>
      </c>
      <c r="B1142" t="inlineStr">
        <is>
          <t>Bull</t>
        </is>
      </c>
      <c r="C1142" t="n">
        <v>429</v>
      </c>
      <c r="D1142" s="22" t="n">
        <v>45097</v>
      </c>
      <c r="E1142" t="n">
        <v>515.7</v>
      </c>
      <c r="F1142" s="22" t="n">
        <v>45338</v>
      </c>
      <c r="G1142" t="n">
        <v>20.20979020979022</v>
      </c>
    </row>
    <row r="1143">
      <c r="A1143" t="inlineStr">
        <is>
          <t>HINDALCO</t>
        </is>
      </c>
      <c r="B1143" t="inlineStr">
        <is>
          <t>Bear</t>
        </is>
      </c>
      <c r="C1143" t="n">
        <v>406.75</v>
      </c>
      <c r="D1143" s="22" t="n">
        <v>45065</v>
      </c>
      <c r="E1143" t="n">
        <v>426.95</v>
      </c>
      <c r="F1143" s="22" t="n">
        <v>45093</v>
      </c>
      <c r="G1143" t="n">
        <v>-4.966195451751688</v>
      </c>
    </row>
    <row r="1144">
      <c r="A1144" t="inlineStr">
        <is>
          <t>HINDALCO</t>
        </is>
      </c>
      <c r="B1144" t="inlineStr">
        <is>
          <t>Bull</t>
        </is>
      </c>
      <c r="C1144" t="n">
        <v>446.15</v>
      </c>
      <c r="D1144" s="22" t="n">
        <v>45048</v>
      </c>
      <c r="E1144" t="n">
        <v>407.7</v>
      </c>
      <c r="F1144" s="22" t="n">
        <v>45063</v>
      </c>
      <c r="G1144" t="n">
        <v>-8.618177742911575</v>
      </c>
    </row>
    <row r="1145">
      <c r="A1145" t="inlineStr">
        <is>
          <t>HLEGLAS</t>
        </is>
      </c>
      <c r="B1145" t="inlineStr">
        <is>
          <t>Bear</t>
        </is>
      </c>
      <c r="C1145" t="n">
        <v>371.9</v>
      </c>
      <c r="D1145" s="22" t="n">
        <v>45653</v>
      </c>
      <c r="E1145" t="n">
        <v>367.7</v>
      </c>
      <c r="F1145" s="22" t="n">
        <v>45660</v>
      </c>
      <c r="G1145" t="n">
        <v>1.129335842968537</v>
      </c>
    </row>
    <row r="1146">
      <c r="A1146" t="inlineStr">
        <is>
          <t>HLEGLAS</t>
        </is>
      </c>
      <c r="B1146" t="inlineStr">
        <is>
          <t>Bull</t>
        </is>
      </c>
      <c r="C1146" t="n">
        <v>399.4</v>
      </c>
      <c r="D1146" s="22" t="n">
        <v>45631</v>
      </c>
      <c r="E1146" t="n">
        <v>372.45</v>
      </c>
      <c r="F1146" s="22" t="n">
        <v>45650</v>
      </c>
      <c r="G1146" t="n">
        <v>-6.747621432148219</v>
      </c>
    </row>
    <row r="1147">
      <c r="A1147" t="inlineStr">
        <is>
          <t>HLEGLAS</t>
        </is>
      </c>
      <c r="B1147" t="inlineStr">
        <is>
          <t>Bear</t>
        </is>
      </c>
      <c r="C1147" t="n">
        <v>435.7</v>
      </c>
      <c r="D1147" s="22" t="n">
        <v>45498</v>
      </c>
      <c r="E1147" t="n">
        <v>404.3</v>
      </c>
      <c r="F1147" s="22" t="n">
        <v>45629</v>
      </c>
      <c r="G1147" t="n">
        <v>7.206793665366072</v>
      </c>
    </row>
    <row r="1148">
      <c r="A1148" t="inlineStr">
        <is>
          <t>HLEGLAS</t>
        </is>
      </c>
      <c r="B1148" t="inlineStr">
        <is>
          <t>Bull</t>
        </is>
      </c>
      <c r="C1148" t="n">
        <v>477.6</v>
      </c>
      <c r="D1148" s="22" t="n">
        <v>45468</v>
      </c>
      <c r="E1148" t="n">
        <v>433</v>
      </c>
      <c r="F1148" s="22" t="n">
        <v>45496</v>
      </c>
      <c r="G1148" t="n">
        <v>-9.338358458961478</v>
      </c>
    </row>
    <row r="1149">
      <c r="A1149" t="inlineStr">
        <is>
          <t>HLEGLAS</t>
        </is>
      </c>
      <c r="B1149" t="inlineStr">
        <is>
          <t>Bear</t>
        </is>
      </c>
      <c r="C1149" t="n">
        <v>529.8</v>
      </c>
      <c r="D1149" s="22" t="n">
        <v>45328</v>
      </c>
      <c r="E1149" t="n">
        <v>481.6</v>
      </c>
      <c r="F1149" s="22" t="n">
        <v>45464</v>
      </c>
      <c r="G1149" t="n">
        <v>9.097772744431849</v>
      </c>
    </row>
    <row r="1150">
      <c r="A1150" t="inlineStr">
        <is>
          <t>HLEGLAS</t>
        </is>
      </c>
      <c r="B1150" t="inlineStr">
        <is>
          <t>Bull</t>
        </is>
      </c>
      <c r="C1150" t="n">
        <v>564.65</v>
      </c>
      <c r="D1150" s="22" t="n">
        <v>45295</v>
      </c>
      <c r="E1150" t="n">
        <v>533.8</v>
      </c>
      <c r="F1150" s="22" t="n">
        <v>45324</v>
      </c>
      <c r="G1150" t="n">
        <v>-5.463561498273271</v>
      </c>
    </row>
    <row r="1151">
      <c r="A1151" t="inlineStr">
        <is>
          <t>HLEGLAS</t>
        </is>
      </c>
      <c r="B1151" t="inlineStr">
        <is>
          <t>Bear</t>
        </is>
      </c>
      <c r="C1151" t="n">
        <v>590</v>
      </c>
      <c r="D1151" s="22" t="n">
        <v>45147</v>
      </c>
      <c r="E1151" t="n">
        <v>534.4</v>
      </c>
      <c r="F1151" s="22" t="n">
        <v>45293</v>
      </c>
      <c r="G1151" t="n">
        <v>9.423728813559325</v>
      </c>
    </row>
    <row r="1152">
      <c r="A1152" t="inlineStr">
        <is>
          <t>HLEGLAS</t>
        </is>
      </c>
      <c r="B1152" t="inlineStr">
        <is>
          <t>Bull</t>
        </is>
      </c>
      <c r="C1152" t="n">
        <v>611.2</v>
      </c>
      <c r="D1152" s="22" t="n">
        <v>45041</v>
      </c>
      <c r="E1152" t="n">
        <v>640</v>
      </c>
      <c r="F1152" s="22" t="n">
        <v>45145</v>
      </c>
      <c r="G1152" t="n">
        <v>4.712041884816746</v>
      </c>
    </row>
    <row r="1153">
      <c r="A1153" t="inlineStr">
        <is>
          <t>ICICIBANK</t>
        </is>
      </c>
      <c r="B1153" t="inlineStr">
        <is>
          <t>Bull</t>
        </is>
      </c>
      <c r="C1153" t="n">
        <v>1003.25</v>
      </c>
      <c r="D1153" s="22" t="n">
        <v>45266</v>
      </c>
      <c r="E1153" t="n">
        <v>1265.05</v>
      </c>
      <c r="F1153" s="22" t="n">
        <v>45660</v>
      </c>
      <c r="G1153" t="n">
        <v>26.09519063045103</v>
      </c>
    </row>
    <row r="1154">
      <c r="A1154" t="inlineStr">
        <is>
          <t>ICICIBANK</t>
        </is>
      </c>
      <c r="B1154" t="inlineStr">
        <is>
          <t>Bear</t>
        </is>
      </c>
      <c r="C1154" t="n">
        <v>951.9</v>
      </c>
      <c r="D1154" s="22" t="n">
        <v>45198</v>
      </c>
      <c r="E1154" t="n">
        <v>991.2</v>
      </c>
      <c r="F1154" s="22" t="n">
        <v>45264</v>
      </c>
      <c r="G1154" t="n">
        <v>-4.12858493539238</v>
      </c>
    </row>
    <row r="1155">
      <c r="A1155" t="inlineStr">
        <is>
          <t>ICICIBANK</t>
        </is>
      </c>
      <c r="B1155" t="inlineStr">
        <is>
          <t>Bull</t>
        </is>
      </c>
      <c r="C1155" t="n">
        <v>868.45</v>
      </c>
      <c r="D1155" s="22" t="n">
        <v>45026</v>
      </c>
      <c r="E1155" t="n">
        <v>943.1</v>
      </c>
      <c r="F1155" s="22" t="n">
        <v>45196</v>
      </c>
      <c r="G1155" t="n">
        <v>8.595774080257927</v>
      </c>
    </row>
    <row r="1156">
      <c r="A1156" t="inlineStr">
        <is>
          <t>INDIAMART</t>
        </is>
      </c>
      <c r="B1156" t="inlineStr">
        <is>
          <t>Bear</t>
        </is>
      </c>
      <c r="C1156" t="n">
        <v>2485.4</v>
      </c>
      <c r="D1156" s="22" t="n">
        <v>45588</v>
      </c>
      <c r="E1156" t="n">
        <v>2250.4</v>
      </c>
      <c r="F1156" s="22" t="n">
        <v>45660</v>
      </c>
      <c r="G1156" t="n">
        <v>9.455218475899251</v>
      </c>
    </row>
    <row r="1157">
      <c r="A1157" t="inlineStr">
        <is>
          <t>INDIAMART</t>
        </is>
      </c>
      <c r="B1157" t="inlineStr">
        <is>
          <t>Bull</t>
        </is>
      </c>
      <c r="C1157" t="n">
        <v>2687.75</v>
      </c>
      <c r="D1157" s="22" t="n">
        <v>45470</v>
      </c>
      <c r="E1157" t="n">
        <v>2508.6</v>
      </c>
      <c r="F1157" s="22" t="n">
        <v>45586</v>
      </c>
      <c r="G1157" t="n">
        <v>-6.6654264719561</v>
      </c>
    </row>
    <row r="1158">
      <c r="A1158" t="inlineStr">
        <is>
          <t>INDIAMART</t>
        </is>
      </c>
      <c r="B1158" t="inlineStr">
        <is>
          <t>Bear</t>
        </is>
      </c>
      <c r="C1158" t="n">
        <v>2560.15</v>
      </c>
      <c r="D1158" s="22" t="n">
        <v>45436</v>
      </c>
      <c r="E1158" t="n">
        <v>2701.8</v>
      </c>
      <c r="F1158" s="22" t="n">
        <v>45468</v>
      </c>
      <c r="G1158" t="n">
        <v>-5.53287893287503</v>
      </c>
    </row>
    <row r="1159">
      <c r="A1159" t="inlineStr">
        <is>
          <t>INDIAMART</t>
        </is>
      </c>
      <c r="B1159" t="inlineStr">
        <is>
          <t>Bull</t>
        </is>
      </c>
      <c r="C1159" t="n">
        <v>2799.65</v>
      </c>
      <c r="D1159" s="22" t="n">
        <v>45415</v>
      </c>
      <c r="E1159" t="n">
        <v>2616.15</v>
      </c>
      <c r="F1159" s="22" t="n">
        <v>45434</v>
      </c>
      <c r="G1159" t="n">
        <v>-6.554390727412356</v>
      </c>
    </row>
    <row r="1160">
      <c r="A1160" t="inlineStr">
        <is>
          <t>INDIAMART</t>
        </is>
      </c>
      <c r="B1160" t="inlineStr">
        <is>
          <t>Bear</t>
        </is>
      </c>
      <c r="C1160" t="n">
        <v>2547.3</v>
      </c>
      <c r="D1160" s="22" t="n">
        <v>45362</v>
      </c>
      <c r="E1160" t="n">
        <v>2643.9</v>
      </c>
      <c r="F1160" s="22" t="n">
        <v>45412</v>
      </c>
      <c r="G1160" t="n">
        <v>-3.792250618301728</v>
      </c>
    </row>
    <row r="1161">
      <c r="A1161" t="inlineStr">
        <is>
          <t>INDIAMART</t>
        </is>
      </c>
      <c r="B1161" t="inlineStr">
        <is>
          <t>Bull</t>
        </is>
      </c>
      <c r="C1161" t="n">
        <v>2778</v>
      </c>
      <c r="D1161" s="22" t="n">
        <v>45341</v>
      </c>
      <c r="E1161" t="n">
        <v>2580.8</v>
      </c>
      <c r="F1161" s="22" t="n">
        <v>45357</v>
      </c>
      <c r="G1161" t="n">
        <v>-7.098632109431239</v>
      </c>
    </row>
    <row r="1162">
      <c r="A1162" t="inlineStr">
        <is>
          <t>INDIAMART</t>
        </is>
      </c>
      <c r="B1162" t="inlineStr">
        <is>
          <t>Bear</t>
        </is>
      </c>
      <c r="C1162" t="n">
        <v>2599.9</v>
      </c>
      <c r="D1162" s="22" t="n">
        <v>45302</v>
      </c>
      <c r="E1162" t="n">
        <v>2731.3</v>
      </c>
      <c r="F1162" s="22" t="n">
        <v>45337</v>
      </c>
      <c r="G1162" t="n">
        <v>-5.054040540020774</v>
      </c>
    </row>
    <row r="1163">
      <c r="A1163" t="inlineStr">
        <is>
          <t>INDIAMART</t>
        </is>
      </c>
      <c r="B1163" t="inlineStr">
        <is>
          <t>Bull</t>
        </is>
      </c>
      <c r="C1163" t="n">
        <v>2793.65</v>
      </c>
      <c r="D1163" s="22" t="n">
        <v>45288</v>
      </c>
      <c r="E1163" t="n">
        <v>2608.55</v>
      </c>
      <c r="F1163" s="22" t="n">
        <v>45300</v>
      </c>
      <c r="G1163" t="n">
        <v>-6.62574051867628</v>
      </c>
    </row>
    <row r="1164">
      <c r="A1164" t="inlineStr">
        <is>
          <t>INDIAMART</t>
        </is>
      </c>
      <c r="B1164" t="inlineStr">
        <is>
          <t>Bear</t>
        </is>
      </c>
      <c r="C1164" t="n">
        <v>2876.3</v>
      </c>
      <c r="D1164" s="22" t="n">
        <v>45198</v>
      </c>
      <c r="E1164" t="n">
        <v>2750.8</v>
      </c>
      <c r="F1164" s="22" t="n">
        <v>45286</v>
      </c>
      <c r="G1164" t="n">
        <v>4.363244445989639</v>
      </c>
    </row>
    <row r="1165">
      <c r="A1165" t="inlineStr">
        <is>
          <t>INDIAMART</t>
        </is>
      </c>
      <c r="B1165" t="inlineStr">
        <is>
          <t>Bull</t>
        </is>
      </c>
      <c r="C1165" t="n">
        <v>2239.75</v>
      </c>
      <c r="D1165" s="22" t="n">
        <v>44945</v>
      </c>
      <c r="E1165" t="n">
        <v>2911.05</v>
      </c>
      <c r="F1165" s="22" t="n">
        <v>45196</v>
      </c>
      <c r="G1165" t="n">
        <v>29.97209509989955</v>
      </c>
    </row>
    <row r="1166">
      <c r="A1166" t="inlineStr">
        <is>
          <t>INDIANB</t>
        </is>
      </c>
      <c r="B1166" t="inlineStr">
        <is>
          <t>Bear</t>
        </is>
      </c>
      <c r="C1166" t="n">
        <v>529.95</v>
      </c>
      <c r="D1166" s="22" t="n">
        <v>45657</v>
      </c>
      <c r="E1166" t="n">
        <v>524.35</v>
      </c>
      <c r="F1166" s="22" t="n">
        <v>45660</v>
      </c>
      <c r="G1166" t="n">
        <v>1.056703462590814</v>
      </c>
    </row>
    <row r="1167">
      <c r="A1167" t="inlineStr">
        <is>
          <t>INDIANB</t>
        </is>
      </c>
      <c r="B1167" t="inlineStr">
        <is>
          <t>Bull</t>
        </is>
      </c>
      <c r="C1167" t="n">
        <v>585.3</v>
      </c>
      <c r="D1167" s="22" t="n">
        <v>45597</v>
      </c>
      <c r="E1167" t="n">
        <v>547.2</v>
      </c>
      <c r="F1167" s="22" t="n">
        <v>45653</v>
      </c>
      <c r="G1167" t="n">
        <v>-6.509482316760621</v>
      </c>
    </row>
    <row r="1168">
      <c r="A1168" t="inlineStr">
        <is>
          <t>INDIANB</t>
        </is>
      </c>
      <c r="B1168" t="inlineStr">
        <is>
          <t>Bear</t>
        </is>
      </c>
      <c r="C1168" t="n">
        <v>551</v>
      </c>
      <c r="D1168" s="22" t="n">
        <v>45540</v>
      </c>
      <c r="E1168" t="n">
        <v>588.1</v>
      </c>
      <c r="F1168" s="22" t="n">
        <v>45595</v>
      </c>
      <c r="G1168" t="n">
        <v>-6.733212341197826</v>
      </c>
    </row>
    <row r="1169">
      <c r="A1169" t="inlineStr">
        <is>
          <t>INDIANB</t>
        </is>
      </c>
      <c r="B1169" t="inlineStr">
        <is>
          <t>Bull</t>
        </is>
      </c>
      <c r="C1169" t="n">
        <v>305.05</v>
      </c>
      <c r="D1169" s="22" t="n">
        <v>45113</v>
      </c>
      <c r="E1169" t="n">
        <v>550.05</v>
      </c>
      <c r="F1169" s="22" t="n">
        <v>45538</v>
      </c>
      <c r="G1169" t="n">
        <v>80.31470250778558</v>
      </c>
    </row>
    <row r="1170">
      <c r="A1170" t="inlineStr">
        <is>
          <t>INDIANB</t>
        </is>
      </c>
      <c r="B1170" t="inlineStr">
        <is>
          <t>Bear</t>
        </is>
      </c>
      <c r="C1170" t="n">
        <v>277.3</v>
      </c>
      <c r="D1170" s="22" t="n">
        <v>45072</v>
      </c>
      <c r="E1170" t="n">
        <v>300</v>
      </c>
      <c r="F1170" s="22" t="n">
        <v>45111</v>
      </c>
      <c r="G1170" t="n">
        <v>-8.186080057699238</v>
      </c>
    </row>
    <row r="1171">
      <c r="A1171" t="inlineStr">
        <is>
          <t>INDIANB</t>
        </is>
      </c>
      <c r="B1171" t="inlineStr">
        <is>
          <t>Bull</t>
        </is>
      </c>
      <c r="C1171" t="n">
        <v>282.15</v>
      </c>
      <c r="D1171" s="22" t="n">
        <v>45026</v>
      </c>
      <c r="E1171" t="n">
        <v>285.7</v>
      </c>
      <c r="F1171" s="22" t="n">
        <v>45070</v>
      </c>
      <c r="G1171" t="n">
        <v>1.258195995038105</v>
      </c>
    </row>
    <row r="1172">
      <c r="A1172" t="inlineStr">
        <is>
          <t>INDHOTEL</t>
        </is>
      </c>
      <c r="B1172" t="inlineStr">
        <is>
          <t>Bull</t>
        </is>
      </c>
      <c r="C1172" t="n">
        <v>584.5</v>
      </c>
      <c r="D1172" s="22" t="n">
        <v>45455</v>
      </c>
      <c r="E1172" t="n">
        <v>872.45</v>
      </c>
      <c r="F1172" s="22" t="n">
        <v>45660</v>
      </c>
      <c r="G1172" t="n">
        <v>49.26432848588538</v>
      </c>
    </row>
    <row r="1173">
      <c r="A1173" t="inlineStr">
        <is>
          <t>INDHOTEL</t>
        </is>
      </c>
      <c r="B1173" t="inlineStr">
        <is>
          <t>Bear</t>
        </is>
      </c>
      <c r="C1173" t="n">
        <v>576.5</v>
      </c>
      <c r="D1173" s="22" t="n">
        <v>45446</v>
      </c>
      <c r="E1173" t="n">
        <v>582.3</v>
      </c>
      <c r="F1173" s="22" t="n">
        <v>45453</v>
      </c>
      <c r="G1173" t="n">
        <v>-1.006071118820461</v>
      </c>
    </row>
    <row r="1174">
      <c r="A1174" t="inlineStr">
        <is>
          <t>INDHOTEL</t>
        </is>
      </c>
      <c r="B1174" t="inlineStr">
        <is>
          <t>Bull</t>
        </is>
      </c>
      <c r="C1174" t="n">
        <v>419.6</v>
      </c>
      <c r="D1174" s="22" t="n">
        <v>45250</v>
      </c>
      <c r="E1174" t="n">
        <v>557.2</v>
      </c>
      <c r="F1174" s="22" t="n">
        <v>45442</v>
      </c>
      <c r="G1174" t="n">
        <v>32.79313632030505</v>
      </c>
    </row>
    <row r="1175">
      <c r="A1175" t="inlineStr">
        <is>
          <t>INDHOTEL</t>
        </is>
      </c>
      <c r="B1175" t="inlineStr">
        <is>
          <t>Bear</t>
        </is>
      </c>
      <c r="C1175" t="n">
        <v>374.55</v>
      </c>
      <c r="D1175" s="22" t="n">
        <v>45226</v>
      </c>
      <c r="E1175" t="n">
        <v>412.65</v>
      </c>
      <c r="F1175" s="22" t="n">
        <v>45246</v>
      </c>
      <c r="G1175" t="n">
        <v>-10.17220664797756</v>
      </c>
    </row>
    <row r="1176">
      <c r="A1176" t="inlineStr">
        <is>
          <t>INDHOTEL</t>
        </is>
      </c>
      <c r="B1176" t="inlineStr">
        <is>
          <t>Bull</t>
        </is>
      </c>
      <c r="C1176" t="n">
        <v>319.25</v>
      </c>
      <c r="D1176" s="22" t="n">
        <v>44991</v>
      </c>
      <c r="E1176" t="n">
        <v>389.55</v>
      </c>
      <c r="F1176" s="22" t="n">
        <v>45224</v>
      </c>
      <c r="G1176" t="n">
        <v>22.0203602192639</v>
      </c>
    </row>
    <row r="1177">
      <c r="A1177" t="inlineStr">
        <is>
          <t>IMFA</t>
        </is>
      </c>
      <c r="B1177" t="inlineStr">
        <is>
          <t>Bull</t>
        </is>
      </c>
      <c r="C1177" t="n">
        <v>784.8</v>
      </c>
      <c r="D1177" s="22" t="n">
        <v>45604</v>
      </c>
      <c r="E1177" t="n">
        <v>900.9</v>
      </c>
      <c r="F1177" s="22" t="n">
        <v>45660</v>
      </c>
      <c r="G1177" t="n">
        <v>14.79357798165138</v>
      </c>
    </row>
    <row r="1178">
      <c r="A1178" t="inlineStr">
        <is>
          <t>IMFA</t>
        </is>
      </c>
      <c r="B1178" t="inlineStr">
        <is>
          <t>Bear</t>
        </is>
      </c>
      <c r="C1178" t="n">
        <v>651.9</v>
      </c>
      <c r="D1178" s="22" t="n">
        <v>45593</v>
      </c>
      <c r="E1178" t="n">
        <v>715.25</v>
      </c>
      <c r="F1178" s="22" t="n">
        <v>45602</v>
      </c>
      <c r="G1178" t="n">
        <v>-9.71774812087744</v>
      </c>
    </row>
    <row r="1179">
      <c r="A1179" t="inlineStr">
        <is>
          <t>IMFA</t>
        </is>
      </c>
      <c r="B1179" t="inlineStr">
        <is>
          <t>Bull</t>
        </is>
      </c>
      <c r="C1179" t="n">
        <v>715.05</v>
      </c>
      <c r="D1179" s="22" t="n">
        <v>45579</v>
      </c>
      <c r="E1179" t="n">
        <v>653.75</v>
      </c>
      <c r="F1179" s="22" t="n">
        <v>45589</v>
      </c>
      <c r="G1179" t="n">
        <v>-8.572827075029712</v>
      </c>
    </row>
    <row r="1180">
      <c r="A1180" t="inlineStr">
        <is>
          <t>IMFA</t>
        </is>
      </c>
      <c r="B1180" t="inlineStr">
        <is>
          <t>Bear</t>
        </is>
      </c>
      <c r="C1180" t="n">
        <v>738.05</v>
      </c>
      <c r="D1180" s="22" t="n">
        <v>45504</v>
      </c>
      <c r="E1180" t="n">
        <v>689</v>
      </c>
      <c r="F1180" s="22" t="n">
        <v>45575</v>
      </c>
      <c r="G1180" t="n">
        <v>6.645891199783207</v>
      </c>
    </row>
    <row r="1181">
      <c r="A1181" t="inlineStr">
        <is>
          <t>IMFA</t>
        </is>
      </c>
      <c r="B1181" t="inlineStr">
        <is>
          <t>Bull</t>
        </is>
      </c>
      <c r="C1181" t="n">
        <v>308.5</v>
      </c>
      <c r="D1181" s="22" t="n">
        <v>45098</v>
      </c>
      <c r="E1181" t="n">
        <v>723.9</v>
      </c>
      <c r="F1181" s="22" t="n">
        <v>45502</v>
      </c>
      <c r="G1181" t="n">
        <v>134.6515397082658</v>
      </c>
    </row>
    <row r="1182">
      <c r="A1182" t="inlineStr">
        <is>
          <t>IMFA</t>
        </is>
      </c>
      <c r="B1182" t="inlineStr">
        <is>
          <t>Bear</t>
        </is>
      </c>
      <c r="C1182" t="n">
        <v>287</v>
      </c>
      <c r="D1182" s="22" t="n">
        <v>45016</v>
      </c>
      <c r="E1182" t="n">
        <v>292</v>
      </c>
      <c r="F1182" s="22" t="n">
        <v>45096</v>
      </c>
      <c r="G1182" t="n">
        <v>-1.742160278745644</v>
      </c>
    </row>
    <row r="1183">
      <c r="A1183" t="inlineStr">
        <is>
          <t>ICIL</t>
        </is>
      </c>
      <c r="B1183" t="inlineStr">
        <is>
          <t>Bear</t>
        </is>
      </c>
      <c r="C1183" t="n">
        <v>329.45</v>
      </c>
      <c r="D1183" s="22" t="n">
        <v>45656</v>
      </c>
      <c r="E1183" t="n">
        <v>344.1</v>
      </c>
      <c r="F1183" s="22" t="n">
        <v>45660</v>
      </c>
      <c r="G1183" t="n">
        <v>-4.446805281529833</v>
      </c>
    </row>
    <row r="1184">
      <c r="A1184" t="inlineStr">
        <is>
          <t>ICIL</t>
        </is>
      </c>
      <c r="B1184" t="inlineStr">
        <is>
          <t>Bull</t>
        </is>
      </c>
      <c r="C1184" t="n">
        <v>399.5</v>
      </c>
      <c r="D1184" s="22" t="n">
        <v>45643</v>
      </c>
      <c r="E1184" t="n">
        <v>323.7</v>
      </c>
      <c r="F1184" s="22" t="n">
        <v>45652</v>
      </c>
      <c r="G1184" t="n">
        <v>-18.97371714643305</v>
      </c>
    </row>
    <row r="1185">
      <c r="A1185" t="inlineStr">
        <is>
          <t>ICIL</t>
        </is>
      </c>
      <c r="B1185" t="inlineStr">
        <is>
          <t>Bear</t>
        </is>
      </c>
      <c r="C1185" t="n">
        <v>383.85</v>
      </c>
      <c r="D1185" s="22" t="n">
        <v>45566</v>
      </c>
      <c r="E1185" t="n">
        <v>399.5</v>
      </c>
      <c r="F1185" s="22" t="n">
        <v>45639</v>
      </c>
      <c r="G1185" t="n">
        <v>-4.07711345577699</v>
      </c>
    </row>
    <row r="1186">
      <c r="A1186" t="inlineStr">
        <is>
          <t>ICIL</t>
        </is>
      </c>
      <c r="B1186" t="inlineStr">
        <is>
          <t>Bull</t>
        </is>
      </c>
      <c r="C1186" t="n">
        <v>407.7</v>
      </c>
      <c r="D1186" s="22" t="n">
        <v>45530</v>
      </c>
      <c r="E1186" t="n">
        <v>388.6</v>
      </c>
      <c r="F1186" s="22" t="n">
        <v>45562</v>
      </c>
      <c r="G1186" t="n">
        <v>-4.684817267598716</v>
      </c>
    </row>
    <row r="1187">
      <c r="A1187" t="inlineStr">
        <is>
          <t>ICIL</t>
        </is>
      </c>
      <c r="B1187" t="inlineStr">
        <is>
          <t>Bear</t>
        </is>
      </c>
      <c r="C1187" t="n">
        <v>378.3</v>
      </c>
      <c r="D1187" s="22" t="n">
        <v>45520</v>
      </c>
      <c r="E1187" t="n">
        <v>409.05</v>
      </c>
      <c r="F1187" s="22" t="n">
        <v>45526</v>
      </c>
      <c r="G1187" t="n">
        <v>-8.128469468675654</v>
      </c>
    </row>
    <row r="1188">
      <c r="A1188" t="inlineStr">
        <is>
          <t>ICIL</t>
        </is>
      </c>
      <c r="B1188" t="inlineStr">
        <is>
          <t>Bull</t>
        </is>
      </c>
      <c r="C1188" t="n">
        <v>388.1</v>
      </c>
      <c r="D1188" s="22" t="n">
        <v>45470</v>
      </c>
      <c r="E1188" t="n">
        <v>368.2</v>
      </c>
      <c r="F1188" s="22" t="n">
        <v>45517</v>
      </c>
      <c r="G1188" t="n">
        <v>-5.127544447307404</v>
      </c>
    </row>
    <row r="1189">
      <c r="A1189" t="inlineStr">
        <is>
          <t>ICIL</t>
        </is>
      </c>
      <c r="B1189" t="inlineStr">
        <is>
          <t>Bear</t>
        </is>
      </c>
      <c r="C1189" t="n">
        <v>345.65</v>
      </c>
      <c r="D1189" s="22" t="n">
        <v>45449</v>
      </c>
      <c r="E1189" t="n">
        <v>366</v>
      </c>
      <c r="F1189" s="22" t="n">
        <v>45468</v>
      </c>
      <c r="G1189" t="n">
        <v>-5.887458411688131</v>
      </c>
    </row>
    <row r="1190">
      <c r="A1190" t="inlineStr">
        <is>
          <t>ICIL</t>
        </is>
      </c>
      <c r="B1190" t="inlineStr">
        <is>
          <t>Bull</t>
        </is>
      </c>
      <c r="C1190" t="n">
        <v>351.85</v>
      </c>
      <c r="D1190" s="22" t="n">
        <v>45348</v>
      </c>
      <c r="E1190" t="n">
        <v>329.35</v>
      </c>
      <c r="F1190" s="22" t="n">
        <v>45447</v>
      </c>
      <c r="G1190" t="n">
        <v>-6.394770498792099</v>
      </c>
    </row>
    <row r="1191">
      <c r="A1191" t="inlineStr">
        <is>
          <t>ICIL</t>
        </is>
      </c>
      <c r="B1191" t="inlineStr">
        <is>
          <t>Bear</t>
        </is>
      </c>
      <c r="C1191" t="n">
        <v>275.2</v>
      </c>
      <c r="D1191" s="22" t="n">
        <v>45315</v>
      </c>
      <c r="E1191" t="n">
        <v>305.35</v>
      </c>
      <c r="F1191" s="22" t="n">
        <v>45344</v>
      </c>
      <c r="G1191" t="n">
        <v>-10.95566860465117</v>
      </c>
    </row>
    <row r="1192">
      <c r="A1192" t="inlineStr">
        <is>
          <t>ICIL</t>
        </is>
      </c>
      <c r="B1192" t="inlineStr">
        <is>
          <t>Bull</t>
        </is>
      </c>
      <c r="C1192" t="n">
        <v>137.9</v>
      </c>
      <c r="D1192" s="22" t="n">
        <v>45036</v>
      </c>
      <c r="E1192" t="n">
        <v>278</v>
      </c>
      <c r="F1192" s="22" t="n">
        <v>45311</v>
      </c>
      <c r="G1192" t="n">
        <v>101.595358955765</v>
      </c>
    </row>
    <row r="1193">
      <c r="A1193" t="inlineStr">
        <is>
          <t>IGL</t>
        </is>
      </c>
      <c r="B1193" t="inlineStr">
        <is>
          <t>Bear</t>
        </is>
      </c>
      <c r="C1193" t="n">
        <v>451.7</v>
      </c>
      <c r="D1193" s="22" t="n">
        <v>45583</v>
      </c>
      <c r="E1193" t="n">
        <v>441.35</v>
      </c>
      <c r="F1193" s="22" t="n">
        <v>45660</v>
      </c>
      <c r="G1193" t="n">
        <v>2.29134381226477</v>
      </c>
    </row>
    <row r="1194">
      <c r="A1194" t="inlineStr">
        <is>
          <t>IGL</t>
        </is>
      </c>
      <c r="B1194" t="inlineStr">
        <is>
          <t>Bull</t>
        </is>
      </c>
      <c r="C1194" t="n">
        <v>460.1</v>
      </c>
      <c r="D1194" s="22" t="n">
        <v>45387</v>
      </c>
      <c r="E1194" t="n">
        <v>518.55</v>
      </c>
      <c r="F1194" s="22" t="n">
        <v>45581</v>
      </c>
      <c r="G1194" t="n">
        <v>12.70376005216256</v>
      </c>
    </row>
    <row r="1195">
      <c r="A1195" t="inlineStr">
        <is>
          <t>IGL</t>
        </is>
      </c>
      <c r="B1195" t="inlineStr">
        <is>
          <t>Bear</t>
        </is>
      </c>
      <c r="C1195" t="n">
        <v>412.55</v>
      </c>
      <c r="D1195" s="22" t="n">
        <v>45366</v>
      </c>
      <c r="E1195" t="n">
        <v>441.35</v>
      </c>
      <c r="F1195" s="22" t="n">
        <v>45385</v>
      </c>
      <c r="G1195" t="n">
        <v>-6.98097200339353</v>
      </c>
    </row>
    <row r="1196">
      <c r="A1196" t="inlineStr">
        <is>
          <t>IGL</t>
        </is>
      </c>
      <c r="B1196" t="inlineStr">
        <is>
          <t>Bull</t>
        </is>
      </c>
      <c r="C1196" t="n">
        <v>430.85</v>
      </c>
      <c r="D1196" s="22" t="n">
        <v>45296</v>
      </c>
      <c r="E1196" t="n">
        <v>407.55</v>
      </c>
      <c r="F1196" s="22" t="n">
        <v>45364</v>
      </c>
      <c r="G1196" t="n">
        <v>-5.407914587443428</v>
      </c>
    </row>
    <row r="1197">
      <c r="A1197" t="inlineStr">
        <is>
          <t>IGL</t>
        </is>
      </c>
      <c r="B1197" t="inlineStr">
        <is>
          <t>Bear</t>
        </is>
      </c>
      <c r="C1197" t="n">
        <v>392.3</v>
      </c>
      <c r="D1197" s="22" t="n">
        <v>45222</v>
      </c>
      <c r="E1197" t="n">
        <v>422.2</v>
      </c>
      <c r="F1197" s="22" t="n">
        <v>45294</v>
      </c>
      <c r="G1197" t="n">
        <v>-7.621718072903384</v>
      </c>
    </row>
    <row r="1198">
      <c r="A1198" t="inlineStr">
        <is>
          <t>IGL</t>
        </is>
      </c>
      <c r="B1198" t="inlineStr">
        <is>
          <t>Bull</t>
        </is>
      </c>
      <c r="C1198" t="n">
        <v>481.05</v>
      </c>
      <c r="D1198" s="22" t="n">
        <v>45215</v>
      </c>
      <c r="E1198" t="n">
        <v>457.65</v>
      </c>
      <c r="F1198" s="22" t="n">
        <v>45218</v>
      </c>
      <c r="G1198" t="n">
        <v>-4.864359214218903</v>
      </c>
    </row>
    <row r="1199">
      <c r="A1199" t="inlineStr">
        <is>
          <t>IGL</t>
        </is>
      </c>
      <c r="B1199" t="inlineStr">
        <is>
          <t>Bear</t>
        </is>
      </c>
      <c r="C1199" t="n">
        <v>449.8</v>
      </c>
      <c r="D1199" s="22" t="n">
        <v>45197</v>
      </c>
      <c r="E1199" t="n">
        <v>478.2</v>
      </c>
      <c r="F1199" s="22" t="n">
        <v>45211</v>
      </c>
      <c r="G1199" t="n">
        <v>-6.313917296576251</v>
      </c>
    </row>
    <row r="1200">
      <c r="A1200" t="inlineStr">
        <is>
          <t>IGL</t>
        </is>
      </c>
      <c r="B1200" t="inlineStr">
        <is>
          <t>Bull</t>
        </is>
      </c>
      <c r="C1200" t="n">
        <v>473.4</v>
      </c>
      <c r="D1200" s="22" t="n">
        <v>45184</v>
      </c>
      <c r="E1200" t="n">
        <v>455</v>
      </c>
      <c r="F1200" s="22" t="n">
        <v>45195</v>
      </c>
      <c r="G1200" t="n">
        <v>-3.88677651035065</v>
      </c>
    </row>
    <row r="1201">
      <c r="A1201" t="inlineStr">
        <is>
          <t>IGL</t>
        </is>
      </c>
      <c r="B1201" t="inlineStr">
        <is>
          <t>Bear</t>
        </is>
      </c>
      <c r="C1201" t="n">
        <v>460.4</v>
      </c>
      <c r="D1201" s="22" t="n">
        <v>45139</v>
      </c>
      <c r="E1201" t="n">
        <v>462.35</v>
      </c>
      <c r="F1201" s="22" t="n">
        <v>45182</v>
      </c>
      <c r="G1201" t="n">
        <v>-0.4235447437011394</v>
      </c>
    </row>
    <row r="1202">
      <c r="A1202" t="inlineStr">
        <is>
          <t>IGL</t>
        </is>
      </c>
      <c r="B1202" t="inlineStr">
        <is>
          <t>Bull</t>
        </is>
      </c>
      <c r="C1202" t="n">
        <v>479</v>
      </c>
      <c r="D1202" s="22" t="n">
        <v>45111</v>
      </c>
      <c r="E1202" t="n">
        <v>461.8</v>
      </c>
      <c r="F1202" s="22" t="n">
        <v>45135</v>
      </c>
      <c r="G1202" t="n">
        <v>-3.590814196242169</v>
      </c>
    </row>
    <row r="1203">
      <c r="A1203" t="inlineStr">
        <is>
          <t>IGL</t>
        </is>
      </c>
      <c r="B1203" t="inlineStr">
        <is>
          <t>Bear</t>
        </is>
      </c>
      <c r="C1203" t="n">
        <v>468</v>
      </c>
      <c r="D1203" s="22" t="n">
        <v>45093</v>
      </c>
      <c r="E1203" t="n">
        <v>473</v>
      </c>
      <c r="F1203" s="22" t="n">
        <v>45107</v>
      </c>
      <c r="G1203" t="n">
        <v>-1.068376068376068</v>
      </c>
    </row>
    <row r="1204">
      <c r="A1204" t="inlineStr">
        <is>
          <t>IGL</t>
        </is>
      </c>
      <c r="B1204" t="inlineStr">
        <is>
          <t>Bull</t>
        </is>
      </c>
      <c r="C1204" t="n">
        <v>433.15</v>
      </c>
      <c r="D1204" s="22" t="n">
        <v>44966</v>
      </c>
      <c r="E1204" t="n">
        <v>469.45</v>
      </c>
      <c r="F1204" s="22" t="n">
        <v>45091</v>
      </c>
      <c r="G1204" t="n">
        <v>8.380468659817618</v>
      </c>
    </row>
    <row r="1205">
      <c r="A1205" t="inlineStr">
        <is>
          <t>INDUSTOWER</t>
        </is>
      </c>
      <c r="B1205" t="inlineStr">
        <is>
          <t>Bear</t>
        </is>
      </c>
      <c r="C1205" t="n">
        <v>390.05</v>
      </c>
      <c r="D1205" s="22" t="n">
        <v>45565</v>
      </c>
      <c r="E1205" t="n">
        <v>344</v>
      </c>
      <c r="F1205" s="22" t="n">
        <v>45660</v>
      </c>
      <c r="G1205" t="n">
        <v>11.8061786950391</v>
      </c>
    </row>
    <row r="1206">
      <c r="A1206" t="inlineStr">
        <is>
          <t>INDUSTOWER</t>
        </is>
      </c>
      <c r="B1206" t="inlineStr">
        <is>
          <t>Bull</t>
        </is>
      </c>
      <c r="C1206" t="n">
        <v>160.05</v>
      </c>
      <c r="D1206" s="22" t="n">
        <v>45079</v>
      </c>
      <c r="E1206" t="n">
        <v>393.75</v>
      </c>
      <c r="F1206" s="22" t="n">
        <v>45561</v>
      </c>
      <c r="G1206" t="n">
        <v>146.0168697282099</v>
      </c>
    </row>
    <row r="1207">
      <c r="A1207" t="inlineStr">
        <is>
          <t>INDUSTOWER</t>
        </is>
      </c>
      <c r="B1207" t="inlineStr">
        <is>
          <t>Bear</t>
        </is>
      </c>
      <c r="C1207" t="n">
        <v>189.5</v>
      </c>
      <c r="D1207" s="22" t="n">
        <v>44918</v>
      </c>
      <c r="E1207" t="n">
        <v>153.85</v>
      </c>
      <c r="F1207" s="22" t="n">
        <v>45077</v>
      </c>
      <c r="G1207" t="n">
        <v>18.81266490765172</v>
      </c>
    </row>
    <row r="1208">
      <c r="A1208" t="inlineStr">
        <is>
          <t>IOLCP</t>
        </is>
      </c>
      <c r="B1208" t="inlineStr">
        <is>
          <t>Bull</t>
        </is>
      </c>
      <c r="C1208" t="n">
        <v>411.95</v>
      </c>
      <c r="D1208" s="22" t="n">
        <v>45649</v>
      </c>
      <c r="E1208" t="n">
        <v>425.75</v>
      </c>
      <c r="F1208" s="22" t="n">
        <v>45660</v>
      </c>
      <c r="G1208" t="n">
        <v>3.349921106930456</v>
      </c>
    </row>
    <row r="1209">
      <c r="A1209" t="inlineStr">
        <is>
          <t>IOLCP</t>
        </is>
      </c>
      <c r="B1209" t="inlineStr">
        <is>
          <t>Bear</t>
        </is>
      </c>
      <c r="C1209" t="n">
        <v>419.1</v>
      </c>
      <c r="D1209" s="22" t="n">
        <v>45583</v>
      </c>
      <c r="E1209" t="n">
        <v>441.05</v>
      </c>
      <c r="F1209" s="22" t="n">
        <v>45645</v>
      </c>
      <c r="G1209" t="n">
        <v>-5.237413505130037</v>
      </c>
    </row>
    <row r="1210">
      <c r="A1210" t="inlineStr">
        <is>
          <t>IOLCP</t>
        </is>
      </c>
      <c r="B1210" t="inlineStr">
        <is>
          <t>Bull</t>
        </is>
      </c>
      <c r="C1210" t="n">
        <v>420.7</v>
      </c>
      <c r="D1210" s="22" t="n">
        <v>45463</v>
      </c>
      <c r="E1210" t="n">
        <v>432.9</v>
      </c>
      <c r="F1210" s="22" t="n">
        <v>45581</v>
      </c>
      <c r="G1210" t="n">
        <v>2.899928690278105</v>
      </c>
    </row>
    <row r="1211">
      <c r="A1211" t="inlineStr">
        <is>
          <t>IOLCP</t>
        </is>
      </c>
      <c r="B1211" t="inlineStr">
        <is>
          <t>Bear</t>
        </is>
      </c>
      <c r="C1211" t="n">
        <v>434</v>
      </c>
      <c r="D1211" s="22" t="n">
        <v>45320</v>
      </c>
      <c r="E1211" t="n">
        <v>412.5</v>
      </c>
      <c r="F1211" s="22" t="n">
        <v>45461</v>
      </c>
      <c r="G1211" t="n">
        <v>4.953917050691245</v>
      </c>
    </row>
    <row r="1212">
      <c r="A1212" t="inlineStr">
        <is>
          <t>IOLCP</t>
        </is>
      </c>
      <c r="B1212" t="inlineStr">
        <is>
          <t>Bull</t>
        </is>
      </c>
      <c r="C1212" t="n">
        <v>453.65</v>
      </c>
      <c r="D1212" s="22" t="n">
        <v>45260</v>
      </c>
      <c r="E1212" t="n">
        <v>436</v>
      </c>
      <c r="F1212" s="22" t="n">
        <v>45315</v>
      </c>
      <c r="G1212" t="n">
        <v>-3.890664609280277</v>
      </c>
    </row>
    <row r="1213">
      <c r="A1213" t="inlineStr">
        <is>
          <t>IOLCP</t>
        </is>
      </c>
      <c r="B1213" t="inlineStr">
        <is>
          <t>Bear</t>
        </is>
      </c>
      <c r="C1213" t="n">
        <v>413.15</v>
      </c>
      <c r="D1213" s="22" t="n">
        <v>45231</v>
      </c>
      <c r="E1213" t="n">
        <v>458</v>
      </c>
      <c r="F1213" s="22" t="n">
        <v>45258</v>
      </c>
      <c r="G1213" t="n">
        <v>-10.85562144499577</v>
      </c>
    </row>
    <row r="1214">
      <c r="A1214" t="inlineStr">
        <is>
          <t>IOLCP</t>
        </is>
      </c>
      <c r="B1214" t="inlineStr">
        <is>
          <t>Bull</t>
        </is>
      </c>
      <c r="C1214" t="n">
        <v>431.3</v>
      </c>
      <c r="D1214" s="22" t="n">
        <v>45170</v>
      </c>
      <c r="E1214" t="n">
        <v>423.35</v>
      </c>
      <c r="F1214" s="22" t="n">
        <v>45229</v>
      </c>
      <c r="G1214" t="n">
        <v>-1.84326454903779</v>
      </c>
    </row>
    <row r="1215">
      <c r="A1215" t="inlineStr">
        <is>
          <t>IOLCP</t>
        </is>
      </c>
      <c r="B1215" t="inlineStr">
        <is>
          <t>Bear</t>
        </is>
      </c>
      <c r="C1215" t="n">
        <v>372.55</v>
      </c>
      <c r="D1215" s="22" t="n">
        <v>45117</v>
      </c>
      <c r="E1215" t="n">
        <v>436.3</v>
      </c>
      <c r="F1215" s="22" t="n">
        <v>45168</v>
      </c>
      <c r="G1215" t="n">
        <v>-17.11179707421822</v>
      </c>
    </row>
    <row r="1216">
      <c r="A1216" t="inlineStr">
        <is>
          <t>IOLCP</t>
        </is>
      </c>
      <c r="B1216" t="inlineStr">
        <is>
          <t>Bull</t>
        </is>
      </c>
      <c r="C1216" t="n">
        <v>381</v>
      </c>
      <c r="D1216" s="22" t="n">
        <v>45033</v>
      </c>
      <c r="E1216" t="n">
        <v>380.55</v>
      </c>
      <c r="F1216" s="22" t="n">
        <v>45113</v>
      </c>
      <c r="G1216" t="n">
        <v>-0.1181102362204694</v>
      </c>
    </row>
    <row r="1217">
      <c r="A1217" t="inlineStr">
        <is>
          <t>IONEXCHANG</t>
        </is>
      </c>
      <c r="B1217" t="inlineStr">
        <is>
          <t>Bear</t>
        </is>
      </c>
      <c r="C1217" t="n">
        <v>663.6</v>
      </c>
      <c r="D1217" s="22" t="n">
        <v>45660</v>
      </c>
      <c r="E1217" t="n">
        <v>663.6</v>
      </c>
      <c r="F1217" s="22" t="n">
        <v>45660</v>
      </c>
      <c r="G1217" t="n">
        <v>0</v>
      </c>
    </row>
    <row r="1218">
      <c r="A1218" t="inlineStr">
        <is>
          <t>IONEXCHANG</t>
        </is>
      </c>
      <c r="B1218" t="inlineStr">
        <is>
          <t>Bull</t>
        </is>
      </c>
      <c r="C1218" t="n">
        <v>693.9</v>
      </c>
      <c r="D1218" s="22" t="n">
        <v>45630</v>
      </c>
      <c r="E1218" t="n">
        <v>654.35</v>
      </c>
      <c r="F1218" s="22" t="n">
        <v>45658</v>
      </c>
      <c r="G1218" t="n">
        <v>-5.69966854013546</v>
      </c>
    </row>
    <row r="1219">
      <c r="A1219" t="inlineStr">
        <is>
          <t>IONEXCHANG</t>
        </is>
      </c>
      <c r="B1219" t="inlineStr">
        <is>
          <t>Bear</t>
        </is>
      </c>
      <c r="C1219" t="n">
        <v>640.3</v>
      </c>
      <c r="D1219" s="22" t="n">
        <v>45615</v>
      </c>
      <c r="E1219" t="n">
        <v>688.95</v>
      </c>
      <c r="F1219" s="22" t="n">
        <v>45628</v>
      </c>
      <c r="G1219" t="n">
        <v>-7.598000937060768</v>
      </c>
    </row>
    <row r="1220">
      <c r="A1220" t="inlineStr">
        <is>
          <t>IONEXCHANG</t>
        </is>
      </c>
      <c r="B1220" t="inlineStr">
        <is>
          <t>Bull</t>
        </is>
      </c>
      <c r="C1220" t="n">
        <v>694.2</v>
      </c>
      <c r="D1220" s="22" t="n">
        <v>45597</v>
      </c>
      <c r="E1220" t="n">
        <v>634.6</v>
      </c>
      <c r="F1220" s="22" t="n">
        <v>45610</v>
      </c>
      <c r="G1220" t="n">
        <v>-8.585422068568139</v>
      </c>
    </row>
    <row r="1221">
      <c r="A1221" t="inlineStr">
        <is>
          <t>IONEXCHANG</t>
        </is>
      </c>
      <c r="B1221" t="inlineStr">
        <is>
          <t>Bear</t>
        </is>
      </c>
      <c r="C1221" t="n">
        <v>655.6</v>
      </c>
      <c r="D1221" s="22" t="n">
        <v>45569</v>
      </c>
      <c r="E1221" t="n">
        <v>668.3</v>
      </c>
      <c r="F1221" s="22" t="n">
        <v>45595</v>
      </c>
      <c r="G1221" t="n">
        <v>-1.937156802928604</v>
      </c>
    </row>
    <row r="1222">
      <c r="A1222" t="inlineStr">
        <is>
          <t>IONEXCHANG</t>
        </is>
      </c>
      <c r="B1222" t="inlineStr">
        <is>
          <t>Bull</t>
        </is>
      </c>
      <c r="C1222" t="n">
        <v>574.5</v>
      </c>
      <c r="D1222" s="22" t="n">
        <v>45471</v>
      </c>
      <c r="E1222" t="n">
        <v>640.25</v>
      </c>
      <c r="F1222" s="22" t="n">
        <v>45566</v>
      </c>
      <c r="G1222" t="n">
        <v>11.44473455178416</v>
      </c>
    </row>
    <row r="1223">
      <c r="A1223" t="inlineStr">
        <is>
          <t>IONEXCHANG</t>
        </is>
      </c>
      <c r="B1223" t="inlineStr">
        <is>
          <t>Bear</t>
        </is>
      </c>
      <c r="C1223" t="n">
        <v>486.2</v>
      </c>
      <c r="D1223" s="22" t="n">
        <v>45447</v>
      </c>
      <c r="E1223" t="n">
        <v>542.05</v>
      </c>
      <c r="F1223" s="22" t="n">
        <v>45469</v>
      </c>
      <c r="G1223" t="n">
        <v>-11.4870423693953</v>
      </c>
    </row>
    <row r="1224">
      <c r="A1224" t="inlineStr">
        <is>
          <t>IONEXCHANG</t>
        </is>
      </c>
      <c r="B1224" t="inlineStr">
        <is>
          <t>Bull</t>
        </is>
      </c>
      <c r="C1224" t="n">
        <v>531.4</v>
      </c>
      <c r="D1224" s="22" t="n">
        <v>45391</v>
      </c>
      <c r="E1224" t="n">
        <v>510.1</v>
      </c>
      <c r="F1224" s="22" t="n">
        <v>45443</v>
      </c>
      <c r="G1224" t="n">
        <v>-4.008280015054565</v>
      </c>
    </row>
    <row r="1225">
      <c r="A1225" t="inlineStr">
        <is>
          <t>IONEXCHANG</t>
        </is>
      </c>
      <c r="B1225" t="inlineStr">
        <is>
          <t>Bear</t>
        </is>
      </c>
      <c r="C1225" t="n">
        <v>554.3</v>
      </c>
      <c r="D1225" s="22" t="n">
        <v>45307</v>
      </c>
      <c r="E1225" t="n">
        <v>536.1</v>
      </c>
      <c r="F1225" s="22" t="n">
        <v>45387</v>
      </c>
      <c r="G1225" t="n">
        <v>3.283420530398689</v>
      </c>
    </row>
    <row r="1226">
      <c r="A1226" t="inlineStr">
        <is>
          <t>IONEXCHANG</t>
        </is>
      </c>
      <c r="B1226" t="inlineStr">
        <is>
          <t>Bull</t>
        </is>
      </c>
      <c r="C1226" t="n">
        <v>202.72</v>
      </c>
      <c r="D1226" s="22" t="n">
        <v>44806</v>
      </c>
      <c r="E1226" t="n">
        <v>558</v>
      </c>
      <c r="F1226" s="22" t="n">
        <v>45303</v>
      </c>
      <c r="G1226" t="n">
        <v>175.2565114443567</v>
      </c>
    </row>
    <row r="1227">
      <c r="A1227" t="inlineStr">
        <is>
          <t>ITC</t>
        </is>
      </c>
      <c r="B1227" t="inlineStr">
        <is>
          <t>Bear</t>
        </is>
      </c>
      <c r="C1227" t="n">
        <v>480.35</v>
      </c>
      <c r="D1227" s="22" t="n">
        <v>45588</v>
      </c>
      <c r="E1227" t="n">
        <v>481.6</v>
      </c>
      <c r="F1227" s="22" t="n">
        <v>45660</v>
      </c>
      <c r="G1227" t="n">
        <v>-0.2602269178723847</v>
      </c>
    </row>
    <row r="1228">
      <c r="A1228" t="inlineStr">
        <is>
          <t>ITC</t>
        </is>
      </c>
      <c r="B1228" t="inlineStr">
        <is>
          <t>Bull</t>
        </is>
      </c>
      <c r="C1228" t="n">
        <v>452.6</v>
      </c>
      <c r="D1228" s="22" t="n">
        <v>45482</v>
      </c>
      <c r="E1228" t="n">
        <v>483.65</v>
      </c>
      <c r="F1228" s="22" t="n">
        <v>45586</v>
      </c>
      <c r="G1228" t="n">
        <v>6.860362350861678</v>
      </c>
    </row>
    <row r="1229">
      <c r="A1229" t="inlineStr">
        <is>
          <t>ITC</t>
        </is>
      </c>
      <c r="B1229" t="inlineStr">
        <is>
          <t>Bear</t>
        </is>
      </c>
      <c r="C1229" t="n">
        <v>419.6</v>
      </c>
      <c r="D1229" s="22" t="n">
        <v>45464</v>
      </c>
      <c r="E1229" t="n">
        <v>433.65</v>
      </c>
      <c r="F1229" s="22" t="n">
        <v>45478</v>
      </c>
      <c r="G1229" t="n">
        <v>-3.34842707340323</v>
      </c>
    </row>
    <row r="1230">
      <c r="A1230" t="inlineStr">
        <is>
          <t>ITC</t>
        </is>
      </c>
      <c r="B1230" t="inlineStr">
        <is>
          <t>Bull</t>
        </is>
      </c>
      <c r="C1230" t="n">
        <v>418.85</v>
      </c>
      <c r="D1230" s="22" t="n">
        <v>45400</v>
      </c>
      <c r="E1230" t="n">
        <v>423.65</v>
      </c>
      <c r="F1230" s="22" t="n">
        <v>45462</v>
      </c>
      <c r="G1230" t="n">
        <v>1.145994986271924</v>
      </c>
    </row>
    <row r="1231">
      <c r="A1231" t="inlineStr">
        <is>
          <t>ITC</t>
        </is>
      </c>
      <c r="B1231" t="inlineStr">
        <is>
          <t>Bear</t>
        </is>
      </c>
      <c r="C1231" t="n">
        <v>438.05</v>
      </c>
      <c r="D1231" s="22" t="n">
        <v>45327</v>
      </c>
      <c r="E1231" t="n">
        <v>425.9</v>
      </c>
      <c r="F1231" s="22" t="n">
        <v>45397</v>
      </c>
      <c r="G1231" t="n">
        <v>2.773655975345288</v>
      </c>
    </row>
    <row r="1232">
      <c r="A1232" t="inlineStr">
        <is>
          <t>ITC</t>
        </is>
      </c>
      <c r="B1232" t="inlineStr">
        <is>
          <t>Bull</t>
        </is>
      </c>
      <c r="C1232" t="n">
        <v>463.25</v>
      </c>
      <c r="D1232" s="22" t="n">
        <v>45266</v>
      </c>
      <c r="E1232" t="n">
        <v>442.9</v>
      </c>
      <c r="F1232" s="22" t="n">
        <v>45323</v>
      </c>
      <c r="G1232" t="n">
        <v>-4.392876416621699</v>
      </c>
    </row>
    <row r="1233">
      <c r="A1233" t="inlineStr">
        <is>
          <t>ITC</t>
        </is>
      </c>
      <c r="B1233" t="inlineStr">
        <is>
          <t>Bear</t>
        </is>
      </c>
      <c r="C1233" t="n">
        <v>454.4</v>
      </c>
      <c r="D1233" s="22" t="n">
        <v>45160</v>
      </c>
      <c r="E1233" t="n">
        <v>454.05</v>
      </c>
      <c r="F1233" s="22" t="n">
        <v>45264</v>
      </c>
      <c r="G1233" t="n">
        <v>0.07702464788731644</v>
      </c>
    </row>
    <row r="1234">
      <c r="A1234" t="inlineStr">
        <is>
          <t>ITC</t>
        </is>
      </c>
      <c r="B1234" t="inlineStr">
        <is>
          <t>Bull</t>
        </is>
      </c>
      <c r="C1234" t="n">
        <v>352.35</v>
      </c>
      <c r="D1234" s="22" t="n">
        <v>44957</v>
      </c>
      <c r="E1234" t="n">
        <v>441</v>
      </c>
      <c r="F1234" s="22" t="n">
        <v>45156</v>
      </c>
      <c r="G1234" t="n">
        <v>25.1596424010217</v>
      </c>
    </row>
    <row r="1235">
      <c r="A1235" t="inlineStr">
        <is>
          <t>JBCHEPHARM</t>
        </is>
      </c>
      <c r="B1235" t="inlineStr">
        <is>
          <t>Bull</t>
        </is>
      </c>
      <c r="C1235" t="n">
        <v>1859.7</v>
      </c>
      <c r="D1235" s="22" t="n">
        <v>45649</v>
      </c>
      <c r="E1235" t="n">
        <v>1867.6</v>
      </c>
      <c r="F1235" s="22" t="n">
        <v>45660</v>
      </c>
      <c r="G1235" t="n">
        <v>0.4247996988761555</v>
      </c>
    </row>
    <row r="1236">
      <c r="A1236" t="inlineStr">
        <is>
          <t>JBCHEPHARM</t>
        </is>
      </c>
      <c r="B1236" t="inlineStr">
        <is>
          <t>Bear</t>
        </is>
      </c>
      <c r="C1236" t="n">
        <v>1779.55</v>
      </c>
      <c r="D1236" s="22" t="n">
        <v>45608</v>
      </c>
      <c r="E1236" t="n">
        <v>1913.25</v>
      </c>
      <c r="F1236" s="22" t="n">
        <v>45645</v>
      </c>
      <c r="G1236" t="n">
        <v>-7.513135343204745</v>
      </c>
    </row>
    <row r="1237">
      <c r="A1237" t="inlineStr">
        <is>
          <t>JBCHEPHARM</t>
        </is>
      </c>
      <c r="B1237" t="inlineStr">
        <is>
          <t>Bull</t>
        </is>
      </c>
      <c r="C1237" t="n">
        <v>1869.5</v>
      </c>
      <c r="D1237" s="22" t="n">
        <v>45593</v>
      </c>
      <c r="E1237" t="n">
        <v>1840.7</v>
      </c>
      <c r="F1237" s="22" t="n">
        <v>45604</v>
      </c>
      <c r="G1237" t="n">
        <v>-1.540518855308904</v>
      </c>
    </row>
    <row r="1238">
      <c r="A1238" t="inlineStr">
        <is>
          <t>JBCHEPHARM</t>
        </is>
      </c>
      <c r="B1238" t="inlineStr">
        <is>
          <t>Bear</t>
        </is>
      </c>
      <c r="C1238" t="n">
        <v>1715.15</v>
      </c>
      <c r="D1238" s="22" t="n">
        <v>45569</v>
      </c>
      <c r="E1238" t="n">
        <v>1897.2</v>
      </c>
      <c r="F1238" s="22" t="n">
        <v>45589</v>
      </c>
      <c r="G1238" t="n">
        <v>-10.61423199137101</v>
      </c>
    </row>
    <row r="1239">
      <c r="A1239" t="inlineStr">
        <is>
          <t>JBCHEPHARM</t>
        </is>
      </c>
      <c r="B1239" t="inlineStr">
        <is>
          <t>Bull</t>
        </is>
      </c>
      <c r="C1239" t="n">
        <v>1858.8</v>
      </c>
      <c r="D1239" s="22" t="n">
        <v>45497</v>
      </c>
      <c r="E1239" t="n">
        <v>1834.95</v>
      </c>
      <c r="F1239" s="22" t="n">
        <v>45566</v>
      </c>
      <c r="G1239" t="n">
        <v>-1.283085861846347</v>
      </c>
    </row>
    <row r="1240">
      <c r="A1240" t="inlineStr">
        <is>
          <t>JBCHEPHARM</t>
        </is>
      </c>
      <c r="B1240" t="inlineStr">
        <is>
          <t>Bear</t>
        </is>
      </c>
      <c r="C1240" t="n">
        <v>1725.95</v>
      </c>
      <c r="D1240" s="22" t="n">
        <v>45483</v>
      </c>
      <c r="E1240" t="n">
        <v>1812.05</v>
      </c>
      <c r="F1240" s="22" t="n">
        <v>45495</v>
      </c>
      <c r="G1240" t="n">
        <v>-4.988557026565075</v>
      </c>
    </row>
    <row r="1241">
      <c r="A1241" t="inlineStr">
        <is>
          <t>JBCHEPHARM</t>
        </is>
      </c>
      <c r="B1241" t="inlineStr">
        <is>
          <t>Bull</t>
        </is>
      </c>
      <c r="C1241" t="n">
        <v>1684.3</v>
      </c>
      <c r="D1241" s="22" t="n">
        <v>45385</v>
      </c>
      <c r="E1241" t="n">
        <v>1737.65</v>
      </c>
      <c r="F1241" s="22" t="n">
        <v>45481</v>
      </c>
      <c r="G1241" t="n">
        <v>3.167487977201219</v>
      </c>
    </row>
    <row r="1242">
      <c r="A1242" t="inlineStr">
        <is>
          <t>JBCHEPHARM</t>
        </is>
      </c>
      <c r="B1242" t="inlineStr">
        <is>
          <t>Bear</t>
        </is>
      </c>
      <c r="C1242" t="n">
        <v>1568.75</v>
      </c>
      <c r="D1242" s="22" t="n">
        <v>45356</v>
      </c>
      <c r="E1242" t="n">
        <v>1695.55</v>
      </c>
      <c r="F1242" s="22" t="n">
        <v>45383</v>
      </c>
      <c r="G1242" t="n">
        <v>-8.08286852589641</v>
      </c>
    </row>
    <row r="1243">
      <c r="A1243" t="inlineStr">
        <is>
          <t>JBCHEPHARM</t>
        </is>
      </c>
      <c r="B1243" t="inlineStr">
        <is>
          <t>Bull</t>
        </is>
      </c>
      <c r="C1243" t="n">
        <v>1058.38</v>
      </c>
      <c r="D1243" s="22" t="n">
        <v>45078</v>
      </c>
      <c r="E1243" t="n">
        <v>1539.9</v>
      </c>
      <c r="F1243" s="22" t="n">
        <v>45353</v>
      </c>
      <c r="G1243" t="n">
        <v>45.49594663542395</v>
      </c>
    </row>
    <row r="1244">
      <c r="A1244" t="inlineStr">
        <is>
          <t>JBCHEPHARM</t>
        </is>
      </c>
      <c r="B1244" t="inlineStr">
        <is>
          <t>Bear</t>
        </is>
      </c>
      <c r="C1244" t="n">
        <v>960.03</v>
      </c>
      <c r="D1244" s="22" t="n">
        <v>45070</v>
      </c>
      <c r="E1244" t="n">
        <v>1058.4</v>
      </c>
      <c r="F1244" s="22" t="n">
        <v>45076</v>
      </c>
      <c r="G1244" t="n">
        <v>-10.24655479516266</v>
      </c>
    </row>
    <row r="1245">
      <c r="A1245" t="inlineStr">
        <is>
          <t>JBCHEPHARM</t>
        </is>
      </c>
      <c r="B1245" t="inlineStr">
        <is>
          <t>Bull</t>
        </is>
      </c>
      <c r="C1245" t="n">
        <v>1014.6</v>
      </c>
      <c r="D1245" s="22" t="n">
        <v>45027</v>
      </c>
      <c r="E1245" t="n">
        <v>981.78</v>
      </c>
      <c r="F1245" s="22" t="n">
        <v>45068</v>
      </c>
      <c r="G1245" t="n">
        <v>-3.234772324068603</v>
      </c>
    </row>
    <row r="1246">
      <c r="A1246" t="inlineStr">
        <is>
          <t>JKCEMENT</t>
        </is>
      </c>
      <c r="B1246" t="inlineStr">
        <is>
          <t>Bull</t>
        </is>
      </c>
      <c r="C1246" t="n">
        <v>4596.65</v>
      </c>
      <c r="D1246" s="22" t="n">
        <v>45632</v>
      </c>
      <c r="E1246" t="n">
        <v>4726.55</v>
      </c>
      <c r="F1246" s="22" t="n">
        <v>45660</v>
      </c>
      <c r="G1246" t="n">
        <v>2.825971087639924</v>
      </c>
    </row>
    <row r="1247">
      <c r="A1247" t="inlineStr">
        <is>
          <t>JKCEMENT</t>
        </is>
      </c>
      <c r="B1247" t="inlineStr">
        <is>
          <t>Bear</t>
        </is>
      </c>
      <c r="C1247" t="n">
        <v>4323.65</v>
      </c>
      <c r="D1247" s="22" t="n">
        <v>45580</v>
      </c>
      <c r="E1247" t="n">
        <v>4632.55</v>
      </c>
      <c r="F1247" s="22" t="n">
        <v>45630</v>
      </c>
      <c r="G1247" t="n">
        <v>-7.14442658402046</v>
      </c>
    </row>
    <row r="1248">
      <c r="A1248" t="inlineStr">
        <is>
          <t>JKCEMENT</t>
        </is>
      </c>
      <c r="B1248" t="inlineStr">
        <is>
          <t>Bull</t>
        </is>
      </c>
      <c r="C1248" t="n">
        <v>4326.7</v>
      </c>
      <c r="D1248" s="22" t="n">
        <v>45457</v>
      </c>
      <c r="E1248" t="n">
        <v>4238.75</v>
      </c>
      <c r="F1248" s="22" t="n">
        <v>45576</v>
      </c>
      <c r="G1248" t="n">
        <v>-2.032727020593057</v>
      </c>
    </row>
    <row r="1249">
      <c r="A1249" t="inlineStr">
        <is>
          <t>JKCEMENT</t>
        </is>
      </c>
      <c r="B1249" t="inlineStr">
        <is>
          <t>Bear</t>
        </is>
      </c>
      <c r="C1249" t="n">
        <v>4072.6</v>
      </c>
      <c r="D1249" s="22" t="n">
        <v>45408</v>
      </c>
      <c r="E1249" t="n">
        <v>4248.55</v>
      </c>
      <c r="F1249" s="22" t="n">
        <v>45455</v>
      </c>
      <c r="G1249" t="n">
        <v>-4.320335903354129</v>
      </c>
    </row>
    <row r="1250">
      <c r="A1250" t="inlineStr">
        <is>
          <t>JKCEMENT</t>
        </is>
      </c>
      <c r="B1250" t="inlineStr">
        <is>
          <t>Bull</t>
        </is>
      </c>
      <c r="C1250" t="n">
        <v>4390.75</v>
      </c>
      <c r="D1250" s="22" t="n">
        <v>45390</v>
      </c>
      <c r="E1250" t="n">
        <v>4175.25</v>
      </c>
      <c r="F1250" s="22" t="n">
        <v>45406</v>
      </c>
      <c r="G1250" t="n">
        <v>-4.908045322553094</v>
      </c>
    </row>
    <row r="1251">
      <c r="A1251" t="inlineStr">
        <is>
          <t>JKCEMENT</t>
        </is>
      </c>
      <c r="B1251" t="inlineStr">
        <is>
          <t>Bear</t>
        </is>
      </c>
      <c r="C1251" t="n">
        <v>4076.15</v>
      </c>
      <c r="D1251" s="22" t="n">
        <v>45379</v>
      </c>
      <c r="E1251" t="n">
        <v>4354.2</v>
      </c>
      <c r="F1251" s="22" t="n">
        <v>45386</v>
      </c>
      <c r="G1251" t="n">
        <v>-6.821387829201568</v>
      </c>
    </row>
    <row r="1252">
      <c r="A1252" t="inlineStr">
        <is>
          <t>JKCEMENT</t>
        </is>
      </c>
      <c r="B1252" t="inlineStr">
        <is>
          <t>Bull</t>
        </is>
      </c>
      <c r="C1252" t="n">
        <v>3390.4</v>
      </c>
      <c r="D1252" s="22" t="n">
        <v>45239</v>
      </c>
      <c r="E1252" t="n">
        <v>4046</v>
      </c>
      <c r="F1252" s="22" t="n">
        <v>45377</v>
      </c>
      <c r="G1252" t="n">
        <v>19.33695139216611</v>
      </c>
    </row>
    <row r="1253">
      <c r="A1253" t="inlineStr">
        <is>
          <t>JKCEMENT</t>
        </is>
      </c>
      <c r="B1253" t="inlineStr">
        <is>
          <t>Bear</t>
        </is>
      </c>
      <c r="C1253" t="n">
        <v>3097.7</v>
      </c>
      <c r="D1253" s="22" t="n">
        <v>45225</v>
      </c>
      <c r="E1253" t="n">
        <v>3364.95</v>
      </c>
      <c r="F1253" s="22" t="n">
        <v>45237</v>
      </c>
      <c r="G1253" t="n">
        <v>-8.627368692901186</v>
      </c>
    </row>
    <row r="1254">
      <c r="A1254" t="inlineStr">
        <is>
          <t>JKCEMENT</t>
        </is>
      </c>
      <c r="B1254" t="inlineStr">
        <is>
          <t>Bull</t>
        </is>
      </c>
      <c r="C1254" t="n">
        <v>3295.05</v>
      </c>
      <c r="D1254" s="22" t="n">
        <v>45219</v>
      </c>
      <c r="E1254" t="n">
        <v>3168.8</v>
      </c>
      <c r="F1254" s="22" t="n">
        <v>45222</v>
      </c>
      <c r="G1254" t="n">
        <v>-3.831504833007086</v>
      </c>
    </row>
    <row r="1255">
      <c r="A1255" t="inlineStr">
        <is>
          <t>JKCEMENT</t>
        </is>
      </c>
      <c r="B1255" t="inlineStr">
        <is>
          <t>Bear</t>
        </is>
      </c>
      <c r="C1255" t="n">
        <v>3200</v>
      </c>
      <c r="D1255" s="22" t="n">
        <v>45196</v>
      </c>
      <c r="E1255" t="n">
        <v>3297.1</v>
      </c>
      <c r="F1255" s="22" t="n">
        <v>45217</v>
      </c>
      <c r="G1255" t="n">
        <v>-3.034374999999997</v>
      </c>
    </row>
    <row r="1256">
      <c r="A1256" t="inlineStr">
        <is>
          <t>JKCEMENT</t>
        </is>
      </c>
      <c r="B1256" t="inlineStr">
        <is>
          <t>Bull</t>
        </is>
      </c>
      <c r="C1256" t="n">
        <v>3406.35</v>
      </c>
      <c r="D1256" s="22" t="n">
        <v>45175</v>
      </c>
      <c r="E1256" t="n">
        <v>3146</v>
      </c>
      <c r="F1256" s="22" t="n">
        <v>45194</v>
      </c>
      <c r="G1256" t="n">
        <v>-7.643078368341477</v>
      </c>
    </row>
    <row r="1257">
      <c r="A1257" t="inlineStr">
        <is>
          <t>JKCEMENT</t>
        </is>
      </c>
      <c r="B1257" t="inlineStr">
        <is>
          <t>Bear</t>
        </is>
      </c>
      <c r="C1257" t="n">
        <v>3067.25</v>
      </c>
      <c r="D1257" s="22" t="n">
        <v>45156</v>
      </c>
      <c r="E1257" t="n">
        <v>3325.25</v>
      </c>
      <c r="F1257" s="22" t="n">
        <v>45173</v>
      </c>
      <c r="G1257" t="n">
        <v>-8.41144347542587</v>
      </c>
    </row>
    <row r="1258">
      <c r="A1258" t="inlineStr">
        <is>
          <t>JKCEMENT</t>
        </is>
      </c>
      <c r="B1258" t="inlineStr">
        <is>
          <t>Bull</t>
        </is>
      </c>
      <c r="C1258" t="n">
        <v>2916.15</v>
      </c>
      <c r="D1258" s="22" t="n">
        <v>45016</v>
      </c>
      <c r="E1258" t="n">
        <v>3130</v>
      </c>
      <c r="F1258" s="22" t="n">
        <v>45154</v>
      </c>
      <c r="G1258" t="n">
        <v>7.333299041544499</v>
      </c>
    </row>
    <row r="1259">
      <c r="A1259" t="inlineStr">
        <is>
          <t>JKIL</t>
        </is>
      </c>
      <c r="B1259" t="inlineStr">
        <is>
          <t>Bull</t>
        </is>
      </c>
      <c r="C1259" t="n">
        <v>784</v>
      </c>
      <c r="D1259" s="22" t="n">
        <v>45636</v>
      </c>
      <c r="E1259" t="n">
        <v>767.95</v>
      </c>
      <c r="F1259" s="22" t="n">
        <v>45660</v>
      </c>
      <c r="G1259" t="n">
        <v>-2.047193877551015</v>
      </c>
    </row>
    <row r="1260">
      <c r="A1260" t="inlineStr">
        <is>
          <t>JKIL</t>
        </is>
      </c>
      <c r="B1260" t="inlineStr">
        <is>
          <t>Bear</t>
        </is>
      </c>
      <c r="C1260" t="n">
        <v>780.95</v>
      </c>
      <c r="D1260" s="22" t="n">
        <v>45545</v>
      </c>
      <c r="E1260" t="n">
        <v>785.35</v>
      </c>
      <c r="F1260" s="22" t="n">
        <v>45632</v>
      </c>
      <c r="G1260" t="n">
        <v>-0.5634163518791186</v>
      </c>
    </row>
    <row r="1261">
      <c r="A1261" t="inlineStr">
        <is>
          <t>JKIL</t>
        </is>
      </c>
      <c r="B1261" t="inlineStr">
        <is>
          <t>Bull</t>
        </is>
      </c>
      <c r="C1261" t="n">
        <v>274.5</v>
      </c>
      <c r="D1261" s="22" t="n">
        <v>45042</v>
      </c>
      <c r="E1261" t="n">
        <v>789.2</v>
      </c>
      <c r="F1261" s="22" t="n">
        <v>45541</v>
      </c>
      <c r="G1261" t="n">
        <v>187.5045537340619</v>
      </c>
    </row>
    <row r="1262">
      <c r="A1262" t="inlineStr">
        <is>
          <t>JINDALSAW</t>
        </is>
      </c>
      <c r="B1262" t="inlineStr">
        <is>
          <t>Bear</t>
        </is>
      </c>
      <c r="C1262" t="n">
        <v>304.7</v>
      </c>
      <c r="D1262" s="22" t="n">
        <v>45594</v>
      </c>
      <c r="E1262" t="n">
        <v>284.6</v>
      </c>
      <c r="F1262" s="22" t="n">
        <v>45660</v>
      </c>
      <c r="G1262" t="n">
        <v>6.596652445027885</v>
      </c>
    </row>
    <row r="1263">
      <c r="A1263" t="inlineStr">
        <is>
          <t>JINDALSAW</t>
        </is>
      </c>
      <c r="B1263" t="inlineStr">
        <is>
          <t>Bull</t>
        </is>
      </c>
      <c r="C1263" t="n">
        <v>248.03</v>
      </c>
      <c r="D1263" s="22" t="n">
        <v>45397</v>
      </c>
      <c r="E1263" t="n">
        <v>301.85</v>
      </c>
      <c r="F1263" s="22" t="n">
        <v>45590</v>
      </c>
      <c r="G1263" t="n">
        <v>21.69898802564207</v>
      </c>
    </row>
    <row r="1264">
      <c r="A1264" t="inlineStr">
        <is>
          <t>JINDALSAW</t>
        </is>
      </c>
      <c r="B1264" t="inlineStr">
        <is>
          <t>Bear</t>
        </is>
      </c>
      <c r="C1264" t="n">
        <v>195.53</v>
      </c>
      <c r="D1264" s="22" t="n">
        <v>45364</v>
      </c>
      <c r="E1264" t="n">
        <v>246.4</v>
      </c>
      <c r="F1264" s="22" t="n">
        <v>45392</v>
      </c>
      <c r="G1264" t="n">
        <v>-26.01646806116709</v>
      </c>
    </row>
    <row r="1265">
      <c r="A1265" t="inlineStr">
        <is>
          <t>JINDALSAW</t>
        </is>
      </c>
      <c r="B1265" t="inlineStr">
        <is>
          <t>Bull</t>
        </is>
      </c>
      <c r="C1265" t="n">
        <v>45.23</v>
      </c>
      <c r="D1265" s="22" t="n">
        <v>44883</v>
      </c>
      <c r="E1265" t="n">
        <v>224.98</v>
      </c>
      <c r="F1265" s="22" t="n">
        <v>45362</v>
      </c>
      <c r="G1265" t="n">
        <v>397.4132213132877</v>
      </c>
    </row>
    <row r="1266">
      <c r="A1266" t="inlineStr">
        <is>
          <t>JSL</t>
        </is>
      </c>
      <c r="B1266" t="inlineStr">
        <is>
          <t>Bear</t>
        </is>
      </c>
      <c r="C1266" t="n">
        <v>677.6</v>
      </c>
      <c r="D1266" s="22" t="n">
        <v>45660</v>
      </c>
      <c r="E1266" t="n">
        <v>677.6</v>
      </c>
      <c r="F1266" s="22" t="n">
        <v>45660</v>
      </c>
      <c r="G1266" t="n">
        <v>0</v>
      </c>
    </row>
    <row r="1267">
      <c r="A1267" t="inlineStr">
        <is>
          <t>JSL</t>
        </is>
      </c>
      <c r="B1267" t="inlineStr">
        <is>
          <t>Bull</t>
        </is>
      </c>
      <c r="C1267" t="n">
        <v>752.65</v>
      </c>
      <c r="D1267" s="22" t="n">
        <v>45638</v>
      </c>
      <c r="E1267" t="n">
        <v>696.85</v>
      </c>
      <c r="F1267" s="22" t="n">
        <v>45658</v>
      </c>
      <c r="G1267" t="n">
        <v>-7.413804557231112</v>
      </c>
    </row>
    <row r="1268">
      <c r="A1268" t="inlineStr">
        <is>
          <t>JSL</t>
        </is>
      </c>
      <c r="B1268" t="inlineStr">
        <is>
          <t>Bear</t>
        </is>
      </c>
      <c r="C1268" t="n">
        <v>658.95</v>
      </c>
      <c r="D1268" s="22" t="n">
        <v>45588</v>
      </c>
      <c r="E1268" t="n">
        <v>746.65</v>
      </c>
      <c r="F1268" s="22" t="n">
        <v>45636</v>
      </c>
      <c r="G1268" t="n">
        <v>-13.30905228014264</v>
      </c>
    </row>
    <row r="1269">
      <c r="A1269" t="inlineStr">
        <is>
          <t>JSL</t>
        </is>
      </c>
      <c r="B1269" t="inlineStr">
        <is>
          <t>Bull</t>
        </is>
      </c>
      <c r="C1269" t="n">
        <v>749.9</v>
      </c>
      <c r="D1269" s="22" t="n">
        <v>45553</v>
      </c>
      <c r="E1269" t="n">
        <v>698.85</v>
      </c>
      <c r="F1269" s="22" t="n">
        <v>45586</v>
      </c>
      <c r="G1269" t="n">
        <v>-6.80757434324576</v>
      </c>
    </row>
    <row r="1270">
      <c r="A1270" t="inlineStr">
        <is>
          <t>JSL</t>
        </is>
      </c>
      <c r="B1270" t="inlineStr">
        <is>
          <t>Bear</t>
        </is>
      </c>
      <c r="C1270" t="n">
        <v>736.35</v>
      </c>
      <c r="D1270" s="22" t="n">
        <v>45505</v>
      </c>
      <c r="E1270" t="n">
        <v>759.45</v>
      </c>
      <c r="F1270" s="22" t="n">
        <v>45551</v>
      </c>
      <c r="G1270" t="n">
        <v>-3.137095131391325</v>
      </c>
    </row>
    <row r="1271">
      <c r="A1271" t="inlineStr">
        <is>
          <t>JSL</t>
        </is>
      </c>
      <c r="B1271" t="inlineStr">
        <is>
          <t>Bull</t>
        </is>
      </c>
      <c r="C1271" t="n">
        <v>141.4</v>
      </c>
      <c r="D1271" s="22" t="n">
        <v>44861</v>
      </c>
      <c r="E1271" t="n">
        <v>744.6</v>
      </c>
      <c r="F1271" s="22" t="n">
        <v>45503</v>
      </c>
      <c r="G1271" t="n">
        <v>426.5912305516266</v>
      </c>
    </row>
    <row r="1272">
      <c r="A1272" t="inlineStr">
        <is>
          <t>JINDALSTEL</t>
        </is>
      </c>
      <c r="B1272" t="inlineStr">
        <is>
          <t>Bull</t>
        </is>
      </c>
      <c r="C1272" t="n">
        <v>998.75</v>
      </c>
      <c r="D1272" s="22" t="n">
        <v>45639</v>
      </c>
      <c r="E1272" t="n">
        <v>957.85</v>
      </c>
      <c r="F1272" s="22" t="n">
        <v>45660</v>
      </c>
      <c r="G1272" t="n">
        <v>-4.095118898623276</v>
      </c>
    </row>
    <row r="1273">
      <c r="A1273" t="inlineStr">
        <is>
          <t>JINDALSTEL</t>
        </is>
      </c>
      <c r="B1273" t="inlineStr">
        <is>
          <t>Bear</t>
        </is>
      </c>
      <c r="C1273" t="n">
        <v>948.95</v>
      </c>
      <c r="D1273" s="22" t="n">
        <v>45586</v>
      </c>
      <c r="E1273" t="n">
        <v>994.65</v>
      </c>
      <c r="F1273" s="22" t="n">
        <v>45637</v>
      </c>
      <c r="G1273" t="n">
        <v>-4.815849096369664</v>
      </c>
    </row>
    <row r="1274">
      <c r="A1274" t="inlineStr">
        <is>
          <t>JINDALSTEL</t>
        </is>
      </c>
      <c r="B1274" t="inlineStr">
        <is>
          <t>Bull</t>
        </is>
      </c>
      <c r="C1274" t="n">
        <v>1052.75</v>
      </c>
      <c r="D1274" s="22" t="n">
        <v>45552</v>
      </c>
      <c r="E1274" t="n">
        <v>930</v>
      </c>
      <c r="F1274" s="22" t="n">
        <v>45582</v>
      </c>
      <c r="G1274" t="n">
        <v>-11.65993825694609</v>
      </c>
    </row>
    <row r="1275">
      <c r="A1275" t="inlineStr">
        <is>
          <t>JINDALSTEL</t>
        </is>
      </c>
      <c r="B1275" t="inlineStr">
        <is>
          <t>Bear</t>
        </is>
      </c>
      <c r="C1275" t="n">
        <v>937.8</v>
      </c>
      <c r="D1275" s="22" t="n">
        <v>45498</v>
      </c>
      <c r="E1275" t="n">
        <v>1031.1</v>
      </c>
      <c r="F1275" s="22" t="n">
        <v>45548</v>
      </c>
      <c r="G1275" t="n">
        <v>-9.948816378758792</v>
      </c>
    </row>
    <row r="1276">
      <c r="A1276" t="inlineStr">
        <is>
          <t>JINDALSTEL</t>
        </is>
      </c>
      <c r="B1276" t="inlineStr">
        <is>
          <t>Bull</t>
        </is>
      </c>
      <c r="C1276" t="n">
        <v>681.5</v>
      </c>
      <c r="D1276" s="22" t="n">
        <v>45264</v>
      </c>
      <c r="E1276" t="n">
        <v>952.8</v>
      </c>
      <c r="F1276" s="22" t="n">
        <v>45496</v>
      </c>
      <c r="G1276" t="n">
        <v>39.8092443140132</v>
      </c>
    </row>
    <row r="1277">
      <c r="A1277" t="inlineStr">
        <is>
          <t>JINDALSTEL</t>
        </is>
      </c>
      <c r="B1277" t="inlineStr">
        <is>
          <t>Bear</t>
        </is>
      </c>
      <c r="C1277" t="n">
        <v>643.65</v>
      </c>
      <c r="D1277" s="22" t="n">
        <v>45229</v>
      </c>
      <c r="E1277" t="n">
        <v>670.8</v>
      </c>
      <c r="F1277" s="22" t="n">
        <v>45260</v>
      </c>
      <c r="G1277" t="n">
        <v>-4.218130971801441</v>
      </c>
    </row>
    <row r="1278">
      <c r="A1278" t="inlineStr">
        <is>
          <t>JINDALSTEL</t>
        </is>
      </c>
      <c r="B1278" t="inlineStr">
        <is>
          <t>Bull</t>
        </is>
      </c>
      <c r="C1278" t="n">
        <v>567.8</v>
      </c>
      <c r="D1278" s="22" t="n">
        <v>45100</v>
      </c>
      <c r="E1278" t="n">
        <v>645.05</v>
      </c>
      <c r="F1278" s="22" t="n">
        <v>45225</v>
      </c>
      <c r="G1278" t="n">
        <v>13.60514265586474</v>
      </c>
    </row>
    <row r="1279">
      <c r="A1279" t="inlineStr">
        <is>
          <t>JINDALSTEL</t>
        </is>
      </c>
      <c r="B1279" t="inlineStr">
        <is>
          <t>Bear</t>
        </is>
      </c>
      <c r="C1279" t="n">
        <v>522.4</v>
      </c>
      <c r="D1279" s="22" t="n">
        <v>45065</v>
      </c>
      <c r="E1279" t="n">
        <v>585</v>
      </c>
      <c r="F1279" s="22" t="n">
        <v>45098</v>
      </c>
      <c r="G1279" t="n">
        <v>-11.98315467075039</v>
      </c>
    </row>
    <row r="1280">
      <c r="A1280" t="inlineStr">
        <is>
          <t>JINDALSTEL</t>
        </is>
      </c>
      <c r="B1280" t="inlineStr">
        <is>
          <t>Bull</t>
        </is>
      </c>
      <c r="C1280" t="n">
        <v>579.45</v>
      </c>
      <c r="D1280" s="22" t="n">
        <v>45043</v>
      </c>
      <c r="E1280" t="n">
        <v>532.1</v>
      </c>
      <c r="F1280" s="22" t="n">
        <v>45063</v>
      </c>
      <c r="G1280" t="n">
        <v>-8.171541979463287</v>
      </c>
    </row>
    <row r="1281">
      <c r="A1281" t="inlineStr">
        <is>
          <t>JKLAKSHMI</t>
        </is>
      </c>
      <c r="B1281" t="inlineStr">
        <is>
          <t>Bull</t>
        </is>
      </c>
      <c r="C1281" t="n">
        <v>807</v>
      </c>
      <c r="D1281" s="22" t="n">
        <v>45632</v>
      </c>
      <c r="E1281" t="n">
        <v>818.5</v>
      </c>
      <c r="F1281" s="22" t="n">
        <v>45660</v>
      </c>
      <c r="G1281" t="n">
        <v>1.425030978934325</v>
      </c>
    </row>
    <row r="1282">
      <c r="A1282" t="inlineStr">
        <is>
          <t>JKLAKSHMI</t>
        </is>
      </c>
      <c r="B1282" t="inlineStr">
        <is>
          <t>Bear</t>
        </is>
      </c>
      <c r="C1282" t="n">
        <v>739.7</v>
      </c>
      <c r="D1282" s="22" t="n">
        <v>45607</v>
      </c>
      <c r="E1282" t="n">
        <v>828.7</v>
      </c>
      <c r="F1282" s="22" t="n">
        <v>45630</v>
      </c>
      <c r="G1282" t="n">
        <v>-12.03190482628092</v>
      </c>
    </row>
    <row r="1283">
      <c r="A1283" t="inlineStr">
        <is>
          <t>JKLAKSHMI</t>
        </is>
      </c>
      <c r="B1283" t="inlineStr">
        <is>
          <t>Bull</t>
        </is>
      </c>
      <c r="C1283" t="n">
        <v>799.85</v>
      </c>
      <c r="D1283" s="22" t="n">
        <v>45601</v>
      </c>
      <c r="E1283" t="n">
        <v>775.65</v>
      </c>
      <c r="F1283" s="22" t="n">
        <v>45603</v>
      </c>
      <c r="G1283" t="n">
        <v>-3.025567293867606</v>
      </c>
    </row>
    <row r="1284">
      <c r="A1284" t="inlineStr">
        <is>
          <t>JKLAKSHMI</t>
        </is>
      </c>
      <c r="B1284" t="inlineStr">
        <is>
          <t>Bear</t>
        </is>
      </c>
      <c r="C1284" t="n">
        <v>778.6</v>
      </c>
      <c r="D1284" s="22" t="n">
        <v>45593</v>
      </c>
      <c r="E1284" t="n">
        <v>832</v>
      </c>
      <c r="F1284" s="22" t="n">
        <v>45597</v>
      </c>
      <c r="G1284" t="n">
        <v>-6.858463909581297</v>
      </c>
    </row>
    <row r="1285">
      <c r="A1285" t="inlineStr">
        <is>
          <t>JKLAKSHMI</t>
        </is>
      </c>
      <c r="B1285" t="inlineStr">
        <is>
          <t>Bull</t>
        </is>
      </c>
      <c r="C1285" t="n">
        <v>823.35</v>
      </c>
      <c r="D1285" s="22" t="n">
        <v>45583</v>
      </c>
      <c r="E1285" t="n">
        <v>780.2</v>
      </c>
      <c r="F1285" s="22" t="n">
        <v>45589</v>
      </c>
      <c r="G1285" t="n">
        <v>-5.240784599502032</v>
      </c>
    </row>
    <row r="1286">
      <c r="A1286" t="inlineStr">
        <is>
          <t>JKLAKSHMI</t>
        </is>
      </c>
      <c r="B1286" t="inlineStr">
        <is>
          <t>Bear</t>
        </is>
      </c>
      <c r="C1286" t="n">
        <v>817.6</v>
      </c>
      <c r="D1286" s="22" t="n">
        <v>45517</v>
      </c>
      <c r="E1286" t="n">
        <v>828.05</v>
      </c>
      <c r="F1286" s="22" t="n">
        <v>45581</v>
      </c>
      <c r="G1286" t="n">
        <v>-1.278131115459874</v>
      </c>
    </row>
    <row r="1287">
      <c r="A1287" t="inlineStr">
        <is>
          <t>JKLAKSHMI</t>
        </is>
      </c>
      <c r="B1287" t="inlineStr">
        <is>
          <t>Bull</t>
        </is>
      </c>
      <c r="C1287" t="n">
        <v>830.4</v>
      </c>
      <c r="D1287" s="22" t="n">
        <v>45464</v>
      </c>
      <c r="E1287" t="n">
        <v>821.4</v>
      </c>
      <c r="F1287" s="22" t="n">
        <v>45513</v>
      </c>
      <c r="G1287" t="n">
        <v>-1.083815028901734</v>
      </c>
    </row>
    <row r="1288">
      <c r="A1288" t="inlineStr">
        <is>
          <t>JKLAKSHMI</t>
        </is>
      </c>
      <c r="B1288" t="inlineStr">
        <is>
          <t>Bear</t>
        </is>
      </c>
      <c r="C1288" t="n">
        <v>824.95</v>
      </c>
      <c r="D1288" s="22" t="n">
        <v>45366</v>
      </c>
      <c r="E1288" t="n">
        <v>831.25</v>
      </c>
      <c r="F1288" s="22" t="n">
        <v>45462</v>
      </c>
      <c r="G1288" t="n">
        <v>-0.7636826474331723</v>
      </c>
    </row>
    <row r="1289">
      <c r="A1289" t="inlineStr">
        <is>
          <t>JKLAKSHMI</t>
        </is>
      </c>
      <c r="B1289" t="inlineStr">
        <is>
          <t>Bull</t>
        </is>
      </c>
      <c r="C1289" t="n">
        <v>677.7</v>
      </c>
      <c r="D1289" s="22" t="n">
        <v>45217</v>
      </c>
      <c r="E1289" t="n">
        <v>795.2</v>
      </c>
      <c r="F1289" s="22" t="n">
        <v>45364</v>
      </c>
      <c r="G1289" t="n">
        <v>17.33805518666076</v>
      </c>
    </row>
    <row r="1290">
      <c r="A1290" t="inlineStr">
        <is>
          <t>JKLAKSHMI</t>
        </is>
      </c>
      <c r="B1290" t="inlineStr">
        <is>
          <t>Bear</t>
        </is>
      </c>
      <c r="C1290" t="n">
        <v>683.05</v>
      </c>
      <c r="D1290" s="22" t="n">
        <v>45072</v>
      </c>
      <c r="E1290" t="n">
        <v>674.6</v>
      </c>
      <c r="F1290" s="22" t="n">
        <v>45215</v>
      </c>
      <c r="G1290" t="n">
        <v>1.237098309054964</v>
      </c>
    </row>
    <row r="1291">
      <c r="A1291" t="inlineStr">
        <is>
          <t>JKLAKSHMI</t>
        </is>
      </c>
      <c r="B1291" t="inlineStr">
        <is>
          <t>Bull</t>
        </is>
      </c>
      <c r="C1291" t="n">
        <v>824.7</v>
      </c>
      <c r="D1291" s="22" t="n">
        <v>45021</v>
      </c>
      <c r="E1291" t="n">
        <v>698.5</v>
      </c>
      <c r="F1291" s="22" t="n">
        <v>45070</v>
      </c>
      <c r="G1291" t="n">
        <v>-15.30253425488057</v>
      </c>
    </row>
    <row r="1292">
      <c r="A1292" t="inlineStr">
        <is>
          <t>JKPAPER</t>
        </is>
      </c>
      <c r="B1292" t="inlineStr">
        <is>
          <t>Bear</t>
        </is>
      </c>
      <c r="C1292" t="n">
        <v>425.2</v>
      </c>
      <c r="D1292" s="22" t="n">
        <v>45653</v>
      </c>
      <c r="E1292" t="n">
        <v>422.9</v>
      </c>
      <c r="F1292" s="22" t="n">
        <v>45660</v>
      </c>
      <c r="G1292" t="n">
        <v>0.5409219190968982</v>
      </c>
    </row>
    <row r="1293">
      <c r="A1293" t="inlineStr">
        <is>
          <t>JKPAPER</t>
        </is>
      </c>
      <c r="B1293" t="inlineStr">
        <is>
          <t>Bull</t>
        </is>
      </c>
      <c r="C1293" t="n">
        <v>472.4</v>
      </c>
      <c r="D1293" s="22" t="n">
        <v>45643</v>
      </c>
      <c r="E1293" t="n">
        <v>433.15</v>
      </c>
      <c r="F1293" s="22" t="n">
        <v>45650</v>
      </c>
      <c r="G1293" t="n">
        <v>-8.308636748518206</v>
      </c>
    </row>
    <row r="1294">
      <c r="A1294" t="inlineStr">
        <is>
          <t>JKPAPER</t>
        </is>
      </c>
      <c r="B1294" t="inlineStr">
        <is>
          <t>Bear</t>
        </is>
      </c>
      <c r="C1294" t="n">
        <v>439.65</v>
      </c>
      <c r="D1294" s="22" t="n">
        <v>45593</v>
      </c>
      <c r="E1294" t="n">
        <v>454.9</v>
      </c>
      <c r="F1294" s="22" t="n">
        <v>45639</v>
      </c>
      <c r="G1294" t="n">
        <v>-3.468668258842261</v>
      </c>
    </row>
    <row r="1295">
      <c r="A1295" t="inlineStr">
        <is>
          <t>JKPAPER</t>
        </is>
      </c>
      <c r="B1295" t="inlineStr">
        <is>
          <t>Bull</t>
        </is>
      </c>
      <c r="C1295" t="n">
        <v>505.6</v>
      </c>
      <c r="D1295" s="22" t="n">
        <v>45576</v>
      </c>
      <c r="E1295" t="n">
        <v>466.05</v>
      </c>
      <c r="F1295" s="22" t="n">
        <v>45589</v>
      </c>
      <c r="G1295" t="n">
        <v>-7.822389240506331</v>
      </c>
    </row>
    <row r="1296">
      <c r="A1296" t="inlineStr">
        <is>
          <t>JKPAPER</t>
        </is>
      </c>
      <c r="B1296" t="inlineStr">
        <is>
          <t>Bear</t>
        </is>
      </c>
      <c r="C1296" t="n">
        <v>472.1</v>
      </c>
      <c r="D1296" s="22" t="n">
        <v>45526</v>
      </c>
      <c r="E1296" t="n">
        <v>501.7</v>
      </c>
      <c r="F1296" s="22" t="n">
        <v>45574</v>
      </c>
      <c r="G1296" t="n">
        <v>-6.269858080915053</v>
      </c>
    </row>
    <row r="1297">
      <c r="A1297" t="inlineStr">
        <is>
          <t>JKPAPER</t>
        </is>
      </c>
      <c r="B1297" t="inlineStr">
        <is>
          <t>Bull</t>
        </is>
      </c>
      <c r="C1297" t="n">
        <v>369.25</v>
      </c>
      <c r="D1297" s="22" t="n">
        <v>45434</v>
      </c>
      <c r="E1297" t="n">
        <v>475.3</v>
      </c>
      <c r="F1297" s="22" t="n">
        <v>45524</v>
      </c>
      <c r="G1297" t="n">
        <v>28.72037914691943</v>
      </c>
    </row>
    <row r="1298">
      <c r="A1298" t="inlineStr">
        <is>
          <t>JKPAPER</t>
        </is>
      </c>
      <c r="B1298" t="inlineStr">
        <is>
          <t>Bear</t>
        </is>
      </c>
      <c r="C1298" t="n">
        <v>376.95</v>
      </c>
      <c r="D1298" s="22" t="n">
        <v>45429</v>
      </c>
      <c r="E1298" t="n">
        <v>379.2</v>
      </c>
      <c r="F1298" s="22" t="n">
        <v>45430</v>
      </c>
      <c r="G1298" t="n">
        <v>-0.5968961400716275</v>
      </c>
    </row>
    <row r="1299">
      <c r="A1299" t="inlineStr">
        <is>
          <t>JKPAPER</t>
        </is>
      </c>
      <c r="B1299" t="inlineStr">
        <is>
          <t>Bull</t>
        </is>
      </c>
      <c r="C1299" t="n">
        <v>385.55</v>
      </c>
      <c r="D1299" s="22" t="n">
        <v>45415</v>
      </c>
      <c r="E1299" t="n">
        <v>345</v>
      </c>
      <c r="F1299" s="22" t="n">
        <v>45427</v>
      </c>
      <c r="G1299" t="n">
        <v>-10.5174426144469</v>
      </c>
    </row>
    <row r="1300">
      <c r="A1300" t="inlineStr">
        <is>
          <t>JKPAPER</t>
        </is>
      </c>
      <c r="B1300" t="inlineStr">
        <is>
          <t>Bear</t>
        </is>
      </c>
      <c r="C1300" t="n">
        <v>379.3</v>
      </c>
      <c r="D1300" s="22" t="n">
        <v>45342</v>
      </c>
      <c r="E1300" t="n">
        <v>383.15</v>
      </c>
      <c r="F1300" s="22" t="n">
        <v>45412</v>
      </c>
      <c r="G1300" t="n">
        <v>-1.015027682573152</v>
      </c>
    </row>
    <row r="1301">
      <c r="A1301" t="inlineStr">
        <is>
          <t>JKPAPER</t>
        </is>
      </c>
      <c r="B1301" t="inlineStr">
        <is>
          <t>Bull</t>
        </is>
      </c>
      <c r="C1301" t="n">
        <v>394.55</v>
      </c>
      <c r="D1301" s="22" t="n">
        <v>45268</v>
      </c>
      <c r="E1301" t="n">
        <v>384.3</v>
      </c>
      <c r="F1301" s="22" t="n">
        <v>45338</v>
      </c>
      <c r="G1301" t="n">
        <v>-2.597896337599797</v>
      </c>
    </row>
    <row r="1302">
      <c r="A1302" t="inlineStr">
        <is>
          <t>JKPAPER</t>
        </is>
      </c>
      <c r="B1302" t="inlineStr">
        <is>
          <t>Bear</t>
        </is>
      </c>
      <c r="C1302" t="n">
        <v>370.8</v>
      </c>
      <c r="D1302" s="22" t="n">
        <v>45250</v>
      </c>
      <c r="E1302" t="n">
        <v>400</v>
      </c>
      <c r="F1302" s="22" t="n">
        <v>45266</v>
      </c>
      <c r="G1302" t="n">
        <v>-7.874865156418551</v>
      </c>
    </row>
    <row r="1303">
      <c r="A1303" t="inlineStr">
        <is>
          <t>JKPAPER</t>
        </is>
      </c>
      <c r="B1303" t="inlineStr">
        <is>
          <t>Bull</t>
        </is>
      </c>
      <c r="C1303" t="n">
        <v>370.2</v>
      </c>
      <c r="D1303" s="22" t="n">
        <v>45155</v>
      </c>
      <c r="E1303" t="n">
        <v>375.95</v>
      </c>
      <c r="F1303" s="22" t="n">
        <v>45246</v>
      </c>
      <c r="G1303" t="n">
        <v>1.553214478660184</v>
      </c>
    </row>
    <row r="1304">
      <c r="A1304" t="inlineStr">
        <is>
          <t>JKPAPER</t>
        </is>
      </c>
      <c r="B1304" t="inlineStr">
        <is>
          <t>Bear</t>
        </is>
      </c>
      <c r="C1304" t="n">
        <v>394.6</v>
      </c>
      <c r="D1304" s="22" t="n">
        <v>44956</v>
      </c>
      <c r="E1304" t="n">
        <v>333.7</v>
      </c>
      <c r="F1304" s="22" t="n">
        <v>45152</v>
      </c>
      <c r="G1304" t="n">
        <v>15.43335022807908</v>
      </c>
    </row>
    <row r="1305">
      <c r="A1305" t="inlineStr">
        <is>
          <t>JKTYRE</t>
        </is>
      </c>
      <c r="B1305" t="inlineStr">
        <is>
          <t>Bear</t>
        </is>
      </c>
      <c r="C1305" t="n">
        <v>389.05</v>
      </c>
      <c r="D1305" s="22" t="n">
        <v>45659</v>
      </c>
      <c r="E1305" t="n">
        <v>387.45</v>
      </c>
      <c r="F1305" s="22" t="n">
        <v>45660</v>
      </c>
      <c r="G1305" t="n">
        <v>0.4112581930343202</v>
      </c>
    </row>
    <row r="1306">
      <c r="A1306" t="inlineStr">
        <is>
          <t>JKTYRE</t>
        </is>
      </c>
      <c r="B1306" t="inlineStr">
        <is>
          <t>Bull</t>
        </is>
      </c>
      <c r="C1306" t="n">
        <v>410.1</v>
      </c>
      <c r="D1306" s="22" t="n">
        <v>45642</v>
      </c>
      <c r="E1306" t="n">
        <v>388.55</v>
      </c>
      <c r="F1306" s="22" t="n">
        <v>45657</v>
      </c>
      <c r="G1306" t="n">
        <v>-5.254815898561329</v>
      </c>
    </row>
    <row r="1307">
      <c r="A1307" t="inlineStr">
        <is>
          <t>JKTYRE</t>
        </is>
      </c>
      <c r="B1307" t="inlineStr">
        <is>
          <t>Bear</t>
        </is>
      </c>
      <c r="C1307" t="n">
        <v>399.35</v>
      </c>
      <c r="D1307" s="22" t="n">
        <v>45573</v>
      </c>
      <c r="E1307" t="n">
        <v>408.85</v>
      </c>
      <c r="F1307" s="22" t="n">
        <v>45638</v>
      </c>
      <c r="G1307" t="n">
        <v>-2.378865656692124</v>
      </c>
    </row>
    <row r="1308">
      <c r="A1308" t="inlineStr">
        <is>
          <t>JKTYRE</t>
        </is>
      </c>
      <c r="B1308" t="inlineStr">
        <is>
          <t>Bull</t>
        </is>
      </c>
      <c r="C1308" t="n">
        <v>432.45</v>
      </c>
      <c r="D1308" s="22" t="n">
        <v>45552</v>
      </c>
      <c r="E1308" t="n">
        <v>405.1</v>
      </c>
      <c r="F1308" s="22" t="n">
        <v>45569</v>
      </c>
      <c r="G1308" t="n">
        <v>-6.324430570008086</v>
      </c>
    </row>
    <row r="1309">
      <c r="A1309" t="inlineStr">
        <is>
          <t>JKTYRE</t>
        </is>
      </c>
      <c r="B1309" t="inlineStr">
        <is>
          <t>Bear</t>
        </is>
      </c>
      <c r="C1309" t="n">
        <v>402.45</v>
      </c>
      <c r="D1309" s="22" t="n">
        <v>45516</v>
      </c>
      <c r="E1309" t="n">
        <v>443.55</v>
      </c>
      <c r="F1309" s="22" t="n">
        <v>45548</v>
      </c>
      <c r="G1309" t="n">
        <v>-10.21244875139769</v>
      </c>
    </row>
    <row r="1310">
      <c r="A1310" t="inlineStr">
        <is>
          <t>JKTYRE</t>
        </is>
      </c>
      <c r="B1310" t="inlineStr">
        <is>
          <t>Bull</t>
        </is>
      </c>
      <c r="C1310" t="n">
        <v>453.2</v>
      </c>
      <c r="D1310" s="22" t="n">
        <v>45476</v>
      </c>
      <c r="E1310" t="n">
        <v>407.2</v>
      </c>
      <c r="F1310" s="22" t="n">
        <v>45512</v>
      </c>
      <c r="G1310" t="n">
        <v>-10.15004413062666</v>
      </c>
    </row>
    <row r="1311">
      <c r="A1311" t="inlineStr">
        <is>
          <t>JKTYRE</t>
        </is>
      </c>
      <c r="B1311" t="inlineStr">
        <is>
          <t>Bear</t>
        </is>
      </c>
      <c r="C1311" t="n">
        <v>413.9</v>
      </c>
      <c r="D1311" s="22" t="n">
        <v>45372</v>
      </c>
      <c r="E1311" t="n">
        <v>445.8</v>
      </c>
      <c r="F1311" s="22" t="n">
        <v>45474</v>
      </c>
      <c r="G1311" t="n">
        <v>-7.707175646291383</v>
      </c>
    </row>
    <row r="1312">
      <c r="A1312" t="inlineStr">
        <is>
          <t>JKTYRE</t>
        </is>
      </c>
      <c r="B1312" t="inlineStr">
        <is>
          <t>Bull</t>
        </is>
      </c>
      <c r="C1312" t="n">
        <v>169.6</v>
      </c>
      <c r="D1312" s="22" t="n">
        <v>45035</v>
      </c>
      <c r="E1312" t="n">
        <v>411</v>
      </c>
      <c r="F1312" s="22" t="n">
        <v>45370</v>
      </c>
      <c r="G1312" t="n">
        <v>142.3349056603774</v>
      </c>
    </row>
    <row r="1313">
      <c r="A1313" t="inlineStr">
        <is>
          <t>JSWSTEEL</t>
        </is>
      </c>
      <c r="B1313" t="inlineStr">
        <is>
          <t>Bear</t>
        </is>
      </c>
      <c r="C1313" t="n">
        <v>937.05</v>
      </c>
      <c r="D1313" s="22" t="n">
        <v>45649</v>
      </c>
      <c r="E1313" t="n">
        <v>915.05</v>
      </c>
      <c r="F1313" s="22" t="n">
        <v>45660</v>
      </c>
      <c r="G1313" t="n">
        <v>2.347793607598314</v>
      </c>
    </row>
    <row r="1314">
      <c r="A1314" t="inlineStr">
        <is>
          <t>JSWSTEEL</t>
        </is>
      </c>
      <c r="B1314" t="inlineStr">
        <is>
          <t>Bull</t>
        </is>
      </c>
      <c r="C1314" t="n">
        <v>999.2</v>
      </c>
      <c r="D1314" s="22" t="n">
        <v>45631</v>
      </c>
      <c r="E1314" t="n">
        <v>925.95</v>
      </c>
      <c r="F1314" s="22" t="n">
        <v>45645</v>
      </c>
      <c r="G1314" t="n">
        <v>-7.330864691753403</v>
      </c>
    </row>
    <row r="1315">
      <c r="A1315" t="inlineStr">
        <is>
          <t>JSWSTEEL</t>
        </is>
      </c>
      <c r="B1315" t="inlineStr">
        <is>
          <t>Bear</t>
        </is>
      </c>
      <c r="C1315" t="n">
        <v>947.3</v>
      </c>
      <c r="D1315" s="22" t="n">
        <v>45615</v>
      </c>
      <c r="E1315" t="n">
        <v>998.8</v>
      </c>
      <c r="F1315" s="22" t="n">
        <v>45629</v>
      </c>
      <c r="G1315" t="n">
        <v>-5.436503747492875</v>
      </c>
    </row>
    <row r="1316">
      <c r="A1316" t="inlineStr">
        <is>
          <t>JSWSTEEL</t>
        </is>
      </c>
      <c r="B1316" t="inlineStr">
        <is>
          <t>Bull</t>
        </is>
      </c>
      <c r="C1316" t="n">
        <v>941.05</v>
      </c>
      <c r="D1316" s="22" t="n">
        <v>45527</v>
      </c>
      <c r="E1316" t="n">
        <v>939.05</v>
      </c>
      <c r="F1316" s="22" t="n">
        <v>45610</v>
      </c>
      <c r="G1316" t="n">
        <v>-0.2125285585250518</v>
      </c>
    </row>
    <row r="1317">
      <c r="A1317" t="inlineStr">
        <is>
          <t>JSWSTEEL</t>
        </is>
      </c>
      <c r="B1317" t="inlineStr">
        <is>
          <t>Bear</t>
        </is>
      </c>
      <c r="C1317" t="n">
        <v>884</v>
      </c>
      <c r="D1317" s="22" t="n">
        <v>45510</v>
      </c>
      <c r="E1317" t="n">
        <v>925.8</v>
      </c>
      <c r="F1317" s="22" t="n">
        <v>45525</v>
      </c>
      <c r="G1317" t="n">
        <v>-4.728506787330311</v>
      </c>
    </row>
    <row r="1318">
      <c r="A1318" t="inlineStr">
        <is>
          <t>JSWSTEEL</t>
        </is>
      </c>
      <c r="B1318" t="inlineStr">
        <is>
          <t>Bull</t>
        </is>
      </c>
      <c r="C1318" t="n">
        <v>879.25</v>
      </c>
      <c r="D1318" s="22" t="n">
        <v>45384</v>
      </c>
      <c r="E1318" t="n">
        <v>899.55</v>
      </c>
      <c r="F1318" s="22" t="n">
        <v>45506</v>
      </c>
      <c r="G1318" t="n">
        <v>2.308785897071362</v>
      </c>
    </row>
    <row r="1319">
      <c r="A1319" t="inlineStr">
        <is>
          <t>JSWSTEEL</t>
        </is>
      </c>
      <c r="B1319" t="inlineStr">
        <is>
          <t>Bear</t>
        </is>
      </c>
      <c r="C1319" t="n">
        <v>785.45</v>
      </c>
      <c r="D1319" s="22" t="n">
        <v>45365</v>
      </c>
      <c r="E1319" t="n">
        <v>830.2</v>
      </c>
      <c r="F1319" s="22" t="n">
        <v>45379</v>
      </c>
      <c r="G1319" t="n">
        <v>-5.69737093385957</v>
      </c>
    </row>
    <row r="1320">
      <c r="A1320" t="inlineStr">
        <is>
          <t>JSWSTEEL</t>
        </is>
      </c>
      <c r="B1320" t="inlineStr">
        <is>
          <t>Bull</t>
        </is>
      </c>
      <c r="C1320" t="n">
        <v>824.3</v>
      </c>
      <c r="D1320" s="22" t="n">
        <v>45355</v>
      </c>
      <c r="E1320" t="n">
        <v>817.8</v>
      </c>
      <c r="F1320" s="22" t="n">
        <v>45363</v>
      </c>
      <c r="G1320" t="n">
        <v>-0.7885478587892758</v>
      </c>
    </row>
    <row r="1321">
      <c r="A1321" t="inlineStr">
        <is>
          <t>JSWSTEEL</t>
        </is>
      </c>
      <c r="B1321" t="inlineStr">
        <is>
          <t>Bear</t>
        </is>
      </c>
      <c r="C1321" t="n">
        <v>823.55</v>
      </c>
      <c r="D1321" s="22" t="n">
        <v>45324</v>
      </c>
      <c r="E1321" t="n">
        <v>836.2</v>
      </c>
      <c r="F1321" s="22" t="n">
        <v>45352</v>
      </c>
      <c r="G1321" t="n">
        <v>-1.536033027745746</v>
      </c>
    </row>
    <row r="1322">
      <c r="A1322" t="inlineStr">
        <is>
          <t>JSWSTEEL</t>
        </is>
      </c>
      <c r="B1322" t="inlineStr">
        <is>
          <t>Bull</t>
        </is>
      </c>
      <c r="C1322" t="n">
        <v>801.1</v>
      </c>
      <c r="D1322" s="22" t="n">
        <v>45260</v>
      </c>
      <c r="E1322" t="n">
        <v>818.65</v>
      </c>
      <c r="F1322" s="22" t="n">
        <v>45322</v>
      </c>
      <c r="G1322" t="n">
        <v>2.190737735613526</v>
      </c>
    </row>
    <row r="1323">
      <c r="A1323" t="inlineStr">
        <is>
          <t>JSWSTEEL</t>
        </is>
      </c>
      <c r="B1323" t="inlineStr">
        <is>
          <t>Bear</t>
        </is>
      </c>
      <c r="C1323" t="n">
        <v>779.6</v>
      </c>
      <c r="D1323" s="22" t="n">
        <v>45198</v>
      </c>
      <c r="E1323" t="n">
        <v>782.35</v>
      </c>
      <c r="F1323" s="22" t="n">
        <v>45258</v>
      </c>
      <c r="G1323" t="n">
        <v>-0.3527449974345818</v>
      </c>
    </row>
    <row r="1324">
      <c r="A1324" t="inlineStr">
        <is>
          <t>JSWSTEEL</t>
        </is>
      </c>
      <c r="B1324" t="inlineStr">
        <is>
          <t>Bull</t>
        </is>
      </c>
      <c r="C1324" t="n">
        <v>748.8</v>
      </c>
      <c r="D1324" s="22" t="n">
        <v>45085</v>
      </c>
      <c r="E1324" t="n">
        <v>779.6</v>
      </c>
      <c r="F1324" s="22" t="n">
        <v>45196</v>
      </c>
      <c r="G1324" t="n">
        <v>4.113247863247873</v>
      </c>
    </row>
    <row r="1325">
      <c r="A1325" t="inlineStr">
        <is>
          <t>JSWSTEEL</t>
        </is>
      </c>
      <c r="B1325" t="inlineStr">
        <is>
          <t>Bear</t>
        </is>
      </c>
      <c r="C1325" t="n">
        <v>701.7</v>
      </c>
      <c r="D1325" s="22" t="n">
        <v>45072</v>
      </c>
      <c r="E1325" t="n">
        <v>712.85</v>
      </c>
      <c r="F1325" s="22" t="n">
        <v>45083</v>
      </c>
      <c r="G1325" t="n">
        <v>-1.588998147356417</v>
      </c>
    </row>
    <row r="1326">
      <c r="A1326" t="inlineStr">
        <is>
          <t>JSWSTEEL</t>
        </is>
      </c>
      <c r="B1326" t="inlineStr">
        <is>
          <t>Bull</t>
        </is>
      </c>
      <c r="C1326" t="n">
        <v>715.8</v>
      </c>
      <c r="D1326" s="22" t="n">
        <v>45036</v>
      </c>
      <c r="E1326" t="n">
        <v>696</v>
      </c>
      <c r="F1326" s="22" t="n">
        <v>45070</v>
      </c>
      <c r="G1326" t="n">
        <v>-2.766135792120698</v>
      </c>
    </row>
    <row r="1327">
      <c r="A1327" t="inlineStr">
        <is>
          <t>JWL</t>
        </is>
      </c>
      <c r="B1327" t="inlineStr">
        <is>
          <t>Bull</t>
        </is>
      </c>
      <c r="C1327" t="n">
        <v>555.45</v>
      </c>
      <c r="D1327" s="22" t="n">
        <v>45639</v>
      </c>
      <c r="E1327" t="n">
        <v>509.45</v>
      </c>
      <c r="F1327" s="22" t="n">
        <v>45660</v>
      </c>
      <c r="G1327" t="n">
        <v>-8.281573498964812</v>
      </c>
    </row>
    <row r="1328">
      <c r="A1328" t="inlineStr">
        <is>
          <t>JWL</t>
        </is>
      </c>
      <c r="B1328" t="inlineStr">
        <is>
          <t>Bear</t>
        </is>
      </c>
      <c r="C1328" t="n">
        <v>555.55</v>
      </c>
      <c r="D1328" s="22" t="n">
        <v>45513</v>
      </c>
      <c r="E1328" t="n">
        <v>552.3</v>
      </c>
      <c r="F1328" s="22" t="n">
        <v>45637</v>
      </c>
      <c r="G1328" t="n">
        <v>0.5850058500585007</v>
      </c>
    </row>
    <row r="1329">
      <c r="A1329" t="inlineStr">
        <is>
          <t>JWL</t>
        </is>
      </c>
      <c r="B1329" t="inlineStr">
        <is>
          <t>Bull</t>
        </is>
      </c>
      <c r="C1329" t="n">
        <v>388.45</v>
      </c>
      <c r="D1329" s="22" t="n">
        <v>45386</v>
      </c>
      <c r="E1329" t="n">
        <v>562.8</v>
      </c>
      <c r="F1329" s="22" t="n">
        <v>45511</v>
      </c>
      <c r="G1329" t="n">
        <v>44.88351139142746</v>
      </c>
    </row>
    <row r="1330">
      <c r="A1330" t="inlineStr">
        <is>
          <t>JWL</t>
        </is>
      </c>
      <c r="B1330" t="inlineStr">
        <is>
          <t>Bear</t>
        </is>
      </c>
      <c r="C1330" t="n">
        <v>338.95</v>
      </c>
      <c r="D1330" s="22" t="n">
        <v>45365</v>
      </c>
      <c r="E1330" t="n">
        <v>386.6</v>
      </c>
      <c r="F1330" s="22" t="n">
        <v>45384</v>
      </c>
      <c r="G1330" t="n">
        <v>-14.05812066676502</v>
      </c>
    </row>
    <row r="1331">
      <c r="A1331" t="inlineStr">
        <is>
          <t>JWL</t>
        </is>
      </c>
      <c r="B1331" t="inlineStr">
        <is>
          <t>Bull</t>
        </is>
      </c>
      <c r="C1331" t="n">
        <v>103.6</v>
      </c>
      <c r="D1331" s="22" t="n">
        <v>45036</v>
      </c>
      <c r="E1331" t="n">
        <v>340.55</v>
      </c>
      <c r="F1331" s="22" t="n">
        <v>45363</v>
      </c>
      <c r="G1331" t="n">
        <v>228.7162162162162</v>
      </c>
    </row>
    <row r="1332">
      <c r="A1332" t="inlineStr">
        <is>
          <t>JYOTHYLAB</t>
        </is>
      </c>
      <c r="B1332" t="inlineStr">
        <is>
          <t>Bear</t>
        </is>
      </c>
      <c r="C1332" t="n">
        <v>512.1</v>
      </c>
      <c r="D1332" s="22" t="n">
        <v>45583</v>
      </c>
      <c r="E1332" t="n">
        <v>403.2</v>
      </c>
      <c r="F1332" s="22" t="n">
        <v>45660</v>
      </c>
      <c r="G1332" t="n">
        <v>21.26537785588753</v>
      </c>
    </row>
    <row r="1333">
      <c r="A1333" t="inlineStr">
        <is>
          <t>JYOTHYLAB</t>
        </is>
      </c>
      <c r="B1333" t="inlineStr">
        <is>
          <t>Bull</t>
        </is>
      </c>
      <c r="C1333" t="n">
        <v>478.65</v>
      </c>
      <c r="D1333" s="22" t="n">
        <v>45476</v>
      </c>
      <c r="E1333" t="n">
        <v>514.05</v>
      </c>
      <c r="F1333" s="22" t="n">
        <v>45581</v>
      </c>
      <c r="G1333" t="n">
        <v>7.395800689439043</v>
      </c>
    </row>
    <row r="1334">
      <c r="A1334" t="inlineStr">
        <is>
          <t>JYOTHYLAB</t>
        </is>
      </c>
      <c r="B1334" t="inlineStr">
        <is>
          <t>Bear</t>
        </is>
      </c>
      <c r="C1334" t="n">
        <v>412.35</v>
      </c>
      <c r="D1334" s="22" t="n">
        <v>45470</v>
      </c>
      <c r="E1334" t="n">
        <v>451.2</v>
      </c>
      <c r="F1334" s="22" t="n">
        <v>45474</v>
      </c>
      <c r="G1334" t="n">
        <v>-9.421607857402684</v>
      </c>
    </row>
    <row r="1335">
      <c r="A1335" t="inlineStr">
        <is>
          <t>JYOTHYLAB</t>
        </is>
      </c>
      <c r="B1335" t="inlineStr">
        <is>
          <t>Bull</t>
        </is>
      </c>
      <c r="C1335" t="n">
        <v>442.6</v>
      </c>
      <c r="D1335" s="22" t="n">
        <v>45461</v>
      </c>
      <c r="E1335" t="n">
        <v>419.05</v>
      </c>
      <c r="F1335" s="22" t="n">
        <v>45468</v>
      </c>
      <c r="G1335" t="n">
        <v>-5.320831450519659</v>
      </c>
    </row>
    <row r="1336">
      <c r="A1336" t="inlineStr">
        <is>
          <t>JYOTHYLAB</t>
        </is>
      </c>
      <c r="B1336" t="inlineStr">
        <is>
          <t>Bear</t>
        </is>
      </c>
      <c r="C1336" t="n">
        <v>421.1</v>
      </c>
      <c r="D1336" s="22" t="n">
        <v>45439</v>
      </c>
      <c r="E1336" t="n">
        <v>440.9</v>
      </c>
      <c r="F1336" s="22" t="n">
        <v>45456</v>
      </c>
      <c r="G1336" t="n">
        <v>-4.70197102825931</v>
      </c>
    </row>
    <row r="1337">
      <c r="A1337" t="inlineStr">
        <is>
          <t>JYOTHYLAB</t>
        </is>
      </c>
      <c r="B1337" t="inlineStr">
        <is>
          <t>Bull</t>
        </is>
      </c>
      <c r="C1337" t="n">
        <v>440.95</v>
      </c>
      <c r="D1337" s="22" t="n">
        <v>45427</v>
      </c>
      <c r="E1337" t="n">
        <v>421.85</v>
      </c>
      <c r="F1337" s="22" t="n">
        <v>45435</v>
      </c>
      <c r="G1337" t="n">
        <v>-4.3315568658578</v>
      </c>
    </row>
    <row r="1338">
      <c r="A1338" t="inlineStr">
        <is>
          <t>JYOTHYLAB</t>
        </is>
      </c>
      <c r="B1338" t="inlineStr">
        <is>
          <t>Bear</t>
        </is>
      </c>
      <c r="C1338" t="n">
        <v>475.65</v>
      </c>
      <c r="D1338" s="22" t="n">
        <v>45348</v>
      </c>
      <c r="E1338" t="n">
        <v>454.45</v>
      </c>
      <c r="F1338" s="22" t="n">
        <v>45425</v>
      </c>
      <c r="G1338" t="n">
        <v>4.457058761694521</v>
      </c>
    </row>
    <row r="1339">
      <c r="A1339" t="inlineStr">
        <is>
          <t>JYOTHYLAB</t>
        </is>
      </c>
      <c r="B1339" t="inlineStr">
        <is>
          <t>Bull</t>
        </is>
      </c>
      <c r="C1339" t="n">
        <v>202.35</v>
      </c>
      <c r="D1339" s="22" t="n">
        <v>45054</v>
      </c>
      <c r="E1339" t="n">
        <v>471</v>
      </c>
      <c r="F1339" s="22" t="n">
        <v>45344</v>
      </c>
      <c r="G1339" t="n">
        <v>132.7650111193477</v>
      </c>
    </row>
    <row r="1340">
      <c r="A1340" t="inlineStr">
        <is>
          <t>KCP</t>
        </is>
      </c>
      <c r="B1340" t="inlineStr">
        <is>
          <t>Bull</t>
        </is>
      </c>
      <c r="C1340" t="n">
        <v>247.07</v>
      </c>
      <c r="D1340" s="22" t="n">
        <v>45625</v>
      </c>
      <c r="E1340" t="n">
        <v>240.95</v>
      </c>
      <c r="F1340" s="22" t="n">
        <v>45660</v>
      </c>
      <c r="G1340" t="n">
        <v>-2.477030800987576</v>
      </c>
    </row>
    <row r="1341">
      <c r="A1341" t="inlineStr">
        <is>
          <t>KCP</t>
        </is>
      </c>
      <c r="B1341" t="inlineStr">
        <is>
          <t>Bear</t>
        </is>
      </c>
      <c r="C1341" t="n">
        <v>225.7</v>
      </c>
      <c r="D1341" s="22" t="n">
        <v>45583</v>
      </c>
      <c r="E1341" t="n">
        <v>242.17</v>
      </c>
      <c r="F1341" s="22" t="n">
        <v>45623</v>
      </c>
      <c r="G1341" t="n">
        <v>-7.297297297297297</v>
      </c>
    </row>
    <row r="1342">
      <c r="A1342" t="inlineStr">
        <is>
          <t>KCP</t>
        </is>
      </c>
      <c r="B1342" t="inlineStr">
        <is>
          <t>Bull</t>
        </is>
      </c>
      <c r="C1342" t="n">
        <v>247.25</v>
      </c>
      <c r="D1342" s="22" t="n">
        <v>45541</v>
      </c>
      <c r="E1342" t="n">
        <v>231.75</v>
      </c>
      <c r="F1342" s="22" t="n">
        <v>45581</v>
      </c>
      <c r="G1342" t="n">
        <v>-6.268958543983821</v>
      </c>
    </row>
    <row r="1343">
      <c r="A1343" t="inlineStr">
        <is>
          <t>KCP</t>
        </is>
      </c>
      <c r="B1343" t="inlineStr">
        <is>
          <t>Bear</t>
        </is>
      </c>
      <c r="C1343" t="n">
        <v>234.35</v>
      </c>
      <c r="D1343" s="22" t="n">
        <v>45524</v>
      </c>
      <c r="E1343" t="n">
        <v>242.21</v>
      </c>
      <c r="F1343" s="22" t="n">
        <v>45539</v>
      </c>
      <c r="G1343" t="n">
        <v>-3.353957755493925</v>
      </c>
    </row>
    <row r="1344">
      <c r="A1344" t="inlineStr">
        <is>
          <t>KCP</t>
        </is>
      </c>
      <c r="B1344" t="inlineStr">
        <is>
          <t>Bull</t>
        </is>
      </c>
      <c r="C1344" t="n">
        <v>219.6</v>
      </c>
      <c r="D1344" s="22" t="n">
        <v>45449</v>
      </c>
      <c r="E1344" t="n">
        <v>219.19</v>
      </c>
      <c r="F1344" s="22" t="n">
        <v>45520</v>
      </c>
      <c r="G1344" t="n">
        <v>-0.1867030965391606</v>
      </c>
    </row>
    <row r="1345">
      <c r="A1345" t="inlineStr">
        <is>
          <t>KCP</t>
        </is>
      </c>
      <c r="B1345" t="inlineStr">
        <is>
          <t>Bear</t>
        </is>
      </c>
      <c r="C1345" t="n">
        <v>172.35</v>
      </c>
      <c r="D1345" s="22" t="n">
        <v>45369</v>
      </c>
      <c r="E1345" t="n">
        <v>170.35</v>
      </c>
      <c r="F1345" s="22" t="n">
        <v>45447</v>
      </c>
      <c r="G1345" t="n">
        <v>1.160429358862779</v>
      </c>
    </row>
    <row r="1346">
      <c r="A1346" t="inlineStr">
        <is>
          <t>KCP</t>
        </is>
      </c>
      <c r="B1346" t="inlineStr">
        <is>
          <t>Bull</t>
        </is>
      </c>
      <c r="C1346" t="n">
        <v>111.15</v>
      </c>
      <c r="D1346" s="22" t="n">
        <v>45084</v>
      </c>
      <c r="E1346" t="n">
        <v>169.15</v>
      </c>
      <c r="F1346" s="22" t="n">
        <v>45365</v>
      </c>
      <c r="G1346" t="n">
        <v>52.1817363922627</v>
      </c>
    </row>
    <row r="1347">
      <c r="A1347" t="inlineStr">
        <is>
          <t>KCP</t>
        </is>
      </c>
      <c r="B1347" t="inlineStr">
        <is>
          <t>Bear</t>
        </is>
      </c>
      <c r="C1347" t="n">
        <v>103.55</v>
      </c>
      <c r="D1347" s="22" t="n">
        <v>45079</v>
      </c>
      <c r="E1347" t="n">
        <v>105.25</v>
      </c>
      <c r="F1347" s="22" t="n">
        <v>45082</v>
      </c>
      <c r="G1347" t="n">
        <v>-1.641718976339935</v>
      </c>
    </row>
    <row r="1348">
      <c r="A1348" t="inlineStr">
        <is>
          <t>KCP</t>
        </is>
      </c>
      <c r="B1348" t="inlineStr">
        <is>
          <t>Bull</t>
        </is>
      </c>
      <c r="C1348" t="n">
        <v>112.2</v>
      </c>
      <c r="D1348" s="22" t="n">
        <v>45033</v>
      </c>
      <c r="E1348" t="n">
        <v>102.4</v>
      </c>
      <c r="F1348" s="22" t="n">
        <v>45077</v>
      </c>
      <c r="G1348" t="n">
        <v>-8.734402852049907</v>
      </c>
    </row>
    <row r="1349">
      <c r="A1349" t="inlineStr">
        <is>
          <t>KPRMILL</t>
        </is>
      </c>
      <c r="B1349" t="inlineStr">
        <is>
          <t>Bull</t>
        </is>
      </c>
      <c r="C1349" t="n">
        <v>960.95</v>
      </c>
      <c r="D1349" s="22" t="n">
        <v>45555</v>
      </c>
      <c r="E1349" t="n">
        <v>1023.25</v>
      </c>
      <c r="F1349" s="22" t="n">
        <v>45660</v>
      </c>
      <c r="G1349" t="n">
        <v>6.483167698631558</v>
      </c>
    </row>
    <row r="1350">
      <c r="A1350" t="inlineStr">
        <is>
          <t>KPRMILL</t>
        </is>
      </c>
      <c r="B1350" t="inlineStr">
        <is>
          <t>Bear</t>
        </is>
      </c>
      <c r="C1350" t="n">
        <v>832.35</v>
      </c>
      <c r="D1350" s="22" t="n">
        <v>45538</v>
      </c>
      <c r="E1350" t="n">
        <v>859.1</v>
      </c>
      <c r="F1350" s="22" t="n">
        <v>45553</v>
      </c>
      <c r="G1350" t="n">
        <v>-3.213792274884363</v>
      </c>
    </row>
    <row r="1351">
      <c r="A1351" t="inlineStr">
        <is>
          <t>KPRMILL</t>
        </is>
      </c>
      <c r="B1351" t="inlineStr">
        <is>
          <t>Bull</t>
        </is>
      </c>
      <c r="C1351" t="n">
        <v>841</v>
      </c>
      <c r="D1351" s="22" t="n">
        <v>45455</v>
      </c>
      <c r="E1351" t="n">
        <v>846.8</v>
      </c>
      <c r="F1351" s="22" t="n">
        <v>45534</v>
      </c>
      <c r="G1351" t="n">
        <v>0.6896551724137877</v>
      </c>
    </row>
    <row r="1352">
      <c r="A1352" t="inlineStr">
        <is>
          <t>KPRMILL</t>
        </is>
      </c>
      <c r="B1352" t="inlineStr">
        <is>
          <t>Bear</t>
        </is>
      </c>
      <c r="C1352" t="n">
        <v>794.05</v>
      </c>
      <c r="D1352" s="22" t="n">
        <v>45441</v>
      </c>
      <c r="E1352" t="n">
        <v>846.45</v>
      </c>
      <c r="F1352" s="22" t="n">
        <v>45453</v>
      </c>
      <c r="G1352" t="n">
        <v>-6.599080662426811</v>
      </c>
    </row>
    <row r="1353">
      <c r="A1353" t="inlineStr">
        <is>
          <t>KPRMILL</t>
        </is>
      </c>
      <c r="B1353" t="inlineStr">
        <is>
          <t>Bull</t>
        </is>
      </c>
      <c r="C1353" t="n">
        <v>790.2</v>
      </c>
      <c r="D1353" s="22" t="n">
        <v>45371</v>
      </c>
      <c r="E1353" t="n">
        <v>803.3</v>
      </c>
      <c r="F1353" s="22" t="n">
        <v>45439</v>
      </c>
      <c r="G1353" t="n">
        <v>1.657808149835473</v>
      </c>
    </row>
    <row r="1354">
      <c r="A1354" t="inlineStr">
        <is>
          <t>KPRMILL</t>
        </is>
      </c>
      <c r="B1354" t="inlineStr">
        <is>
          <t>Bear</t>
        </is>
      </c>
      <c r="C1354" t="n">
        <v>776.75</v>
      </c>
      <c r="D1354" s="22" t="n">
        <v>45299</v>
      </c>
      <c r="E1354" t="n">
        <v>790</v>
      </c>
      <c r="F1354" s="22" t="n">
        <v>45369</v>
      </c>
      <c r="G1354" t="n">
        <v>-1.70582555519794</v>
      </c>
    </row>
    <row r="1355">
      <c r="A1355" t="inlineStr">
        <is>
          <t>KPRMILL</t>
        </is>
      </c>
      <c r="B1355" t="inlineStr">
        <is>
          <t>Bull</t>
        </is>
      </c>
      <c r="C1355" t="n">
        <v>611.9</v>
      </c>
      <c r="D1355" s="22" t="n">
        <v>45084</v>
      </c>
      <c r="E1355" t="n">
        <v>764.4</v>
      </c>
      <c r="F1355" s="22" t="n">
        <v>45295</v>
      </c>
      <c r="G1355" t="n">
        <v>24.92237293675437</v>
      </c>
    </row>
    <row r="1356">
      <c r="A1356" t="inlineStr">
        <is>
          <t>KPRMILL</t>
        </is>
      </c>
      <c r="B1356" t="inlineStr">
        <is>
          <t>Bear</t>
        </is>
      </c>
      <c r="C1356" t="n">
        <v>576.1</v>
      </c>
      <c r="D1356" s="22" t="n">
        <v>45061</v>
      </c>
      <c r="E1356" t="n">
        <v>611.25</v>
      </c>
      <c r="F1356" s="22" t="n">
        <v>45082</v>
      </c>
      <c r="G1356" t="n">
        <v>-6.101371289706644</v>
      </c>
    </row>
    <row r="1357">
      <c r="A1357" t="inlineStr">
        <is>
          <t>KAJARIACER</t>
        </is>
      </c>
      <c r="B1357" t="inlineStr">
        <is>
          <t>Bear</t>
        </is>
      </c>
      <c r="C1357" t="n">
        <v>1354.6</v>
      </c>
      <c r="D1357" s="22" t="n">
        <v>45586</v>
      </c>
      <c r="E1357" t="n">
        <v>1138.95</v>
      </c>
      <c r="F1357" s="22" t="n">
        <v>45660</v>
      </c>
      <c r="G1357" t="n">
        <v>15.91982873172891</v>
      </c>
    </row>
    <row r="1358">
      <c r="A1358" t="inlineStr">
        <is>
          <t>KAJARIACER</t>
        </is>
      </c>
      <c r="B1358" t="inlineStr">
        <is>
          <t>Bull</t>
        </is>
      </c>
      <c r="C1358" t="n">
        <v>1414.95</v>
      </c>
      <c r="D1358" s="22" t="n">
        <v>45544</v>
      </c>
      <c r="E1358" t="n">
        <v>1390.45</v>
      </c>
      <c r="F1358" s="22" t="n">
        <v>45582</v>
      </c>
      <c r="G1358" t="n">
        <v>-1.731509947347963</v>
      </c>
    </row>
    <row r="1359">
      <c r="A1359" t="inlineStr">
        <is>
          <t>KAJARIACER</t>
        </is>
      </c>
      <c r="B1359" t="inlineStr">
        <is>
          <t>Bear</t>
        </is>
      </c>
      <c r="C1359" t="n">
        <v>1354.9</v>
      </c>
      <c r="D1359" s="22" t="n">
        <v>45533</v>
      </c>
      <c r="E1359" t="n">
        <v>1465.45</v>
      </c>
      <c r="F1359" s="22" t="n">
        <v>45540</v>
      </c>
      <c r="G1359" t="n">
        <v>-8.159273747140007</v>
      </c>
    </row>
    <row r="1360">
      <c r="A1360" t="inlineStr">
        <is>
          <t>KAJARIACER</t>
        </is>
      </c>
      <c r="B1360" t="inlineStr">
        <is>
          <t>Bull</t>
        </is>
      </c>
      <c r="C1360" t="n">
        <v>1317.4</v>
      </c>
      <c r="D1360" s="22" t="n">
        <v>45455</v>
      </c>
      <c r="E1360" t="n">
        <v>1354.75</v>
      </c>
      <c r="F1360" s="22" t="n">
        <v>45531</v>
      </c>
      <c r="G1360" t="n">
        <v>2.835129801123418</v>
      </c>
    </row>
    <row r="1361">
      <c r="A1361" t="inlineStr">
        <is>
          <t>KAJARIACER</t>
        </is>
      </c>
      <c r="B1361" t="inlineStr">
        <is>
          <t>Bear</t>
        </is>
      </c>
      <c r="C1361" t="n">
        <v>1241.45</v>
      </c>
      <c r="D1361" s="22" t="n">
        <v>45450</v>
      </c>
      <c r="E1361" t="n">
        <v>1238.55</v>
      </c>
      <c r="F1361" s="22" t="n">
        <v>45453</v>
      </c>
      <c r="G1361" t="n">
        <v>0.2335978090136607</v>
      </c>
    </row>
    <row r="1362">
      <c r="A1362" t="inlineStr">
        <is>
          <t>KAJARIACER</t>
        </is>
      </c>
      <c r="B1362" t="inlineStr">
        <is>
          <t>Bull</t>
        </is>
      </c>
      <c r="C1362" t="n">
        <v>1271.05</v>
      </c>
      <c r="D1362" s="22" t="n">
        <v>45435</v>
      </c>
      <c r="E1362" t="n">
        <v>1181.95</v>
      </c>
      <c r="F1362" s="22" t="n">
        <v>45448</v>
      </c>
      <c r="G1362" t="n">
        <v>-7.009952401557761</v>
      </c>
    </row>
    <row r="1363">
      <c r="A1363" t="inlineStr">
        <is>
          <t>KAJARIACER</t>
        </is>
      </c>
      <c r="B1363" t="inlineStr">
        <is>
          <t>Bear</t>
        </is>
      </c>
      <c r="C1363" t="n">
        <v>1279.65</v>
      </c>
      <c r="D1363" s="22" t="n">
        <v>45330</v>
      </c>
      <c r="E1363" t="n">
        <v>1296.85</v>
      </c>
      <c r="F1363" s="22" t="n">
        <v>45433</v>
      </c>
      <c r="G1363" t="n">
        <v>-1.34411753213768</v>
      </c>
    </row>
    <row r="1364">
      <c r="A1364" t="inlineStr">
        <is>
          <t>KAJARIACER</t>
        </is>
      </c>
      <c r="B1364" t="inlineStr">
        <is>
          <t>Bull</t>
        </is>
      </c>
      <c r="C1364" t="n">
        <v>1384.1</v>
      </c>
      <c r="D1364" s="22" t="n">
        <v>45266</v>
      </c>
      <c r="E1364" t="n">
        <v>1300</v>
      </c>
      <c r="F1364" s="22" t="n">
        <v>45328</v>
      </c>
      <c r="G1364" t="n">
        <v>-6.076150567155547</v>
      </c>
    </row>
    <row r="1365">
      <c r="A1365" t="inlineStr">
        <is>
          <t>KAJARIACER</t>
        </is>
      </c>
      <c r="B1365" t="inlineStr">
        <is>
          <t>Bear</t>
        </is>
      </c>
      <c r="C1365" t="n">
        <v>1338.65</v>
      </c>
      <c r="D1365" s="22" t="n">
        <v>45196</v>
      </c>
      <c r="E1365" t="n">
        <v>1382.95</v>
      </c>
      <c r="F1365" s="22" t="n">
        <v>45264</v>
      </c>
      <c r="G1365" t="n">
        <v>-3.309304149703055</v>
      </c>
    </row>
    <row r="1366">
      <c r="A1366" t="inlineStr">
        <is>
          <t>KAJARIACER</t>
        </is>
      </c>
      <c r="B1366" t="inlineStr">
        <is>
          <t>Bull</t>
        </is>
      </c>
      <c r="C1366" t="n">
        <v>1112.4</v>
      </c>
      <c r="D1366" s="22" t="n">
        <v>45034</v>
      </c>
      <c r="E1366" t="n">
        <v>1375.3</v>
      </c>
      <c r="F1366" s="22" t="n">
        <v>45194</v>
      </c>
      <c r="G1366" t="n">
        <v>23.63358504135202</v>
      </c>
    </row>
    <row r="1367">
      <c r="A1367" t="inlineStr">
        <is>
          <t>KSL</t>
        </is>
      </c>
      <c r="B1367" t="inlineStr">
        <is>
          <t>Bull</t>
        </is>
      </c>
      <c r="C1367" t="n">
        <v>923.15</v>
      </c>
      <c r="D1367" s="22" t="n">
        <v>45629</v>
      </c>
      <c r="E1367" t="n">
        <v>1160.85</v>
      </c>
      <c r="F1367" s="22" t="n">
        <v>45660</v>
      </c>
      <c r="G1367" t="n">
        <v>25.74879488707144</v>
      </c>
    </row>
    <row r="1368">
      <c r="A1368" t="inlineStr">
        <is>
          <t>KSL</t>
        </is>
      </c>
      <c r="B1368" t="inlineStr">
        <is>
          <t>Bear</t>
        </is>
      </c>
      <c r="C1368" t="n">
        <v>770</v>
      </c>
      <c r="D1368" s="22" t="n">
        <v>45587</v>
      </c>
      <c r="E1368" t="n">
        <v>902.35</v>
      </c>
      <c r="F1368" s="22" t="n">
        <v>45625</v>
      </c>
      <c r="G1368" t="n">
        <v>-17.18831168831169</v>
      </c>
    </row>
    <row r="1369">
      <c r="A1369" t="inlineStr">
        <is>
          <t>KSL</t>
        </is>
      </c>
      <c r="B1369" t="inlineStr">
        <is>
          <t>Bull</t>
        </is>
      </c>
      <c r="C1369" t="n">
        <v>856.8</v>
      </c>
      <c r="D1369" s="22" t="n">
        <v>45566</v>
      </c>
      <c r="E1369" t="n">
        <v>819.45</v>
      </c>
      <c r="F1369" s="22" t="n">
        <v>45583</v>
      </c>
      <c r="G1369" t="n">
        <v>-4.359243697478981</v>
      </c>
    </row>
    <row r="1370">
      <c r="A1370" t="inlineStr">
        <is>
          <t>KSL</t>
        </is>
      </c>
      <c r="B1370" t="inlineStr">
        <is>
          <t>Bear</t>
        </is>
      </c>
      <c r="C1370" t="n">
        <v>826.05</v>
      </c>
      <c r="D1370" s="22" t="n">
        <v>45511</v>
      </c>
      <c r="E1370" t="n">
        <v>860.15</v>
      </c>
      <c r="F1370" s="22" t="n">
        <v>45562</v>
      </c>
      <c r="G1370" t="n">
        <v>-4.128079414079054</v>
      </c>
    </row>
    <row r="1371">
      <c r="A1371" t="inlineStr">
        <is>
          <t>KSL</t>
        </is>
      </c>
      <c r="B1371" t="inlineStr">
        <is>
          <t>Bull</t>
        </is>
      </c>
      <c r="C1371" t="n">
        <v>926.25</v>
      </c>
      <c r="D1371" s="22" t="n">
        <v>45468</v>
      </c>
      <c r="E1371" t="n">
        <v>831.55</v>
      </c>
      <c r="F1371" s="22" t="n">
        <v>45509</v>
      </c>
      <c r="G1371" t="n">
        <v>-10.22402159244265</v>
      </c>
    </row>
    <row r="1372">
      <c r="A1372" t="inlineStr">
        <is>
          <t>KSL</t>
        </is>
      </c>
      <c r="B1372" t="inlineStr">
        <is>
          <t>Bear</t>
        </is>
      </c>
      <c r="C1372" t="n">
        <v>812.2</v>
      </c>
      <c r="D1372" s="22" t="n">
        <v>45443</v>
      </c>
      <c r="E1372" t="n">
        <v>905.05</v>
      </c>
      <c r="F1372" s="22" t="n">
        <v>45464</v>
      </c>
      <c r="G1372" t="n">
        <v>-11.4319133218419</v>
      </c>
    </row>
    <row r="1373">
      <c r="A1373" t="inlineStr">
        <is>
          <t>KSL</t>
        </is>
      </c>
      <c r="B1373" t="inlineStr">
        <is>
          <t>Bull</t>
        </is>
      </c>
      <c r="C1373" t="n">
        <v>535.7</v>
      </c>
      <c r="D1373" s="22" t="n">
        <v>45293</v>
      </c>
      <c r="E1373" t="n">
        <v>821.65</v>
      </c>
      <c r="F1373" s="22" t="n">
        <v>45441</v>
      </c>
      <c r="G1373" t="n">
        <v>53.3787567668471</v>
      </c>
    </row>
    <row r="1374">
      <c r="A1374" t="inlineStr">
        <is>
          <t>KSL</t>
        </is>
      </c>
      <c r="B1374" t="inlineStr">
        <is>
          <t>Bear</t>
        </is>
      </c>
      <c r="C1374" t="n">
        <v>458.8</v>
      </c>
      <c r="D1374" s="22" t="n">
        <v>45275</v>
      </c>
      <c r="E1374" t="n">
        <v>485.45</v>
      </c>
      <c r="F1374" s="22" t="n">
        <v>45289</v>
      </c>
      <c r="G1374" t="n">
        <v>-5.808631211857014</v>
      </c>
    </row>
    <row r="1375">
      <c r="A1375" t="inlineStr">
        <is>
          <t>KSL</t>
        </is>
      </c>
      <c r="B1375" t="inlineStr">
        <is>
          <t>Bull</t>
        </is>
      </c>
      <c r="C1375" t="n">
        <v>495.1</v>
      </c>
      <c r="D1375" s="22" t="n">
        <v>45266</v>
      </c>
      <c r="E1375" t="n">
        <v>462.75</v>
      </c>
      <c r="F1375" s="22" t="n">
        <v>45273</v>
      </c>
      <c r="G1375" t="n">
        <v>-6.53403352858009</v>
      </c>
    </row>
    <row r="1376">
      <c r="A1376" t="inlineStr">
        <is>
          <t>KSL</t>
        </is>
      </c>
      <c r="B1376" t="inlineStr">
        <is>
          <t>Bear</t>
        </is>
      </c>
      <c r="C1376" t="n">
        <v>452.3</v>
      </c>
      <c r="D1376" s="22" t="n">
        <v>45231</v>
      </c>
      <c r="E1376" t="n">
        <v>486.7</v>
      </c>
      <c r="F1376" s="22" t="n">
        <v>45264</v>
      </c>
      <c r="G1376" t="n">
        <v>-7.605571523325222</v>
      </c>
    </row>
    <row r="1377">
      <c r="A1377" t="inlineStr">
        <is>
          <t>KSL</t>
        </is>
      </c>
      <c r="B1377" t="inlineStr">
        <is>
          <t>Bull</t>
        </is>
      </c>
      <c r="C1377" t="n">
        <v>345</v>
      </c>
      <c r="D1377" s="22" t="n">
        <v>45048</v>
      </c>
      <c r="E1377" t="n">
        <v>469.15</v>
      </c>
      <c r="F1377" s="22" t="n">
        <v>45229</v>
      </c>
      <c r="G1377" t="n">
        <v>35.98550724637681</v>
      </c>
    </row>
    <row r="1378">
      <c r="A1378" t="inlineStr">
        <is>
          <t>KANSAINER</t>
        </is>
      </c>
      <c r="B1378" t="inlineStr">
        <is>
          <t>Bear</t>
        </is>
      </c>
      <c r="C1378" t="n">
        <v>286.3</v>
      </c>
      <c r="D1378" s="22" t="n">
        <v>45580</v>
      </c>
      <c r="E1378" t="n">
        <v>261.9</v>
      </c>
      <c r="F1378" s="22" t="n">
        <v>45660</v>
      </c>
      <c r="G1378" t="n">
        <v>8.522528815927361</v>
      </c>
    </row>
    <row r="1379">
      <c r="A1379" t="inlineStr">
        <is>
          <t>KANSAINER</t>
        </is>
      </c>
      <c r="B1379" t="inlineStr">
        <is>
          <t>Bull</t>
        </is>
      </c>
      <c r="C1379" t="n">
        <v>307.2</v>
      </c>
      <c r="D1379" s="22" t="n">
        <v>45504</v>
      </c>
      <c r="E1379" t="n">
        <v>288.75</v>
      </c>
      <c r="F1379" s="22" t="n">
        <v>45576</v>
      </c>
      <c r="G1379" t="n">
        <v>-6.005859374999996</v>
      </c>
    </row>
    <row r="1380">
      <c r="A1380" t="inlineStr">
        <is>
          <t>KANSAINER</t>
        </is>
      </c>
      <c r="B1380" t="inlineStr">
        <is>
          <t>Bear</t>
        </is>
      </c>
      <c r="C1380" t="n">
        <v>314.5</v>
      </c>
      <c r="D1380" s="22" t="n">
        <v>45335</v>
      </c>
      <c r="E1380" t="n">
        <v>281.7</v>
      </c>
      <c r="F1380" s="22" t="n">
        <v>45502</v>
      </c>
      <c r="G1380" t="n">
        <v>10.42925278219396</v>
      </c>
    </row>
    <row r="1381">
      <c r="A1381" t="inlineStr">
        <is>
          <t>KANSAINER</t>
        </is>
      </c>
      <c r="B1381" t="inlineStr">
        <is>
          <t>Bull</t>
        </is>
      </c>
      <c r="C1381" t="n">
        <v>328.65</v>
      </c>
      <c r="D1381" s="22" t="n">
        <v>45266</v>
      </c>
      <c r="E1381" t="n">
        <v>315.8</v>
      </c>
      <c r="F1381" s="22" t="n">
        <v>45331</v>
      </c>
      <c r="G1381" t="n">
        <v>-3.909934580861088</v>
      </c>
    </row>
    <row r="1382">
      <c r="A1382" t="inlineStr">
        <is>
          <t>KANSAINER</t>
        </is>
      </c>
      <c r="B1382" t="inlineStr">
        <is>
          <t>Bear</t>
        </is>
      </c>
      <c r="C1382" t="n">
        <v>322.9</v>
      </c>
      <c r="D1382" s="22" t="n">
        <v>45212</v>
      </c>
      <c r="E1382" t="n">
        <v>319.45</v>
      </c>
      <c r="F1382" s="22" t="n">
        <v>45264</v>
      </c>
      <c r="G1382" t="n">
        <v>1.068442242180238</v>
      </c>
    </row>
    <row r="1383">
      <c r="A1383" t="inlineStr">
        <is>
          <t>KANSAINER</t>
        </is>
      </c>
      <c r="B1383" t="inlineStr">
        <is>
          <t>Bull</t>
        </is>
      </c>
      <c r="C1383" t="n">
        <v>273.8</v>
      </c>
      <c r="D1383" s="22" t="n">
        <v>45062</v>
      </c>
      <c r="E1383" t="n">
        <v>320.55</v>
      </c>
      <c r="F1383" s="22" t="n">
        <v>45210</v>
      </c>
      <c r="G1383" t="n">
        <v>17.0745069393718</v>
      </c>
    </row>
    <row r="1384">
      <c r="A1384" t="inlineStr">
        <is>
          <t>KSCL</t>
        </is>
      </c>
      <c r="B1384" t="inlineStr">
        <is>
          <t>Bear</t>
        </is>
      </c>
      <c r="C1384" t="n">
        <v>926</v>
      </c>
      <c r="D1384" s="22" t="n">
        <v>45569</v>
      </c>
      <c r="E1384" t="n">
        <v>936.5</v>
      </c>
      <c r="F1384" s="22" t="n">
        <v>45660</v>
      </c>
      <c r="G1384" t="n">
        <v>-1.13390928725702</v>
      </c>
    </row>
    <row r="1385">
      <c r="A1385" t="inlineStr">
        <is>
          <t>KSCL</t>
        </is>
      </c>
      <c r="B1385" t="inlineStr">
        <is>
          <t>Bull</t>
        </is>
      </c>
      <c r="C1385" t="n">
        <v>684</v>
      </c>
      <c r="D1385" s="22" t="n">
        <v>45397</v>
      </c>
      <c r="E1385" t="n">
        <v>983.8</v>
      </c>
      <c r="F1385" s="22" t="n">
        <v>45566</v>
      </c>
      <c r="G1385" t="n">
        <v>43.83040935672514</v>
      </c>
    </row>
    <row r="1386">
      <c r="A1386" t="inlineStr">
        <is>
          <t>KSCL</t>
        </is>
      </c>
      <c r="B1386" t="inlineStr">
        <is>
          <t>Bear</t>
        </is>
      </c>
      <c r="C1386" t="n">
        <v>631.4</v>
      </c>
      <c r="D1386" s="22" t="n">
        <v>45373</v>
      </c>
      <c r="E1386" t="n">
        <v>679.95</v>
      </c>
      <c r="F1386" s="22" t="n">
        <v>45392</v>
      </c>
      <c r="G1386" t="n">
        <v>-7.689261957554653</v>
      </c>
    </row>
    <row r="1387">
      <c r="A1387" t="inlineStr">
        <is>
          <t>KSCL</t>
        </is>
      </c>
      <c r="B1387" t="inlineStr">
        <is>
          <t>Bull</t>
        </is>
      </c>
      <c r="C1387" t="n">
        <v>607.25</v>
      </c>
      <c r="D1387" s="22" t="n">
        <v>45274</v>
      </c>
      <c r="E1387" t="n">
        <v>623.4</v>
      </c>
      <c r="F1387" s="22" t="n">
        <v>45371</v>
      </c>
      <c r="G1387" t="n">
        <v>2.659530671058045</v>
      </c>
    </row>
    <row r="1388">
      <c r="A1388" t="inlineStr">
        <is>
          <t>KSCL</t>
        </is>
      </c>
      <c r="B1388" t="inlineStr">
        <is>
          <t>Bear</t>
        </is>
      </c>
      <c r="C1388" t="n">
        <v>592</v>
      </c>
      <c r="D1388" s="22" t="n">
        <v>45259</v>
      </c>
      <c r="E1388" t="n">
        <v>606.75</v>
      </c>
      <c r="F1388" s="22" t="n">
        <v>45272</v>
      </c>
      <c r="G1388" t="n">
        <v>-2.491554054054054</v>
      </c>
    </row>
    <row r="1389">
      <c r="A1389" t="inlineStr">
        <is>
          <t>KSCL</t>
        </is>
      </c>
      <c r="B1389" t="inlineStr">
        <is>
          <t>Bull</t>
        </is>
      </c>
      <c r="C1389" t="n">
        <v>574</v>
      </c>
      <c r="D1389" s="22" t="n">
        <v>45112</v>
      </c>
      <c r="E1389" t="n">
        <v>592.75</v>
      </c>
      <c r="F1389" s="22" t="n">
        <v>45254</v>
      </c>
      <c r="G1389" t="n">
        <v>3.266550522648084</v>
      </c>
    </row>
    <row r="1390">
      <c r="A1390" t="inlineStr">
        <is>
          <t>KSCL</t>
        </is>
      </c>
      <c r="B1390" t="inlineStr">
        <is>
          <t>Bear</t>
        </is>
      </c>
      <c r="C1390" t="n">
        <v>508.7</v>
      </c>
      <c r="D1390" s="22" t="n">
        <v>45076</v>
      </c>
      <c r="E1390" t="n">
        <v>510</v>
      </c>
      <c r="F1390" s="22" t="n">
        <v>45110</v>
      </c>
      <c r="G1390" t="n">
        <v>-0.2555533713387087</v>
      </c>
    </row>
    <row r="1391">
      <c r="A1391" t="inlineStr">
        <is>
          <t>KSCL</t>
        </is>
      </c>
      <c r="B1391" t="inlineStr">
        <is>
          <t>Bull</t>
        </is>
      </c>
      <c r="C1391" t="n">
        <v>532</v>
      </c>
      <c r="D1391" s="22" t="n">
        <v>45049</v>
      </c>
      <c r="E1391" t="n">
        <v>513.45</v>
      </c>
      <c r="F1391" s="22" t="n">
        <v>45072</v>
      </c>
      <c r="G1391" t="n">
        <v>-3.48684210526315</v>
      </c>
    </row>
    <row r="1392">
      <c r="A1392" t="inlineStr">
        <is>
          <t>KAYNES</t>
        </is>
      </c>
      <c r="B1392" t="inlineStr">
        <is>
          <t>Bull</t>
        </is>
      </c>
      <c r="C1392" t="n">
        <v>3396.3</v>
      </c>
      <c r="D1392" s="22" t="n">
        <v>45433</v>
      </c>
      <c r="E1392" t="n">
        <v>7544.7</v>
      </c>
      <c r="F1392" s="22" t="n">
        <v>45660</v>
      </c>
      <c r="G1392" t="n">
        <v>122.1446868651179</v>
      </c>
    </row>
    <row r="1393">
      <c r="A1393" t="inlineStr">
        <is>
          <t>KAYNES</t>
        </is>
      </c>
      <c r="B1393" t="inlineStr">
        <is>
          <t>Bear</t>
        </is>
      </c>
      <c r="C1393" t="n">
        <v>2686.05</v>
      </c>
      <c r="D1393" s="22" t="n">
        <v>45386</v>
      </c>
      <c r="E1393" t="n">
        <v>3080.35</v>
      </c>
      <c r="F1393" s="22" t="n">
        <v>45429</v>
      </c>
      <c r="G1393" t="n">
        <v>-14.67954803521899</v>
      </c>
    </row>
    <row r="1394">
      <c r="A1394" t="inlineStr">
        <is>
          <t>KDDL</t>
        </is>
      </c>
      <c r="B1394" t="inlineStr">
        <is>
          <t>Bull</t>
        </is>
      </c>
      <c r="C1394" t="n">
        <v>2924.85</v>
      </c>
      <c r="D1394" s="22" t="n">
        <v>45637</v>
      </c>
      <c r="E1394" t="n">
        <v>2974.35</v>
      </c>
      <c r="F1394" s="22" t="n">
        <v>45660</v>
      </c>
      <c r="G1394" t="n">
        <v>1.692394481768296</v>
      </c>
    </row>
    <row r="1395">
      <c r="A1395" t="inlineStr">
        <is>
          <t>KDDL</t>
        </is>
      </c>
      <c r="B1395" t="inlineStr">
        <is>
          <t>Bear</t>
        </is>
      </c>
      <c r="C1395" t="n">
        <v>2853.4</v>
      </c>
      <c r="D1395" s="22" t="n">
        <v>45555</v>
      </c>
      <c r="E1395" t="n">
        <v>2942.5</v>
      </c>
      <c r="F1395" s="22" t="n">
        <v>45635</v>
      </c>
      <c r="G1395" t="n">
        <v>-3.122590593677714</v>
      </c>
    </row>
    <row r="1396">
      <c r="A1396" t="inlineStr">
        <is>
          <t>KDDL</t>
        </is>
      </c>
      <c r="B1396" t="inlineStr">
        <is>
          <t>Bull</t>
        </is>
      </c>
      <c r="C1396" t="n">
        <v>2674.35</v>
      </c>
      <c r="D1396" s="22" t="n">
        <v>45456</v>
      </c>
      <c r="E1396" t="n">
        <v>3048.2</v>
      </c>
      <c r="F1396" s="22" t="n">
        <v>45553</v>
      </c>
      <c r="G1396" t="n">
        <v>13.97909772468076</v>
      </c>
    </row>
    <row r="1397">
      <c r="A1397" t="inlineStr">
        <is>
          <t>KDDL</t>
        </is>
      </c>
      <c r="B1397" t="inlineStr">
        <is>
          <t>Bear</t>
        </is>
      </c>
      <c r="C1397" t="n">
        <v>2455.15</v>
      </c>
      <c r="D1397" s="22" t="n">
        <v>45440</v>
      </c>
      <c r="E1397" t="n">
        <v>2633.65</v>
      </c>
      <c r="F1397" s="22" t="n">
        <v>45454</v>
      </c>
      <c r="G1397" t="n">
        <v>-7.270431541860986</v>
      </c>
    </row>
    <row r="1398">
      <c r="A1398" t="inlineStr">
        <is>
          <t>KDDL</t>
        </is>
      </c>
      <c r="B1398" t="inlineStr">
        <is>
          <t>Bull</t>
        </is>
      </c>
      <c r="C1398" t="n">
        <v>2546.6</v>
      </c>
      <c r="D1398" s="22" t="n">
        <v>45433</v>
      </c>
      <c r="E1398" t="n">
        <v>2511.45</v>
      </c>
      <c r="F1398" s="22" t="n">
        <v>45436</v>
      </c>
      <c r="G1398" t="n">
        <v>-1.380271734862173</v>
      </c>
    </row>
    <row r="1399">
      <c r="A1399" t="inlineStr">
        <is>
          <t>KDDL</t>
        </is>
      </c>
      <c r="B1399" t="inlineStr">
        <is>
          <t>Bear</t>
        </is>
      </c>
      <c r="C1399" t="n">
        <v>2426</v>
      </c>
      <c r="D1399" s="22" t="n">
        <v>45422</v>
      </c>
      <c r="E1399" t="n">
        <v>2594.2</v>
      </c>
      <c r="F1399" s="22" t="n">
        <v>45429</v>
      </c>
      <c r="G1399" t="n">
        <v>-6.93322341302555</v>
      </c>
    </row>
    <row r="1400">
      <c r="A1400" t="inlineStr">
        <is>
          <t>KDDL</t>
        </is>
      </c>
      <c r="B1400" t="inlineStr">
        <is>
          <t>Bull</t>
        </is>
      </c>
      <c r="C1400" t="n">
        <v>2567.5</v>
      </c>
      <c r="D1400" s="22" t="n">
        <v>45407</v>
      </c>
      <c r="E1400" t="n">
        <v>2428.45</v>
      </c>
      <c r="F1400" s="22" t="n">
        <v>45420</v>
      </c>
      <c r="G1400" t="n">
        <v>-5.41577409931841</v>
      </c>
    </row>
    <row r="1401">
      <c r="A1401" t="inlineStr">
        <is>
          <t>KDDL</t>
        </is>
      </c>
      <c r="B1401" t="inlineStr">
        <is>
          <t>Bear</t>
        </is>
      </c>
      <c r="C1401" t="n">
        <v>2596.6</v>
      </c>
      <c r="D1401" s="22" t="n">
        <v>45336</v>
      </c>
      <c r="E1401" t="n">
        <v>2635.4</v>
      </c>
      <c r="F1401" s="22" t="n">
        <v>45405</v>
      </c>
      <c r="G1401" t="n">
        <v>-1.494261726873611</v>
      </c>
    </row>
    <row r="1402">
      <c r="A1402" t="inlineStr">
        <is>
          <t>KDDL</t>
        </is>
      </c>
      <c r="B1402" t="inlineStr">
        <is>
          <t>Bull</t>
        </is>
      </c>
      <c r="C1402" t="n">
        <v>1118.85</v>
      </c>
      <c r="D1402" s="22" t="n">
        <v>45033</v>
      </c>
      <c r="E1402" t="n">
        <v>2527.8</v>
      </c>
      <c r="F1402" s="22" t="n">
        <v>45334</v>
      </c>
      <c r="G1402" t="n">
        <v>125.9284086338652</v>
      </c>
    </row>
    <row r="1403">
      <c r="A1403" t="inlineStr">
        <is>
          <t>KEI</t>
        </is>
      </c>
      <c r="B1403" t="inlineStr">
        <is>
          <t>Bull</t>
        </is>
      </c>
      <c r="C1403" t="n">
        <v>4454</v>
      </c>
      <c r="D1403" s="22" t="n">
        <v>45631</v>
      </c>
      <c r="E1403" t="n">
        <v>4363.85</v>
      </c>
      <c r="F1403" s="22" t="n">
        <v>45660</v>
      </c>
      <c r="G1403" t="n">
        <v>-2.024023349797926</v>
      </c>
    </row>
    <row r="1404">
      <c r="A1404" t="inlineStr">
        <is>
          <t>KEI</t>
        </is>
      </c>
      <c r="B1404" t="inlineStr">
        <is>
          <t>Bear</t>
        </is>
      </c>
      <c r="C1404" t="n">
        <v>4059.65</v>
      </c>
      <c r="D1404" s="22" t="n">
        <v>45586</v>
      </c>
      <c r="E1404" t="n">
        <v>4340.25</v>
      </c>
      <c r="F1404" s="22" t="n">
        <v>45629</v>
      </c>
      <c r="G1404" t="n">
        <v>-6.911925904942542</v>
      </c>
    </row>
    <row r="1405">
      <c r="A1405" t="inlineStr">
        <is>
          <t>KEI</t>
        </is>
      </c>
      <c r="B1405" t="inlineStr">
        <is>
          <t>Bull</t>
        </is>
      </c>
      <c r="C1405" t="n">
        <v>4690.65</v>
      </c>
      <c r="D1405" s="22" t="n">
        <v>45580</v>
      </c>
      <c r="E1405" t="n">
        <v>4144.55</v>
      </c>
      <c r="F1405" s="22" t="n">
        <v>45582</v>
      </c>
      <c r="G1405" t="n">
        <v>-11.64230970121411</v>
      </c>
    </row>
    <row r="1406">
      <c r="A1406" t="inlineStr">
        <is>
          <t>KEI</t>
        </is>
      </c>
      <c r="B1406" t="inlineStr">
        <is>
          <t>Bear</t>
        </is>
      </c>
      <c r="C1406" t="n">
        <v>4196.8</v>
      </c>
      <c r="D1406" s="22" t="n">
        <v>45561</v>
      </c>
      <c r="E1406" t="n">
        <v>4575.95</v>
      </c>
      <c r="F1406" s="22" t="n">
        <v>45576</v>
      </c>
      <c r="G1406" t="n">
        <v>-9.034264201296216</v>
      </c>
    </row>
    <row r="1407">
      <c r="A1407" t="inlineStr">
        <is>
          <t>KEI</t>
        </is>
      </c>
      <c r="B1407" t="inlineStr">
        <is>
          <t>Bull</t>
        </is>
      </c>
      <c r="C1407" t="n">
        <v>4700.7</v>
      </c>
      <c r="D1407" s="22" t="n">
        <v>45526</v>
      </c>
      <c r="E1407" t="n">
        <v>4305.55</v>
      </c>
      <c r="F1407" s="22" t="n">
        <v>45559</v>
      </c>
      <c r="G1407" t="n">
        <v>-8.406194822047773</v>
      </c>
    </row>
    <row r="1408">
      <c r="A1408" t="inlineStr">
        <is>
          <t>KEI</t>
        </is>
      </c>
      <c r="B1408" t="inlineStr">
        <is>
          <t>Bear</t>
        </is>
      </c>
      <c r="C1408" t="n">
        <v>4137.2</v>
      </c>
      <c r="D1408" s="22" t="n">
        <v>45511</v>
      </c>
      <c r="E1408" t="n">
        <v>4709</v>
      </c>
      <c r="F1408" s="22" t="n">
        <v>45524</v>
      </c>
      <c r="G1408" t="n">
        <v>-13.82094169970028</v>
      </c>
    </row>
    <row r="1409">
      <c r="A1409" t="inlineStr">
        <is>
          <t>KEI</t>
        </is>
      </c>
      <c r="B1409" t="inlineStr">
        <is>
          <t>Bull</t>
        </is>
      </c>
      <c r="C1409" t="n">
        <v>2774.8</v>
      </c>
      <c r="D1409" s="22" t="n">
        <v>45250</v>
      </c>
      <c r="E1409" t="n">
        <v>4040.75</v>
      </c>
      <c r="F1409" s="22" t="n">
        <v>45509</v>
      </c>
      <c r="G1409" t="n">
        <v>45.6231079717457</v>
      </c>
    </row>
    <row r="1410">
      <c r="A1410" t="inlineStr">
        <is>
          <t>KEI</t>
        </is>
      </c>
      <c r="B1410" t="inlineStr">
        <is>
          <t>Bear</t>
        </is>
      </c>
      <c r="C1410" t="n">
        <v>2585.7</v>
      </c>
      <c r="D1410" s="22" t="n">
        <v>45232</v>
      </c>
      <c r="E1410" t="n">
        <v>2666.4</v>
      </c>
      <c r="F1410" s="22" t="n">
        <v>45246</v>
      </c>
      <c r="G1410" t="n">
        <v>-3.121011718296797</v>
      </c>
    </row>
    <row r="1411">
      <c r="A1411" t="inlineStr">
        <is>
          <t>KEI</t>
        </is>
      </c>
      <c r="B1411" t="inlineStr">
        <is>
          <t>Bull</t>
        </is>
      </c>
      <c r="C1411" t="n">
        <v>1615.65</v>
      </c>
      <c r="D1411" s="22" t="n">
        <v>44957</v>
      </c>
      <c r="E1411" t="n">
        <v>2402.4</v>
      </c>
      <c r="F1411" s="22" t="n">
        <v>45230</v>
      </c>
      <c r="G1411" t="n">
        <v>48.69557144183455</v>
      </c>
    </row>
    <row r="1412">
      <c r="A1412" t="inlineStr">
        <is>
          <t>KKCL</t>
        </is>
      </c>
      <c r="B1412" t="inlineStr">
        <is>
          <t>Bear</t>
        </is>
      </c>
      <c r="C1412" t="n">
        <v>623.55</v>
      </c>
      <c r="D1412" s="22" t="n">
        <v>45589</v>
      </c>
      <c r="E1412" t="n">
        <v>595.9</v>
      </c>
      <c r="F1412" s="22" t="n">
        <v>45660</v>
      </c>
      <c r="G1412" t="n">
        <v>4.434287547109291</v>
      </c>
    </row>
    <row r="1413">
      <c r="A1413" t="inlineStr">
        <is>
          <t>KKCL</t>
        </is>
      </c>
      <c r="B1413" t="inlineStr">
        <is>
          <t>Bull</t>
        </is>
      </c>
      <c r="C1413" t="n">
        <v>671.25</v>
      </c>
      <c r="D1413" s="22" t="n">
        <v>45562</v>
      </c>
      <c r="E1413" t="n">
        <v>635.3</v>
      </c>
      <c r="F1413" s="22" t="n">
        <v>45587</v>
      </c>
      <c r="G1413" t="n">
        <v>-5.355679702048424</v>
      </c>
    </row>
    <row r="1414">
      <c r="A1414" t="inlineStr">
        <is>
          <t>KKCL</t>
        </is>
      </c>
      <c r="B1414" t="inlineStr">
        <is>
          <t>Bear</t>
        </is>
      </c>
      <c r="C1414" t="n">
        <v>667</v>
      </c>
      <c r="D1414" s="22" t="n">
        <v>45495</v>
      </c>
      <c r="E1414" t="n">
        <v>675.4</v>
      </c>
      <c r="F1414" s="22" t="n">
        <v>45560</v>
      </c>
      <c r="G1414" t="n">
        <v>-1.259370314842575</v>
      </c>
    </row>
    <row r="1415">
      <c r="A1415" t="inlineStr">
        <is>
          <t>KKCL</t>
        </is>
      </c>
      <c r="B1415" t="inlineStr">
        <is>
          <t>Bull</t>
        </is>
      </c>
      <c r="C1415" t="n">
        <v>714.95</v>
      </c>
      <c r="D1415" s="22" t="n">
        <v>45464</v>
      </c>
      <c r="E1415" t="n">
        <v>675.5</v>
      </c>
      <c r="F1415" s="22" t="n">
        <v>45491</v>
      </c>
      <c r="G1415" t="n">
        <v>-5.51786838240437</v>
      </c>
    </row>
    <row r="1416">
      <c r="A1416" t="inlineStr">
        <is>
          <t>KKCL</t>
        </is>
      </c>
      <c r="B1416" t="inlineStr">
        <is>
          <t>Bear</t>
        </is>
      </c>
      <c r="C1416" t="n">
        <v>745.35</v>
      </c>
      <c r="D1416" s="22" t="n">
        <v>45303</v>
      </c>
      <c r="E1416" t="n">
        <v>707.9</v>
      </c>
      <c r="F1416" s="22" t="n">
        <v>45462</v>
      </c>
      <c r="G1416" t="n">
        <v>5.024485141208834</v>
      </c>
    </row>
    <row r="1417">
      <c r="A1417" t="inlineStr">
        <is>
          <t>KKCL</t>
        </is>
      </c>
      <c r="B1417" t="inlineStr">
        <is>
          <t>Bull</t>
        </is>
      </c>
      <c r="C1417" t="n">
        <v>463.35</v>
      </c>
      <c r="D1417" s="22" t="n">
        <v>45044</v>
      </c>
      <c r="E1417" t="n">
        <v>749.35</v>
      </c>
      <c r="F1417" s="22" t="n">
        <v>45301</v>
      </c>
      <c r="G1417" t="n">
        <v>61.72439840293514</v>
      </c>
    </row>
    <row r="1418">
      <c r="A1418" t="inlineStr">
        <is>
          <t>KFINTECH</t>
        </is>
      </c>
      <c r="B1418" t="inlineStr">
        <is>
          <t>Bull</t>
        </is>
      </c>
      <c r="C1418" t="n">
        <v>281</v>
      </c>
      <c r="D1418" s="22" t="n">
        <v>45016</v>
      </c>
      <c r="E1418" t="n">
        <v>1472.2</v>
      </c>
      <c r="F1418" s="22" t="n">
        <v>45660</v>
      </c>
      <c r="G1418" t="n">
        <v>423.914590747331</v>
      </c>
    </row>
    <row r="1419">
      <c r="A1419" t="inlineStr">
        <is>
          <t>KIRIINDUS</t>
        </is>
      </c>
      <c r="B1419" t="inlineStr">
        <is>
          <t>Bull</t>
        </is>
      </c>
      <c r="C1419" t="n">
        <v>378.45</v>
      </c>
      <c r="D1419" s="22" t="n">
        <v>45583</v>
      </c>
      <c r="E1419" t="n">
        <v>612.4</v>
      </c>
      <c r="F1419" s="22" t="n">
        <v>45660</v>
      </c>
      <c r="G1419" t="n">
        <v>61.81794160391069</v>
      </c>
    </row>
    <row r="1420">
      <c r="A1420" t="inlineStr">
        <is>
          <t>KIRIINDUS</t>
        </is>
      </c>
      <c r="B1420" t="inlineStr">
        <is>
          <t>Bear</t>
        </is>
      </c>
      <c r="C1420" t="n">
        <v>361.3</v>
      </c>
      <c r="D1420" s="22" t="n">
        <v>45566</v>
      </c>
      <c r="E1420" t="n">
        <v>385.55</v>
      </c>
      <c r="F1420" s="22" t="n">
        <v>45581</v>
      </c>
      <c r="G1420" t="n">
        <v>-6.711873789094936</v>
      </c>
    </row>
    <row r="1421">
      <c r="A1421" t="inlineStr">
        <is>
          <t>KIRIINDUS</t>
        </is>
      </c>
      <c r="B1421" t="inlineStr">
        <is>
          <t>Bull</t>
        </is>
      </c>
      <c r="C1421" t="n">
        <v>370.15</v>
      </c>
      <c r="D1421" s="22" t="n">
        <v>45524</v>
      </c>
      <c r="E1421" t="n">
        <v>337.1</v>
      </c>
      <c r="F1421" s="22" t="n">
        <v>45562</v>
      </c>
      <c r="G1421" t="n">
        <v>-8.928812643522885</v>
      </c>
    </row>
    <row r="1422">
      <c r="A1422" t="inlineStr">
        <is>
          <t>KIRIINDUS</t>
        </is>
      </c>
      <c r="B1422" t="inlineStr">
        <is>
          <t>Bear</t>
        </is>
      </c>
      <c r="C1422" t="n">
        <v>334.95</v>
      </c>
      <c r="D1422" s="22" t="n">
        <v>45513</v>
      </c>
      <c r="E1422" t="n">
        <v>345.05</v>
      </c>
      <c r="F1422" s="22" t="n">
        <v>45520</v>
      </c>
      <c r="G1422" t="n">
        <v>-3.01537542916854</v>
      </c>
    </row>
    <row r="1423">
      <c r="A1423" t="inlineStr">
        <is>
          <t>KIRIINDUS</t>
        </is>
      </c>
      <c r="B1423" t="inlineStr">
        <is>
          <t>Bull</t>
        </is>
      </c>
      <c r="C1423" t="n">
        <v>359.3</v>
      </c>
      <c r="D1423" s="22" t="n">
        <v>45483</v>
      </c>
      <c r="E1423" t="n">
        <v>328.2</v>
      </c>
      <c r="F1423" s="22" t="n">
        <v>45511</v>
      </c>
      <c r="G1423" t="n">
        <v>-8.655719454494857</v>
      </c>
    </row>
    <row r="1424">
      <c r="A1424" t="inlineStr">
        <is>
          <t>KIRIINDUS</t>
        </is>
      </c>
      <c r="B1424" t="inlineStr">
        <is>
          <t>Bear</t>
        </is>
      </c>
      <c r="C1424" t="n">
        <v>332.25</v>
      </c>
      <c r="D1424" s="22" t="n">
        <v>45421</v>
      </c>
      <c r="E1424" t="n">
        <v>363.85</v>
      </c>
      <c r="F1424" s="22" t="n">
        <v>45481</v>
      </c>
      <c r="G1424" t="n">
        <v>-9.510910458991729</v>
      </c>
    </row>
    <row r="1425">
      <c r="A1425" t="inlineStr">
        <is>
          <t>KIRIINDUS</t>
        </is>
      </c>
      <c r="B1425" t="inlineStr">
        <is>
          <t>Bull</t>
        </is>
      </c>
      <c r="C1425" t="n">
        <v>369.35</v>
      </c>
      <c r="D1425" s="22" t="n">
        <v>45411</v>
      </c>
      <c r="E1425" t="n">
        <v>338.95</v>
      </c>
      <c r="F1425" s="22" t="n">
        <v>45419</v>
      </c>
      <c r="G1425" t="n">
        <v>-8.230675511032905</v>
      </c>
    </row>
    <row r="1426">
      <c r="A1426" t="inlineStr">
        <is>
          <t>KIRIINDUS</t>
        </is>
      </c>
      <c r="B1426" t="inlineStr">
        <is>
          <t>Bear</t>
        </is>
      </c>
      <c r="C1426" t="n">
        <v>329.15</v>
      </c>
      <c r="D1426" s="22" t="n">
        <v>45365</v>
      </c>
      <c r="E1426" t="n">
        <v>378.05</v>
      </c>
      <c r="F1426" s="22" t="n">
        <v>45407</v>
      </c>
      <c r="G1426" t="n">
        <v>-14.85644842776851</v>
      </c>
    </row>
    <row r="1427">
      <c r="A1427" t="inlineStr">
        <is>
          <t>KIRIINDUS</t>
        </is>
      </c>
      <c r="B1427" t="inlineStr">
        <is>
          <t>Bull</t>
        </is>
      </c>
      <c r="C1427" t="n">
        <v>293.1</v>
      </c>
      <c r="D1427" s="22" t="n">
        <v>45254</v>
      </c>
      <c r="E1427" t="n">
        <v>353.2</v>
      </c>
      <c r="F1427" s="22" t="n">
        <v>45363</v>
      </c>
      <c r="G1427" t="n">
        <v>20.50494711702489</v>
      </c>
    </row>
    <row r="1428">
      <c r="A1428" t="inlineStr">
        <is>
          <t>KIRIINDUS</t>
        </is>
      </c>
      <c r="B1428" t="inlineStr">
        <is>
          <t>Bear</t>
        </is>
      </c>
      <c r="C1428" t="n">
        <v>478.65</v>
      </c>
      <c r="D1428" s="22" t="n">
        <v>44880</v>
      </c>
      <c r="E1428" t="n">
        <v>275.05</v>
      </c>
      <c r="F1428" s="22" t="n">
        <v>45252</v>
      </c>
      <c r="G1428" t="n">
        <v>42.53630001044604</v>
      </c>
    </row>
    <row r="1429">
      <c r="A1429" t="inlineStr">
        <is>
          <t>KIRLPNU</t>
        </is>
      </c>
      <c r="B1429" t="inlineStr">
        <is>
          <t>Bull</t>
        </is>
      </c>
      <c r="C1429" t="n">
        <v>1397.65</v>
      </c>
      <c r="D1429" s="22" t="n">
        <v>45579</v>
      </c>
      <c r="E1429" t="n">
        <v>1540.9</v>
      </c>
      <c r="F1429" s="22" t="n">
        <v>45660</v>
      </c>
      <c r="G1429" t="n">
        <v>10.24934711837727</v>
      </c>
    </row>
    <row r="1430">
      <c r="A1430" t="inlineStr">
        <is>
          <t>KIRLPNU</t>
        </is>
      </c>
      <c r="B1430" t="inlineStr">
        <is>
          <t>Bear</t>
        </is>
      </c>
      <c r="C1430" t="n">
        <v>1301.6</v>
      </c>
      <c r="D1430" s="22" t="n">
        <v>45574</v>
      </c>
      <c r="E1430" t="n">
        <v>1305.75</v>
      </c>
      <c r="F1430" s="22" t="n">
        <v>45575</v>
      </c>
      <c r="G1430" t="n">
        <v>-0.3188383527965651</v>
      </c>
    </row>
    <row r="1431">
      <c r="A1431" t="inlineStr">
        <is>
          <t>KIRLPNU</t>
        </is>
      </c>
      <c r="B1431" t="inlineStr">
        <is>
          <t>Bull</t>
        </is>
      </c>
      <c r="C1431" t="n">
        <v>626.75</v>
      </c>
      <c r="D1431" s="22" t="n">
        <v>45278</v>
      </c>
      <c r="E1431" t="n">
        <v>1222</v>
      </c>
      <c r="F1431" s="22" t="n">
        <v>45572</v>
      </c>
      <c r="G1431" t="n">
        <v>94.97407259672916</v>
      </c>
    </row>
    <row r="1432">
      <c r="A1432" t="inlineStr">
        <is>
          <t>KNRCON</t>
        </is>
      </c>
      <c r="B1432" t="inlineStr">
        <is>
          <t>Bull</t>
        </is>
      </c>
      <c r="C1432" t="n">
        <v>332.4</v>
      </c>
      <c r="D1432" s="22" t="n">
        <v>45631</v>
      </c>
      <c r="E1432" t="n">
        <v>346.35</v>
      </c>
      <c r="F1432" s="22" t="n">
        <v>45660</v>
      </c>
      <c r="G1432" t="n">
        <v>4.196750902527089</v>
      </c>
    </row>
    <row r="1433">
      <c r="A1433" t="inlineStr">
        <is>
          <t>KNRCON</t>
        </is>
      </c>
      <c r="B1433" t="inlineStr">
        <is>
          <t>Bear</t>
        </is>
      </c>
      <c r="C1433" t="n">
        <v>333.95</v>
      </c>
      <c r="D1433" s="22" t="n">
        <v>45533</v>
      </c>
      <c r="E1433" t="n">
        <v>327.6</v>
      </c>
      <c r="F1433" s="22" t="n">
        <v>45629</v>
      </c>
      <c r="G1433" t="n">
        <v>1.901482257823017</v>
      </c>
    </row>
    <row r="1434">
      <c r="A1434" t="inlineStr">
        <is>
          <t>KNRCON</t>
        </is>
      </c>
      <c r="B1434" t="inlineStr">
        <is>
          <t>Bull</t>
        </is>
      </c>
      <c r="C1434" t="n">
        <v>269.75</v>
      </c>
      <c r="D1434" s="22" t="n">
        <v>45439</v>
      </c>
      <c r="E1434" t="n">
        <v>339.4</v>
      </c>
      <c r="F1434" s="22" t="n">
        <v>45531</v>
      </c>
      <c r="G1434" t="n">
        <v>25.82020389249304</v>
      </c>
    </row>
    <row r="1435">
      <c r="A1435" t="inlineStr">
        <is>
          <t>KNRCON</t>
        </is>
      </c>
      <c r="B1435" t="inlineStr">
        <is>
          <t>Bear</t>
        </is>
      </c>
      <c r="C1435" t="n">
        <v>246.5</v>
      </c>
      <c r="D1435" s="22" t="n">
        <v>45420</v>
      </c>
      <c r="E1435" t="n">
        <v>274.7</v>
      </c>
      <c r="F1435" s="22" t="n">
        <v>45435</v>
      </c>
      <c r="G1435" t="n">
        <v>-11.44016227180527</v>
      </c>
    </row>
    <row r="1436">
      <c r="A1436" t="inlineStr">
        <is>
          <t>KNRCON</t>
        </is>
      </c>
      <c r="B1436" t="inlineStr">
        <is>
          <t>Bull</t>
        </is>
      </c>
      <c r="C1436" t="n">
        <v>263.1</v>
      </c>
      <c r="D1436" s="22" t="n">
        <v>45415</v>
      </c>
      <c r="E1436" t="n">
        <v>257.65</v>
      </c>
      <c r="F1436" s="22" t="n">
        <v>45418</v>
      </c>
      <c r="G1436" t="n">
        <v>-2.071455720258474</v>
      </c>
    </row>
    <row r="1437">
      <c r="A1437" t="inlineStr">
        <is>
          <t>KNRCON</t>
        </is>
      </c>
      <c r="B1437" t="inlineStr">
        <is>
          <t>Bear</t>
        </is>
      </c>
      <c r="C1437" t="n">
        <v>245</v>
      </c>
      <c r="D1437" s="22" t="n">
        <v>45365</v>
      </c>
      <c r="E1437" t="n">
        <v>265.7</v>
      </c>
      <c r="F1437" s="22" t="n">
        <v>45412</v>
      </c>
      <c r="G1437" t="n">
        <v>-8.44897959183673</v>
      </c>
    </row>
    <row r="1438">
      <c r="A1438" t="inlineStr">
        <is>
          <t>KNRCON</t>
        </is>
      </c>
      <c r="B1438" t="inlineStr">
        <is>
          <t>Bull</t>
        </is>
      </c>
      <c r="C1438" t="n">
        <v>283.05</v>
      </c>
      <c r="D1438" s="22" t="n">
        <v>45327</v>
      </c>
      <c r="E1438" t="n">
        <v>264.2</v>
      </c>
      <c r="F1438" s="22" t="n">
        <v>45363</v>
      </c>
      <c r="G1438" t="n">
        <v>-6.659600777247844</v>
      </c>
    </row>
    <row r="1439">
      <c r="A1439" t="inlineStr">
        <is>
          <t>KNRCON</t>
        </is>
      </c>
      <c r="B1439" t="inlineStr">
        <is>
          <t>Bear</t>
        </is>
      </c>
      <c r="C1439" t="n">
        <v>257.95</v>
      </c>
      <c r="D1439" s="22" t="n">
        <v>45280</v>
      </c>
      <c r="E1439" t="n">
        <v>275.75</v>
      </c>
      <c r="F1439" s="22" t="n">
        <v>45323</v>
      </c>
      <c r="G1439" t="n">
        <v>-6.900562124442726</v>
      </c>
    </row>
    <row r="1440">
      <c r="A1440" t="inlineStr">
        <is>
          <t>KNRCON</t>
        </is>
      </c>
      <c r="B1440" t="inlineStr">
        <is>
          <t>Bull</t>
        </is>
      </c>
      <c r="C1440" t="n">
        <v>298.45</v>
      </c>
      <c r="D1440" s="22" t="n">
        <v>45251</v>
      </c>
      <c r="E1440" t="n">
        <v>269.95</v>
      </c>
      <c r="F1440" s="22" t="n">
        <v>45278</v>
      </c>
      <c r="G1440" t="n">
        <v>-9.549338247612665</v>
      </c>
    </row>
    <row r="1441">
      <c r="A1441" t="inlineStr">
        <is>
          <t>KNRCON</t>
        </is>
      </c>
      <c r="B1441" t="inlineStr">
        <is>
          <t>Bear</t>
        </is>
      </c>
      <c r="C1441" t="n">
        <v>267</v>
      </c>
      <c r="D1441" s="22" t="n">
        <v>45237</v>
      </c>
      <c r="E1441" t="n">
        <v>281.75</v>
      </c>
      <c r="F1441" s="22" t="n">
        <v>45247</v>
      </c>
      <c r="G1441" t="n">
        <v>-5.52434456928839</v>
      </c>
    </row>
    <row r="1442">
      <c r="A1442" t="inlineStr">
        <is>
          <t>KNRCON</t>
        </is>
      </c>
      <c r="B1442" t="inlineStr">
        <is>
          <t>Bull</t>
        </is>
      </c>
      <c r="C1442" t="n">
        <v>254.7</v>
      </c>
      <c r="D1442" s="22" t="n">
        <v>45149</v>
      </c>
      <c r="E1442" t="n">
        <v>267.9</v>
      </c>
      <c r="F1442" s="22" t="n">
        <v>45233</v>
      </c>
      <c r="G1442" t="n">
        <v>5.182567726737334</v>
      </c>
    </row>
    <row r="1443">
      <c r="A1443" t="inlineStr">
        <is>
          <t>KNRCON</t>
        </is>
      </c>
      <c r="B1443" t="inlineStr">
        <is>
          <t>Bear</t>
        </is>
      </c>
      <c r="C1443" t="n">
        <v>243</v>
      </c>
      <c r="D1443" s="22" t="n">
        <v>45142</v>
      </c>
      <c r="E1443" t="n">
        <v>243.25</v>
      </c>
      <c r="F1443" s="22" t="n">
        <v>45147</v>
      </c>
      <c r="G1443" t="n">
        <v>-0.102880658436214</v>
      </c>
    </row>
    <row r="1444">
      <c r="A1444" t="inlineStr">
        <is>
          <t>KNRCON</t>
        </is>
      </c>
      <c r="B1444" t="inlineStr">
        <is>
          <t>Bull</t>
        </is>
      </c>
      <c r="C1444" t="n">
        <v>248.7</v>
      </c>
      <c r="D1444" s="22" t="n">
        <v>45117</v>
      </c>
      <c r="E1444" t="n">
        <v>240</v>
      </c>
      <c r="F1444" s="22" t="n">
        <v>45140</v>
      </c>
      <c r="G1444" t="n">
        <v>-3.498190591073578</v>
      </c>
    </row>
    <row r="1445">
      <c r="A1445" t="inlineStr">
        <is>
          <t>KNRCON</t>
        </is>
      </c>
      <c r="B1445" t="inlineStr">
        <is>
          <t>Bear</t>
        </is>
      </c>
      <c r="C1445" t="n">
        <v>246.85</v>
      </c>
      <c r="D1445" s="22" t="n">
        <v>45013</v>
      </c>
      <c r="E1445" t="n">
        <v>249.9</v>
      </c>
      <c r="F1445" s="22" t="n">
        <v>45113</v>
      </c>
      <c r="G1445" t="n">
        <v>-1.235568158800896</v>
      </c>
    </row>
    <row r="1446">
      <c r="A1446" t="inlineStr">
        <is>
          <t>KOTAKBANK</t>
        </is>
      </c>
      <c r="B1446" t="inlineStr">
        <is>
          <t>Bull</t>
        </is>
      </c>
      <c r="C1446" t="n">
        <v>1705.2</v>
      </c>
      <c r="D1446" s="22" t="n">
        <v>45012</v>
      </c>
      <c r="E1446" t="n">
        <v>1838.65</v>
      </c>
      <c r="F1446" s="22" t="n">
        <v>45660</v>
      </c>
      <c r="G1446" t="n">
        <v>7.826061459066387</v>
      </c>
    </row>
    <row r="1447">
      <c r="A1447" t="inlineStr">
        <is>
          <t>KOTAKBANK</t>
        </is>
      </c>
      <c r="B1447" t="inlineStr">
        <is>
          <t>Bear</t>
        </is>
      </c>
      <c r="C1447" t="n">
        <v>1749.85</v>
      </c>
      <c r="D1447" s="22" t="n">
        <v>45593</v>
      </c>
      <c r="E1447" t="n">
        <v>1837.15</v>
      </c>
      <c r="F1447" s="22" t="n">
        <v>45659</v>
      </c>
      <c r="G1447" t="n">
        <v>-4.988999057062045</v>
      </c>
    </row>
    <row r="1448">
      <c r="A1448" t="inlineStr">
        <is>
          <t>KOTAKBANK</t>
        </is>
      </c>
      <c r="B1448" t="inlineStr">
        <is>
          <t>Bull</t>
        </is>
      </c>
      <c r="C1448" t="n">
        <v>1746.7</v>
      </c>
      <c r="D1448" s="22" t="n">
        <v>45462</v>
      </c>
      <c r="E1448" t="n">
        <v>1762.2</v>
      </c>
      <c r="F1448" s="22" t="n">
        <v>45589</v>
      </c>
      <c r="G1448" t="n">
        <v>0.8873876452739451</v>
      </c>
    </row>
    <row r="1449">
      <c r="A1449" t="inlineStr">
        <is>
          <t>KOTAKBANK</t>
        </is>
      </c>
      <c r="B1449" t="inlineStr">
        <is>
          <t>Bear</t>
        </is>
      </c>
      <c r="C1449" t="n">
        <v>1640.4</v>
      </c>
      <c r="D1449" s="22" t="n">
        <v>45411</v>
      </c>
      <c r="E1449" t="n">
        <v>1717.2</v>
      </c>
      <c r="F1449" s="22" t="n">
        <v>45457</v>
      </c>
      <c r="G1449" t="n">
        <v>-4.681784930504752</v>
      </c>
    </row>
    <row r="1450">
      <c r="A1450" t="inlineStr">
        <is>
          <t>KOTAKBANK</t>
        </is>
      </c>
      <c r="B1450" t="inlineStr">
        <is>
          <t>Bull</t>
        </is>
      </c>
      <c r="C1450" t="n">
        <v>1825.95</v>
      </c>
      <c r="D1450" s="22" t="n">
        <v>45392</v>
      </c>
      <c r="E1450" t="n">
        <v>1642.45</v>
      </c>
      <c r="F1450" s="22" t="n">
        <v>45407</v>
      </c>
      <c r="G1450" t="n">
        <v>-10.0495632410526</v>
      </c>
    </row>
    <row r="1451">
      <c r="A1451" t="inlineStr">
        <is>
          <t>KOTAKBANK</t>
        </is>
      </c>
      <c r="B1451" t="inlineStr">
        <is>
          <t>Bear</t>
        </is>
      </c>
      <c r="C1451" t="n">
        <v>1822.9</v>
      </c>
      <c r="D1451" s="22" t="n">
        <v>45320</v>
      </c>
      <c r="E1451" t="n">
        <v>1788.4</v>
      </c>
      <c r="F1451" s="22" t="n">
        <v>45390</v>
      </c>
      <c r="G1451" t="n">
        <v>1.892588732239837</v>
      </c>
    </row>
    <row r="1452">
      <c r="A1452" t="inlineStr">
        <is>
          <t>KOTAKBANK</t>
        </is>
      </c>
      <c r="B1452" t="inlineStr">
        <is>
          <t>Bull</t>
        </is>
      </c>
      <c r="C1452" t="n">
        <v>1821.4</v>
      </c>
      <c r="D1452" s="22" t="n">
        <v>45266</v>
      </c>
      <c r="E1452" t="n">
        <v>1788.6</v>
      </c>
      <c r="F1452" s="22" t="n">
        <v>45315</v>
      </c>
      <c r="G1452" t="n">
        <v>-1.800812561765684</v>
      </c>
    </row>
    <row r="1453">
      <c r="A1453" t="inlineStr">
        <is>
          <t>KOTAKBANK</t>
        </is>
      </c>
      <c r="B1453" t="inlineStr">
        <is>
          <t>Bear</t>
        </is>
      </c>
      <c r="C1453" t="n">
        <v>1823.9</v>
      </c>
      <c r="D1453" s="22" t="n">
        <v>45141</v>
      </c>
      <c r="E1453" t="n">
        <v>1818.55</v>
      </c>
      <c r="F1453" s="22" t="n">
        <v>45264</v>
      </c>
      <c r="G1453" t="n">
        <v>0.2933274850594954</v>
      </c>
    </row>
    <row r="1454">
      <c r="A1454" t="inlineStr">
        <is>
          <t>KOTAKBANK</t>
        </is>
      </c>
      <c r="B1454" t="inlineStr">
        <is>
          <t>Bull</t>
        </is>
      </c>
      <c r="C1454" t="n">
        <v>1971</v>
      </c>
      <c r="D1454" s="22" t="n">
        <v>45128</v>
      </c>
      <c r="E1454" t="n">
        <v>1850</v>
      </c>
      <c r="F1454" s="22" t="n">
        <v>45139</v>
      </c>
      <c r="G1454" t="n">
        <v>-6.139015728056823</v>
      </c>
    </row>
    <row r="1455">
      <c r="A1455" t="inlineStr">
        <is>
          <t>KOTAKBANK</t>
        </is>
      </c>
      <c r="B1455" t="inlineStr">
        <is>
          <t>Bear</t>
        </is>
      </c>
      <c r="C1455" t="n">
        <v>1833</v>
      </c>
      <c r="D1455" s="22" t="n">
        <v>45099</v>
      </c>
      <c r="E1455" t="n">
        <v>1907.8</v>
      </c>
      <c r="F1455" s="22" t="n">
        <v>45126</v>
      </c>
      <c r="G1455" t="n">
        <v>-4.080741953082376</v>
      </c>
    </row>
    <row r="1456">
      <c r="A1456" t="inlineStr">
        <is>
          <t>KOTAKBANK</t>
        </is>
      </c>
      <c r="B1456" t="inlineStr">
        <is>
          <t>Bull</t>
        </is>
      </c>
      <c r="C1456" t="n">
        <v>1869.5</v>
      </c>
      <c r="D1456" s="22" t="n">
        <v>45029</v>
      </c>
      <c r="E1456" t="n">
        <v>1839.35</v>
      </c>
      <c r="F1456" s="22" t="n">
        <v>45097</v>
      </c>
      <c r="G1456" t="n">
        <v>-1.612730676651516</v>
      </c>
    </row>
    <row r="1457">
      <c r="A1457" t="inlineStr">
        <is>
          <t>KRBL</t>
        </is>
      </c>
      <c r="B1457" t="inlineStr">
        <is>
          <t>Bull</t>
        </is>
      </c>
      <c r="C1457" t="n">
        <v>308.25</v>
      </c>
      <c r="D1457" s="22" t="n">
        <v>45625</v>
      </c>
      <c r="E1457" t="n">
        <v>305.1</v>
      </c>
      <c r="F1457" s="22" t="n">
        <v>45660</v>
      </c>
      <c r="G1457" t="n">
        <v>-1.021897810218971</v>
      </c>
    </row>
    <row r="1458">
      <c r="A1458" t="inlineStr">
        <is>
          <t>KRBL</t>
        </is>
      </c>
      <c r="B1458" t="inlineStr">
        <is>
          <t>Bear</t>
        </is>
      </c>
      <c r="C1458" t="n">
        <v>283.5</v>
      </c>
      <c r="D1458" s="22" t="n">
        <v>45573</v>
      </c>
      <c r="E1458" t="n">
        <v>306.9</v>
      </c>
      <c r="F1458" s="22" t="n">
        <v>45623</v>
      </c>
      <c r="G1458" t="n">
        <v>-8.253968253968246</v>
      </c>
    </row>
    <row r="1459">
      <c r="A1459" t="inlineStr">
        <is>
          <t>KRBL</t>
        </is>
      </c>
      <c r="B1459" t="inlineStr">
        <is>
          <t>Bull</t>
        </is>
      </c>
      <c r="C1459" t="n">
        <v>307</v>
      </c>
      <c r="D1459" s="22" t="n">
        <v>45539</v>
      </c>
      <c r="E1459" t="n">
        <v>294.3</v>
      </c>
      <c r="F1459" s="22" t="n">
        <v>45569</v>
      </c>
      <c r="G1459" t="n">
        <v>-4.136807817589573</v>
      </c>
    </row>
    <row r="1460">
      <c r="A1460" t="inlineStr">
        <is>
          <t>KRBL</t>
        </is>
      </c>
      <c r="B1460" t="inlineStr">
        <is>
          <t>Bear</t>
        </is>
      </c>
      <c r="C1460" t="n">
        <v>280.4</v>
      </c>
      <c r="D1460" s="22" t="n">
        <v>45512</v>
      </c>
      <c r="E1460" t="n">
        <v>305.8</v>
      </c>
      <c r="F1460" s="22" t="n">
        <v>45537</v>
      </c>
      <c r="G1460" t="n">
        <v>-9.058487874465063</v>
      </c>
    </row>
    <row r="1461">
      <c r="A1461" t="inlineStr">
        <is>
          <t>KRBL</t>
        </is>
      </c>
      <c r="B1461" t="inlineStr">
        <is>
          <t>Bull</t>
        </is>
      </c>
      <c r="C1461" t="n">
        <v>284.4</v>
      </c>
      <c r="D1461" s="22" t="n">
        <v>45470</v>
      </c>
      <c r="E1461" t="n">
        <v>275.6</v>
      </c>
      <c r="F1461" s="22" t="n">
        <v>45510</v>
      </c>
      <c r="G1461" t="n">
        <v>-3.094233473980294</v>
      </c>
    </row>
    <row r="1462">
      <c r="A1462" t="inlineStr">
        <is>
          <t>KRBL</t>
        </is>
      </c>
      <c r="B1462" t="inlineStr">
        <is>
          <t>Bear</t>
        </is>
      </c>
      <c r="C1462" t="n">
        <v>360.35</v>
      </c>
      <c r="D1462" s="22" t="n">
        <v>45324</v>
      </c>
      <c r="E1462" t="n">
        <v>295.8</v>
      </c>
      <c r="F1462" s="22" t="n">
        <v>45468</v>
      </c>
      <c r="G1462" t="n">
        <v>17.91314000277508</v>
      </c>
    </row>
    <row r="1463">
      <c r="A1463" t="inlineStr">
        <is>
          <t>KRBL</t>
        </is>
      </c>
      <c r="B1463" t="inlineStr">
        <is>
          <t>Bull</t>
        </is>
      </c>
      <c r="C1463" t="n">
        <v>369.6</v>
      </c>
      <c r="D1463" s="22" t="n">
        <v>45299</v>
      </c>
      <c r="E1463" t="n">
        <v>359.85</v>
      </c>
      <c r="F1463" s="22" t="n">
        <v>45322</v>
      </c>
      <c r="G1463" t="n">
        <v>-2.637987012987013</v>
      </c>
    </row>
    <row r="1464">
      <c r="A1464" t="inlineStr">
        <is>
          <t>KRBL</t>
        </is>
      </c>
      <c r="B1464" t="inlineStr">
        <is>
          <t>Bear</t>
        </is>
      </c>
      <c r="C1464" t="n">
        <v>380.6</v>
      </c>
      <c r="D1464" s="22" t="n">
        <v>45215</v>
      </c>
      <c r="E1464" t="n">
        <v>373.25</v>
      </c>
      <c r="F1464" s="22" t="n">
        <v>45295</v>
      </c>
      <c r="G1464" t="n">
        <v>1.931161324224914</v>
      </c>
    </row>
    <row r="1465">
      <c r="A1465" t="inlineStr">
        <is>
          <t>KRBL</t>
        </is>
      </c>
      <c r="B1465" t="inlineStr">
        <is>
          <t>Bull</t>
        </is>
      </c>
      <c r="C1465" t="n">
        <v>374</v>
      </c>
      <c r="D1465" s="22" t="n">
        <v>45134</v>
      </c>
      <c r="E1465" t="n">
        <v>389.2</v>
      </c>
      <c r="F1465" s="22" t="n">
        <v>45211</v>
      </c>
      <c r="G1465" t="n">
        <v>4.06417112299465</v>
      </c>
    </row>
    <row r="1466">
      <c r="A1466" t="inlineStr">
        <is>
          <t>KRBL</t>
        </is>
      </c>
      <c r="B1466" t="inlineStr">
        <is>
          <t>Bear</t>
        </is>
      </c>
      <c r="C1466" t="n">
        <v>344.15</v>
      </c>
      <c r="D1466" s="22" t="n">
        <v>45089</v>
      </c>
      <c r="E1466" t="n">
        <v>380.7</v>
      </c>
      <c r="F1466" s="22" t="n">
        <v>45132</v>
      </c>
      <c r="G1466" t="n">
        <v>-10.62036902513439</v>
      </c>
    </row>
    <row r="1467">
      <c r="A1467" t="inlineStr">
        <is>
          <t>KRBL</t>
        </is>
      </c>
      <c r="B1467" t="inlineStr">
        <is>
          <t>Bull</t>
        </is>
      </c>
      <c r="C1467" t="n">
        <v>386.4</v>
      </c>
      <c r="D1467" s="22" t="n">
        <v>45043</v>
      </c>
      <c r="E1467" t="n">
        <v>359.75</v>
      </c>
      <c r="F1467" s="22" t="n">
        <v>45085</v>
      </c>
      <c r="G1467" t="n">
        <v>-6.89699792960662</v>
      </c>
    </row>
    <row r="1468">
      <c r="A1468" t="inlineStr">
        <is>
          <t>KIMS</t>
        </is>
      </c>
      <c r="B1468" t="inlineStr">
        <is>
          <t>Bull</t>
        </is>
      </c>
      <c r="C1468" t="n">
        <v>410.96</v>
      </c>
      <c r="D1468" s="22" t="n">
        <v>45467</v>
      </c>
      <c r="E1468" t="n">
        <v>627.7</v>
      </c>
      <c r="F1468" s="22" t="n">
        <v>45660</v>
      </c>
      <c r="G1468" t="n">
        <v>52.73992602686395</v>
      </c>
    </row>
    <row r="1469">
      <c r="A1469" t="inlineStr">
        <is>
          <t>KIMS</t>
        </is>
      </c>
      <c r="B1469" t="inlineStr">
        <is>
          <t>Bear</t>
        </is>
      </c>
      <c r="C1469" t="n">
        <v>397.14</v>
      </c>
      <c r="D1469" s="22" t="n">
        <v>45370</v>
      </c>
      <c r="E1469" t="n">
        <v>413.93</v>
      </c>
      <c r="F1469" s="22" t="n">
        <v>45463</v>
      </c>
      <c r="G1469" t="n">
        <v>-4.227728257037826</v>
      </c>
    </row>
    <row r="1470">
      <c r="A1470" t="inlineStr">
        <is>
          <t>KIMS</t>
        </is>
      </c>
      <c r="B1470" t="inlineStr">
        <is>
          <t>Bull</t>
        </is>
      </c>
      <c r="C1470" t="n">
        <v>394.55</v>
      </c>
      <c r="D1470" s="22" t="n">
        <v>45264</v>
      </c>
      <c r="E1470" t="n">
        <v>402.07</v>
      </c>
      <c r="F1470" s="22" t="n">
        <v>45366</v>
      </c>
      <c r="G1470" t="n">
        <v>1.905968825243944</v>
      </c>
    </row>
    <row r="1471">
      <c r="A1471" t="inlineStr">
        <is>
          <t>KIMS</t>
        </is>
      </c>
      <c r="B1471" t="inlineStr">
        <is>
          <t>Bear</t>
        </is>
      </c>
      <c r="C1471" t="n">
        <v>366.46</v>
      </c>
      <c r="D1471" s="22" t="n">
        <v>45224</v>
      </c>
      <c r="E1471" t="n">
        <v>390</v>
      </c>
      <c r="F1471" s="22" t="n">
        <v>45260</v>
      </c>
      <c r="G1471" t="n">
        <v>-6.423620586148562</v>
      </c>
    </row>
    <row r="1472">
      <c r="A1472" t="inlineStr">
        <is>
          <t>KIMS</t>
        </is>
      </c>
      <c r="B1472" t="inlineStr">
        <is>
          <t>Bull</t>
        </is>
      </c>
      <c r="C1472" t="n">
        <v>302</v>
      </c>
      <c r="D1472" s="22" t="n">
        <v>45033</v>
      </c>
      <c r="E1472" t="n">
        <v>389.78</v>
      </c>
      <c r="F1472" s="22" t="n">
        <v>45219</v>
      </c>
      <c r="G1472" t="n">
        <v>29.0662251655629</v>
      </c>
    </row>
    <row r="1473">
      <c r="A1473" t="inlineStr">
        <is>
          <t>KSB</t>
        </is>
      </c>
      <c r="B1473" t="inlineStr">
        <is>
          <t>Bear</t>
        </is>
      </c>
      <c r="C1473" t="n">
        <v>915.75</v>
      </c>
      <c r="D1473" s="22" t="n">
        <v>45520</v>
      </c>
      <c r="E1473" t="n">
        <v>767.1</v>
      </c>
      <c r="F1473" s="22" t="n">
        <v>45660</v>
      </c>
      <c r="G1473" t="n">
        <v>16.23259623259623</v>
      </c>
    </row>
    <row r="1474">
      <c r="A1474" t="inlineStr">
        <is>
          <t>KSB</t>
        </is>
      </c>
      <c r="B1474" t="inlineStr">
        <is>
          <t>Bull</t>
        </is>
      </c>
      <c r="C1474" t="n">
        <v>440.32</v>
      </c>
      <c r="D1474" s="22" t="n">
        <v>45132</v>
      </c>
      <c r="E1474" t="n">
        <v>919</v>
      </c>
      <c r="F1474" s="22" t="n">
        <v>45517</v>
      </c>
      <c r="G1474" t="n">
        <v>108.7118459302326</v>
      </c>
    </row>
    <row r="1475">
      <c r="A1475" t="inlineStr">
        <is>
          <t>KSB</t>
        </is>
      </c>
      <c r="B1475" t="inlineStr">
        <is>
          <t>Bear</t>
        </is>
      </c>
      <c r="C1475" t="n">
        <v>414.6</v>
      </c>
      <c r="D1475" s="22" t="n">
        <v>45118</v>
      </c>
      <c r="E1475" t="n">
        <v>437.19</v>
      </c>
      <c r="F1475" s="22" t="n">
        <v>45128</v>
      </c>
      <c r="G1475" t="n">
        <v>-5.448625180897244</v>
      </c>
    </row>
    <row r="1476">
      <c r="A1476" t="inlineStr">
        <is>
          <t>KSB</t>
        </is>
      </c>
      <c r="B1476" t="inlineStr">
        <is>
          <t>Bull</t>
        </is>
      </c>
      <c r="C1476" t="n">
        <v>393.28</v>
      </c>
      <c r="D1476" s="22" t="n">
        <v>44987</v>
      </c>
      <c r="E1476" t="n">
        <v>420.32</v>
      </c>
      <c r="F1476" s="22" t="n">
        <v>45114</v>
      </c>
      <c r="G1476" t="n">
        <v>6.875508543531332</v>
      </c>
    </row>
    <row r="1477">
      <c r="A1477" t="inlineStr">
        <is>
          <t>LTFOODS</t>
        </is>
      </c>
      <c r="B1477" t="inlineStr">
        <is>
          <t>Bull</t>
        </is>
      </c>
      <c r="C1477" t="n">
        <v>427.15</v>
      </c>
      <c r="D1477" s="22" t="n">
        <v>45631</v>
      </c>
      <c r="E1477" t="n">
        <v>431.15</v>
      </c>
      <c r="F1477" s="22" t="n">
        <v>45660</v>
      </c>
      <c r="G1477" t="n">
        <v>0.9364391899801008</v>
      </c>
    </row>
    <row r="1478">
      <c r="A1478" t="inlineStr">
        <is>
          <t>LTFOODS</t>
        </is>
      </c>
      <c r="B1478" t="inlineStr">
        <is>
          <t>Bear</t>
        </is>
      </c>
      <c r="C1478" t="n">
        <v>343.35</v>
      </c>
      <c r="D1478" s="22" t="n">
        <v>45614</v>
      </c>
      <c r="E1478" t="n">
        <v>413.5</v>
      </c>
      <c r="F1478" s="22" t="n">
        <v>45629</v>
      </c>
      <c r="G1478" t="n">
        <v>-20.43104703655162</v>
      </c>
    </row>
    <row r="1479">
      <c r="A1479" t="inlineStr">
        <is>
          <t>LTFOODS</t>
        </is>
      </c>
      <c r="B1479" t="inlineStr">
        <is>
          <t>Bull</t>
        </is>
      </c>
      <c r="C1479" t="n">
        <v>208.1</v>
      </c>
      <c r="D1479" s="22" t="n">
        <v>45386</v>
      </c>
      <c r="E1479" t="n">
        <v>365.5</v>
      </c>
      <c r="F1479" s="22" t="n">
        <v>45609</v>
      </c>
      <c r="G1479" t="n">
        <v>75.63671311869294</v>
      </c>
    </row>
    <row r="1480">
      <c r="A1480" t="inlineStr">
        <is>
          <t>LTFOODS</t>
        </is>
      </c>
      <c r="B1480" t="inlineStr">
        <is>
          <t>Bear</t>
        </is>
      </c>
      <c r="C1480" t="n">
        <v>199.2</v>
      </c>
      <c r="D1480" s="22" t="n">
        <v>45323</v>
      </c>
      <c r="E1480" t="n">
        <v>200.6</v>
      </c>
      <c r="F1480" s="22" t="n">
        <v>45384</v>
      </c>
      <c r="G1480" t="n">
        <v>-0.7028112449799226</v>
      </c>
    </row>
    <row r="1481">
      <c r="A1481" t="inlineStr">
        <is>
          <t>LTFOODS</t>
        </is>
      </c>
      <c r="B1481" t="inlineStr">
        <is>
          <t>Bull</t>
        </is>
      </c>
      <c r="C1481" t="n">
        <v>110.7</v>
      </c>
      <c r="D1481" s="22" t="n">
        <v>45044</v>
      </c>
      <c r="E1481" t="n">
        <v>196.6</v>
      </c>
      <c r="F1481" s="22" t="n">
        <v>45321</v>
      </c>
      <c r="G1481" t="n">
        <v>77.59710930442637</v>
      </c>
    </row>
    <row r="1482">
      <c r="A1482" t="inlineStr">
        <is>
          <t>LTF</t>
        </is>
      </c>
      <c r="B1482" t="inlineStr">
        <is>
          <t>Bear</t>
        </is>
      </c>
      <c r="C1482" t="n">
        <v>168.05</v>
      </c>
      <c r="D1482" s="22" t="n">
        <v>45580</v>
      </c>
      <c r="E1482" t="n">
        <v>143.44</v>
      </c>
      <c r="F1482" s="22" t="n">
        <v>45660</v>
      </c>
      <c r="G1482" t="n">
        <v>14.64445105623327</v>
      </c>
    </row>
    <row r="1483">
      <c r="A1483" t="inlineStr">
        <is>
          <t>LTF</t>
        </is>
      </c>
      <c r="B1483" t="inlineStr">
        <is>
          <t>Bull</t>
        </is>
      </c>
      <c r="C1483" t="n">
        <v>178</v>
      </c>
      <c r="D1483" s="22" t="n">
        <v>45554</v>
      </c>
      <c r="E1483" t="n">
        <v>163.76</v>
      </c>
      <c r="F1483" s="22" t="n">
        <v>45576</v>
      </c>
      <c r="G1483" t="n">
        <v>-8.000000000000005</v>
      </c>
    </row>
    <row r="1484">
      <c r="A1484" t="inlineStr">
        <is>
          <t>LTF</t>
        </is>
      </c>
      <c r="B1484" t="inlineStr">
        <is>
          <t>Bear</t>
        </is>
      </c>
      <c r="C1484" t="n">
        <v>168.02</v>
      </c>
      <c r="D1484" s="22" t="n">
        <v>45516</v>
      </c>
      <c r="E1484" t="n">
        <v>175.85</v>
      </c>
      <c r="F1484" s="22" t="n">
        <v>45552</v>
      </c>
      <c r="G1484" t="n">
        <v>-4.660159504820845</v>
      </c>
    </row>
    <row r="1485">
      <c r="A1485" t="inlineStr">
        <is>
          <t>LTF</t>
        </is>
      </c>
      <c r="B1485" t="inlineStr">
        <is>
          <t>Bull</t>
        </is>
      </c>
      <c r="C1485" t="n">
        <v>181.87</v>
      </c>
      <c r="D1485" s="22" t="n">
        <v>45457</v>
      </c>
      <c r="E1485" t="n">
        <v>165.65</v>
      </c>
      <c r="F1485" s="22" t="n">
        <v>45512</v>
      </c>
      <c r="G1485" t="n">
        <v>-8.918458239401769</v>
      </c>
    </row>
    <row r="1486">
      <c r="A1486" t="inlineStr">
        <is>
          <t>LTF</t>
        </is>
      </c>
      <c r="B1486" t="inlineStr">
        <is>
          <t>Bear</t>
        </is>
      </c>
      <c r="C1486" t="n">
        <v>157.2</v>
      </c>
      <c r="D1486" s="22" t="n">
        <v>45425</v>
      </c>
      <c r="E1486" t="n">
        <v>170.62</v>
      </c>
      <c r="F1486" s="22" t="n">
        <v>45455</v>
      </c>
      <c r="G1486" t="n">
        <v>-8.536895674300265</v>
      </c>
    </row>
    <row r="1487">
      <c r="A1487" t="inlineStr">
        <is>
          <t>LTF</t>
        </is>
      </c>
      <c r="B1487" t="inlineStr">
        <is>
          <t>Bull</t>
        </is>
      </c>
      <c r="C1487" t="n">
        <v>169.05</v>
      </c>
      <c r="D1487" s="22" t="n">
        <v>45392</v>
      </c>
      <c r="E1487" t="n">
        <v>157.05</v>
      </c>
      <c r="F1487" s="22" t="n">
        <v>45421</v>
      </c>
      <c r="G1487" t="n">
        <v>-7.09849157054126</v>
      </c>
    </row>
    <row r="1488">
      <c r="A1488" t="inlineStr">
        <is>
          <t>LTF</t>
        </is>
      </c>
      <c r="B1488" t="inlineStr">
        <is>
          <t>Bear</t>
        </is>
      </c>
      <c r="C1488" t="n">
        <v>149.2</v>
      </c>
      <c r="D1488" s="22" t="n">
        <v>45365</v>
      </c>
      <c r="E1488" t="n">
        <v>168.85</v>
      </c>
      <c r="F1488" s="22" t="n">
        <v>45390</v>
      </c>
      <c r="G1488" t="n">
        <v>-13.17024128686328</v>
      </c>
    </row>
    <row r="1489">
      <c r="A1489" t="inlineStr">
        <is>
          <t>LTF</t>
        </is>
      </c>
      <c r="B1489" t="inlineStr">
        <is>
          <t>Bull</t>
        </is>
      </c>
      <c r="C1489" t="n">
        <v>90.84999999999999</v>
      </c>
      <c r="D1489" s="22" t="n">
        <v>45043</v>
      </c>
      <c r="E1489" t="n">
        <v>155.55</v>
      </c>
      <c r="F1489" s="22" t="n">
        <v>45363</v>
      </c>
      <c r="G1489" t="n">
        <v>71.2162905888828</v>
      </c>
    </row>
    <row r="1490">
      <c r="A1490" t="inlineStr">
        <is>
          <t>LT</t>
        </is>
      </c>
      <c r="B1490" t="inlineStr">
        <is>
          <t>Bull</t>
        </is>
      </c>
      <c r="C1490" t="n">
        <v>3698.7</v>
      </c>
      <c r="D1490" s="22" t="n">
        <v>45623</v>
      </c>
      <c r="E1490" t="n">
        <v>3659.9</v>
      </c>
      <c r="F1490" s="22" t="n">
        <v>45660</v>
      </c>
      <c r="G1490" t="n">
        <v>-1.049017222267276</v>
      </c>
    </row>
    <row r="1491">
      <c r="A1491" t="inlineStr">
        <is>
          <t>LT</t>
        </is>
      </c>
      <c r="B1491" t="inlineStr">
        <is>
          <t>Bear</t>
        </is>
      </c>
      <c r="C1491" t="n">
        <v>3532.4</v>
      </c>
      <c r="D1491" s="22" t="n">
        <v>45573</v>
      </c>
      <c r="E1491" t="n">
        <v>3753</v>
      </c>
      <c r="F1491" s="22" t="n">
        <v>45621</v>
      </c>
      <c r="G1491" t="n">
        <v>-6.245045861170873</v>
      </c>
    </row>
    <row r="1492">
      <c r="A1492" t="inlineStr">
        <is>
          <t>LT</t>
        </is>
      </c>
      <c r="B1492" t="inlineStr">
        <is>
          <t>Bull</t>
        </is>
      </c>
      <c r="C1492" t="n">
        <v>3683.45</v>
      </c>
      <c r="D1492" s="22" t="n">
        <v>45533</v>
      </c>
      <c r="E1492" t="n">
        <v>3493.95</v>
      </c>
      <c r="F1492" s="22" t="n">
        <v>45569</v>
      </c>
      <c r="G1492" t="n">
        <v>-5.144633427900474</v>
      </c>
    </row>
    <row r="1493">
      <c r="A1493" t="inlineStr">
        <is>
          <t>LT</t>
        </is>
      </c>
      <c r="B1493" t="inlineStr">
        <is>
          <t>Bear</t>
        </is>
      </c>
      <c r="C1493" t="n">
        <v>3555.05</v>
      </c>
      <c r="D1493" s="22" t="n">
        <v>45523</v>
      </c>
      <c r="E1493" t="n">
        <v>3702.7</v>
      </c>
      <c r="F1493" s="22" t="n">
        <v>45531</v>
      </c>
      <c r="G1493" t="n">
        <v>-4.153246789777911</v>
      </c>
    </row>
    <row r="1494">
      <c r="A1494" t="inlineStr">
        <is>
          <t>LT</t>
        </is>
      </c>
      <c r="B1494" t="inlineStr">
        <is>
          <t>Bull</t>
        </is>
      </c>
      <c r="C1494" t="n">
        <v>3669.3</v>
      </c>
      <c r="D1494" s="22" t="n">
        <v>45443</v>
      </c>
      <c r="E1494" t="n">
        <v>3545.2</v>
      </c>
      <c r="F1494" s="22" t="n">
        <v>45518</v>
      </c>
      <c r="G1494" t="n">
        <v>-3.382116479982568</v>
      </c>
    </row>
    <row r="1495">
      <c r="A1495" t="inlineStr">
        <is>
          <t>LT</t>
        </is>
      </c>
      <c r="B1495" t="inlineStr">
        <is>
          <t>Bear</t>
        </is>
      </c>
      <c r="C1495" t="n">
        <v>3486.85</v>
      </c>
      <c r="D1495" s="22" t="n">
        <v>45420</v>
      </c>
      <c r="E1495" t="n">
        <v>3634.8</v>
      </c>
      <c r="F1495" s="22" t="n">
        <v>45441</v>
      </c>
      <c r="G1495" t="n">
        <v>-4.243084732638349</v>
      </c>
    </row>
    <row r="1496">
      <c r="A1496" t="inlineStr">
        <is>
          <t>LT</t>
        </is>
      </c>
      <c r="B1496" t="inlineStr">
        <is>
          <t>Bull</t>
        </is>
      </c>
      <c r="C1496" t="n">
        <v>3655.25</v>
      </c>
      <c r="D1496" s="22" t="n">
        <v>45353</v>
      </c>
      <c r="E1496" t="n">
        <v>3463.3</v>
      </c>
      <c r="F1496" s="22" t="n">
        <v>45418</v>
      </c>
      <c r="G1496" t="n">
        <v>-5.25135079679912</v>
      </c>
    </row>
    <row r="1497">
      <c r="A1497" t="inlineStr">
        <is>
          <t>LT</t>
        </is>
      </c>
      <c r="B1497" t="inlineStr">
        <is>
          <t>Bear</t>
        </is>
      </c>
      <c r="C1497" t="n">
        <v>3356.75</v>
      </c>
      <c r="D1497" s="22" t="n">
        <v>45342</v>
      </c>
      <c r="E1497" t="n">
        <v>3477.55</v>
      </c>
      <c r="F1497" s="22" t="n">
        <v>45351</v>
      </c>
      <c r="G1497" t="n">
        <v>-3.598718999031807</v>
      </c>
    </row>
    <row r="1498">
      <c r="A1498" t="inlineStr">
        <is>
          <t>LT</t>
        </is>
      </c>
      <c r="B1498" t="inlineStr">
        <is>
          <t>Bull</t>
        </is>
      </c>
      <c r="C1498" t="n">
        <v>2340.3</v>
      </c>
      <c r="D1498" s="22" t="n">
        <v>45085</v>
      </c>
      <c r="E1498" t="n">
        <v>3386.75</v>
      </c>
      <c r="F1498" s="22" t="n">
        <v>45338</v>
      </c>
      <c r="G1498" t="n">
        <v>44.71435286074434</v>
      </c>
    </row>
    <row r="1499">
      <c r="A1499" t="inlineStr">
        <is>
          <t>LT</t>
        </is>
      </c>
      <c r="B1499" t="inlineStr">
        <is>
          <t>Bear</t>
        </is>
      </c>
      <c r="C1499" t="n">
        <v>2205.65</v>
      </c>
      <c r="D1499" s="22" t="n">
        <v>45077</v>
      </c>
      <c r="E1499" t="n">
        <v>2277.95</v>
      </c>
      <c r="F1499" s="22" t="n">
        <v>45083</v>
      </c>
      <c r="G1499" t="n">
        <v>-3.277945276902488</v>
      </c>
    </row>
    <row r="1500">
      <c r="A1500" t="inlineStr">
        <is>
          <t>LT</t>
        </is>
      </c>
      <c r="B1500" t="inlineStr">
        <is>
          <t>Bull</t>
        </is>
      </c>
      <c r="C1500" t="n">
        <v>1727.65</v>
      </c>
      <c r="D1500" s="22" t="n">
        <v>44760</v>
      </c>
      <c r="E1500" t="n">
        <v>2224.55</v>
      </c>
      <c r="F1500" s="22" t="n">
        <v>45075</v>
      </c>
      <c r="G1500" t="n">
        <v>28.7616125951437</v>
      </c>
    </row>
    <row r="1501">
      <c r="A1501" t="inlineStr">
        <is>
          <t>LATENTVIEW</t>
        </is>
      </c>
      <c r="B1501" t="inlineStr">
        <is>
          <t>Bull</t>
        </is>
      </c>
      <c r="C1501" t="n">
        <v>516.25</v>
      </c>
      <c r="D1501" s="22" t="n">
        <v>45637</v>
      </c>
      <c r="E1501" t="n">
        <v>501.4</v>
      </c>
      <c r="F1501" s="22" t="n">
        <v>45660</v>
      </c>
      <c r="G1501" t="n">
        <v>-2.876513317191288</v>
      </c>
    </row>
    <row r="1502">
      <c r="A1502" t="inlineStr">
        <is>
          <t>LATENTVIEW</t>
        </is>
      </c>
      <c r="B1502" t="inlineStr">
        <is>
          <t>Bear</t>
        </is>
      </c>
      <c r="C1502" t="n">
        <v>492.55</v>
      </c>
      <c r="D1502" s="22" t="n">
        <v>45516</v>
      </c>
      <c r="E1502" t="n">
        <v>482.5</v>
      </c>
      <c r="F1502" s="22" t="n">
        <v>45635</v>
      </c>
      <c r="G1502" t="n">
        <v>2.040401989645723</v>
      </c>
    </row>
    <row r="1503">
      <c r="A1503" t="inlineStr">
        <is>
          <t>LATENTVIEW</t>
        </is>
      </c>
      <c r="B1503" t="inlineStr">
        <is>
          <t>Bull</t>
        </is>
      </c>
      <c r="C1503" t="n">
        <v>512.4</v>
      </c>
      <c r="D1503" s="22" t="n">
        <v>45456</v>
      </c>
      <c r="E1503" t="n">
        <v>489.85</v>
      </c>
      <c r="F1503" s="22" t="n">
        <v>45512</v>
      </c>
      <c r="G1503" t="n">
        <v>-4.400858704137383</v>
      </c>
    </row>
    <row r="1504">
      <c r="A1504" t="inlineStr">
        <is>
          <t>LATENTVIEW</t>
        </is>
      </c>
      <c r="B1504" t="inlineStr">
        <is>
          <t>Bear</t>
        </is>
      </c>
      <c r="C1504" t="n">
        <v>466.75</v>
      </c>
      <c r="D1504" s="22" t="n">
        <v>45421</v>
      </c>
      <c r="E1504" t="n">
        <v>506.1</v>
      </c>
      <c r="F1504" s="22" t="n">
        <v>45454</v>
      </c>
      <c r="G1504" t="n">
        <v>-8.430637386181045</v>
      </c>
    </row>
    <row r="1505">
      <c r="A1505" t="inlineStr">
        <is>
          <t>LATENTVIEW</t>
        </is>
      </c>
      <c r="B1505" t="inlineStr">
        <is>
          <t>Bull</t>
        </is>
      </c>
      <c r="C1505" t="n">
        <v>541.9</v>
      </c>
      <c r="D1505" s="22" t="n">
        <v>45386</v>
      </c>
      <c r="E1505" t="n">
        <v>473.2</v>
      </c>
      <c r="F1505" s="22" t="n">
        <v>45419</v>
      </c>
      <c r="G1505" t="n">
        <v>-12.67761579627237</v>
      </c>
    </row>
    <row r="1506">
      <c r="A1506" t="inlineStr">
        <is>
          <t>LATENTVIEW</t>
        </is>
      </c>
      <c r="B1506" t="inlineStr">
        <is>
          <t>Bear</t>
        </is>
      </c>
      <c r="C1506" t="n">
        <v>439.75</v>
      </c>
      <c r="D1506" s="22" t="n">
        <v>45369</v>
      </c>
      <c r="E1506" t="n">
        <v>534.8</v>
      </c>
      <c r="F1506" s="22" t="n">
        <v>45384</v>
      </c>
      <c r="G1506" t="n">
        <v>-21.61455372370664</v>
      </c>
    </row>
    <row r="1507">
      <c r="A1507" t="inlineStr">
        <is>
          <t>LATENTVIEW</t>
        </is>
      </c>
      <c r="B1507" t="inlineStr">
        <is>
          <t>Bull</t>
        </is>
      </c>
      <c r="C1507" t="n">
        <v>463.9</v>
      </c>
      <c r="D1507" s="22" t="n">
        <v>45251</v>
      </c>
      <c r="E1507" t="n">
        <v>450.5</v>
      </c>
      <c r="F1507" s="22" t="n">
        <v>45365</v>
      </c>
      <c r="G1507" t="n">
        <v>-2.888553567579215</v>
      </c>
    </row>
    <row r="1508">
      <c r="A1508" t="inlineStr">
        <is>
          <t>LATENTVIEW</t>
        </is>
      </c>
      <c r="B1508" t="inlineStr">
        <is>
          <t>Bear</t>
        </is>
      </c>
      <c r="C1508" t="n">
        <v>411.9</v>
      </c>
      <c r="D1508" s="22" t="n">
        <v>45237</v>
      </c>
      <c r="E1508" t="n">
        <v>412.35</v>
      </c>
      <c r="F1508" s="22" t="n">
        <v>45247</v>
      </c>
      <c r="G1508" t="n">
        <v>-0.1092498179169812</v>
      </c>
    </row>
    <row r="1509">
      <c r="A1509" t="inlineStr">
        <is>
          <t>LATENTVIEW</t>
        </is>
      </c>
      <c r="B1509" t="inlineStr">
        <is>
          <t>Bull</t>
        </is>
      </c>
      <c r="C1509" t="n">
        <v>353.35</v>
      </c>
      <c r="D1509" s="22" t="n">
        <v>45099</v>
      </c>
      <c r="E1509" t="n">
        <v>410.45</v>
      </c>
      <c r="F1509" s="22" t="n">
        <v>45233</v>
      </c>
      <c r="G1509" t="n">
        <v>16.15961511249468</v>
      </c>
    </row>
    <row r="1510">
      <c r="A1510" t="inlineStr">
        <is>
          <t>LATENTVIEW</t>
        </is>
      </c>
      <c r="B1510" t="inlineStr">
        <is>
          <t>Bear</t>
        </is>
      </c>
      <c r="C1510" t="n">
        <v>331.25</v>
      </c>
      <c r="D1510" s="22" t="n">
        <v>45062</v>
      </c>
      <c r="E1510" t="n">
        <v>347.1</v>
      </c>
      <c r="F1510" s="22" t="n">
        <v>45097</v>
      </c>
      <c r="G1510" t="n">
        <v>-4.784905660377365</v>
      </c>
    </row>
    <row r="1511">
      <c r="A1511" t="inlineStr">
        <is>
          <t>LEMONTREE</t>
        </is>
      </c>
      <c r="B1511" t="inlineStr">
        <is>
          <t>Bull</t>
        </is>
      </c>
      <c r="C1511" t="n">
        <v>130.59</v>
      </c>
      <c r="D1511" s="22" t="n">
        <v>45625</v>
      </c>
      <c r="E1511" t="n">
        <v>159.02</v>
      </c>
      <c r="F1511" s="22" t="n">
        <v>45660</v>
      </c>
      <c r="G1511" t="n">
        <v>21.77042652576768</v>
      </c>
    </row>
    <row r="1512">
      <c r="A1512" t="inlineStr">
        <is>
          <t>LEMONTREE</t>
        </is>
      </c>
      <c r="B1512" t="inlineStr">
        <is>
          <t>Bear</t>
        </is>
      </c>
      <c r="C1512" t="n">
        <v>126.24</v>
      </c>
      <c r="D1512" s="22" t="n">
        <v>45512</v>
      </c>
      <c r="E1512" t="n">
        <v>131.05</v>
      </c>
      <c r="F1512" s="22" t="n">
        <v>45623</v>
      </c>
      <c r="G1512" t="n">
        <v>-3.810202788339684</v>
      </c>
    </row>
    <row r="1513">
      <c r="A1513" t="inlineStr">
        <is>
          <t>LEMONTREE</t>
        </is>
      </c>
      <c r="B1513" t="inlineStr">
        <is>
          <t>Bull</t>
        </is>
      </c>
      <c r="C1513" t="n">
        <v>141.5</v>
      </c>
      <c r="D1513" s="22" t="n">
        <v>45387</v>
      </c>
      <c r="E1513" t="n">
        <v>138.25</v>
      </c>
      <c r="F1513" s="22" t="n">
        <v>45510</v>
      </c>
      <c r="G1513" t="n">
        <v>-2.296819787985866</v>
      </c>
    </row>
    <row r="1514">
      <c r="A1514" t="inlineStr">
        <is>
          <t>LEMONTREE</t>
        </is>
      </c>
      <c r="B1514" t="inlineStr">
        <is>
          <t>Bear</t>
        </is>
      </c>
      <c r="C1514" t="n">
        <v>132.6</v>
      </c>
      <c r="D1514" s="22" t="n">
        <v>45373</v>
      </c>
      <c r="E1514" t="n">
        <v>142.85</v>
      </c>
      <c r="F1514" s="22" t="n">
        <v>45385</v>
      </c>
      <c r="G1514" t="n">
        <v>-7.730015082956259</v>
      </c>
    </row>
    <row r="1515">
      <c r="A1515" t="inlineStr">
        <is>
          <t>LEMONTREE</t>
        </is>
      </c>
      <c r="B1515" t="inlineStr">
        <is>
          <t>Bull</t>
        </is>
      </c>
      <c r="C1515" t="n">
        <v>86.75</v>
      </c>
      <c r="D1515" s="22" t="n">
        <v>45036</v>
      </c>
      <c r="E1515" t="n">
        <v>127.8</v>
      </c>
      <c r="F1515" s="22" t="n">
        <v>45371</v>
      </c>
      <c r="G1515" t="n">
        <v>47.31988472622478</v>
      </c>
    </row>
    <row r="1516">
      <c r="A1516" t="inlineStr">
        <is>
          <t>LICHSGFIN</t>
        </is>
      </c>
      <c r="B1516" t="inlineStr">
        <is>
          <t>Bear</t>
        </is>
      </c>
      <c r="C1516" t="n">
        <v>638.15</v>
      </c>
      <c r="D1516" s="22" t="n">
        <v>45513</v>
      </c>
      <c r="E1516" t="n">
        <v>609.45</v>
      </c>
      <c r="F1516" s="22" t="n">
        <v>45660</v>
      </c>
      <c r="G1516" t="n">
        <v>4.497375225260508</v>
      </c>
    </row>
    <row r="1517">
      <c r="A1517" t="inlineStr">
        <is>
          <t>LICHSGFIN</t>
        </is>
      </c>
      <c r="B1517" t="inlineStr">
        <is>
          <t>Bull</t>
        </is>
      </c>
      <c r="C1517" t="n">
        <v>644.3</v>
      </c>
      <c r="D1517" s="22" t="n">
        <v>45387</v>
      </c>
      <c r="E1517" t="n">
        <v>637.15</v>
      </c>
      <c r="F1517" s="22" t="n">
        <v>45511</v>
      </c>
      <c r="G1517" t="n">
        <v>-1.109731491541204</v>
      </c>
    </row>
    <row r="1518">
      <c r="A1518" t="inlineStr">
        <is>
          <t>LICHSGFIN</t>
        </is>
      </c>
      <c r="B1518" t="inlineStr">
        <is>
          <t>Bear</t>
        </is>
      </c>
      <c r="C1518" t="n">
        <v>610.95</v>
      </c>
      <c r="D1518" s="22" t="n">
        <v>45379</v>
      </c>
      <c r="E1518" t="n">
        <v>641.4</v>
      </c>
      <c r="F1518" s="22" t="n">
        <v>45385</v>
      </c>
      <c r="G1518" t="n">
        <v>-4.984041247237896</v>
      </c>
    </row>
    <row r="1519">
      <c r="A1519" t="inlineStr">
        <is>
          <t>LICHSGFIN</t>
        </is>
      </c>
      <c r="B1519" t="inlineStr">
        <is>
          <t>Bull</t>
        </is>
      </c>
      <c r="C1519" t="n">
        <v>372.45</v>
      </c>
      <c r="D1519" s="22" t="n">
        <v>45056</v>
      </c>
      <c r="E1519" t="n">
        <v>592.75</v>
      </c>
      <c r="F1519" s="22" t="n">
        <v>45377</v>
      </c>
      <c r="G1519" t="n">
        <v>59.148879044167</v>
      </c>
    </row>
    <row r="1520">
      <c r="A1520" t="inlineStr">
        <is>
          <t>LIKHITHA</t>
        </is>
      </c>
      <c r="B1520" t="inlineStr">
        <is>
          <t>Bear</t>
        </is>
      </c>
      <c r="C1520" t="n">
        <v>355.2</v>
      </c>
      <c r="D1520" s="22" t="n">
        <v>45653</v>
      </c>
      <c r="E1520" t="n">
        <v>358.6</v>
      </c>
      <c r="F1520" s="22" t="n">
        <v>45660</v>
      </c>
      <c r="G1520" t="n">
        <v>-0.9572072072072169</v>
      </c>
    </row>
    <row r="1521">
      <c r="A1521" t="inlineStr">
        <is>
          <t>LIKHITHA</t>
        </is>
      </c>
      <c r="B1521" t="inlineStr">
        <is>
          <t>Bull</t>
        </is>
      </c>
      <c r="C1521" t="n">
        <v>388.65</v>
      </c>
      <c r="D1521" s="22" t="n">
        <v>45639</v>
      </c>
      <c r="E1521" t="n">
        <v>355.5</v>
      </c>
      <c r="F1521" s="22" t="n">
        <v>45650</v>
      </c>
      <c r="G1521" t="n">
        <v>-8.529525279814738</v>
      </c>
    </row>
    <row r="1522">
      <c r="A1522" t="inlineStr">
        <is>
          <t>LIKHITHA</t>
        </is>
      </c>
      <c r="B1522" t="inlineStr">
        <is>
          <t>Bear</t>
        </is>
      </c>
      <c r="C1522" t="n">
        <v>400.45</v>
      </c>
      <c r="D1522" s="22" t="n">
        <v>45552</v>
      </c>
      <c r="E1522" t="n">
        <v>391.3</v>
      </c>
      <c r="F1522" s="22" t="n">
        <v>45637</v>
      </c>
      <c r="G1522" t="n">
        <v>2.284929454363835</v>
      </c>
    </row>
    <row r="1523">
      <c r="A1523" t="inlineStr">
        <is>
          <t>LIKHITHA</t>
        </is>
      </c>
      <c r="B1523" t="inlineStr">
        <is>
          <t>Bull</t>
        </is>
      </c>
      <c r="C1523" t="n">
        <v>429.4</v>
      </c>
      <c r="D1523" s="22" t="n">
        <v>45537</v>
      </c>
      <c r="E1523" t="n">
        <v>411.35</v>
      </c>
      <c r="F1523" s="22" t="n">
        <v>45548</v>
      </c>
      <c r="G1523" t="n">
        <v>-4.203539823008839</v>
      </c>
    </row>
    <row r="1524">
      <c r="A1524" t="inlineStr">
        <is>
          <t>LIKHITHA</t>
        </is>
      </c>
      <c r="B1524" t="inlineStr">
        <is>
          <t>Bear</t>
        </is>
      </c>
      <c r="C1524" t="n">
        <v>426.5</v>
      </c>
      <c r="D1524" s="22" t="n">
        <v>45523</v>
      </c>
      <c r="E1524" t="n">
        <v>439.05</v>
      </c>
      <c r="F1524" s="22" t="n">
        <v>45533</v>
      </c>
      <c r="G1524" t="n">
        <v>-2.942555685814774</v>
      </c>
    </row>
    <row r="1525">
      <c r="A1525" t="inlineStr">
        <is>
          <t>LIKHITHA</t>
        </is>
      </c>
      <c r="B1525" t="inlineStr">
        <is>
          <t>Bull</t>
        </is>
      </c>
      <c r="C1525" t="n">
        <v>321.4</v>
      </c>
      <c r="D1525" s="22" t="n">
        <v>45401</v>
      </c>
      <c r="E1525" t="n">
        <v>382.65</v>
      </c>
      <c r="F1525" s="22" t="n">
        <v>45518</v>
      </c>
      <c r="G1525" t="n">
        <v>19.05724953329185</v>
      </c>
    </row>
    <row r="1526">
      <c r="A1526" t="inlineStr">
        <is>
          <t>LIKHITHA</t>
        </is>
      </c>
      <c r="B1526" t="inlineStr">
        <is>
          <t>Bear</t>
        </is>
      </c>
      <c r="C1526" t="n">
        <v>300.95</v>
      </c>
      <c r="D1526" s="22" t="n">
        <v>45233</v>
      </c>
      <c r="E1526" t="n">
        <v>279.6</v>
      </c>
      <c r="F1526" s="22" t="n">
        <v>45398</v>
      </c>
      <c r="G1526" t="n">
        <v>7.094201694633649</v>
      </c>
    </row>
    <row r="1527">
      <c r="A1527" t="inlineStr">
        <is>
          <t>LIKHITHA</t>
        </is>
      </c>
      <c r="B1527" t="inlineStr">
        <is>
          <t>Bull</t>
        </is>
      </c>
      <c r="C1527" t="n">
        <v>276.95</v>
      </c>
      <c r="D1527" s="22" t="n">
        <v>45125</v>
      </c>
      <c r="E1527" t="n">
        <v>294.05</v>
      </c>
      <c r="F1527" s="22" t="n">
        <v>45231</v>
      </c>
      <c r="G1527" t="n">
        <v>6.174399711139203</v>
      </c>
    </row>
    <row r="1528">
      <c r="A1528" t="inlineStr">
        <is>
          <t>LIKHITHA</t>
        </is>
      </c>
      <c r="B1528" t="inlineStr">
        <is>
          <t>Bear</t>
        </is>
      </c>
      <c r="C1528" t="n">
        <v>260.7</v>
      </c>
      <c r="D1528" s="22" t="n">
        <v>45097</v>
      </c>
      <c r="E1528" t="n">
        <v>271.25</v>
      </c>
      <c r="F1528" s="22" t="n">
        <v>45121</v>
      </c>
      <c r="G1528" t="n">
        <v>-4.046797084771772</v>
      </c>
    </row>
    <row r="1529">
      <c r="A1529" t="inlineStr">
        <is>
          <t>LIKHITHA</t>
        </is>
      </c>
      <c r="B1529" t="inlineStr">
        <is>
          <t>Bull</t>
        </is>
      </c>
      <c r="C1529" t="n">
        <v>152.65</v>
      </c>
      <c r="D1529" s="22" t="n">
        <v>44802</v>
      </c>
      <c r="E1529" t="n">
        <v>258.75</v>
      </c>
      <c r="F1529" s="22" t="n">
        <v>45093</v>
      </c>
      <c r="G1529" t="n">
        <v>69.50540452014411</v>
      </c>
    </row>
    <row r="1530">
      <c r="A1530" t="inlineStr">
        <is>
          <t>LINCOLN</t>
        </is>
      </c>
      <c r="B1530" t="inlineStr">
        <is>
          <t>Bull</t>
        </is>
      </c>
      <c r="C1530" t="n">
        <v>922.95</v>
      </c>
      <c r="D1530" s="22" t="n">
        <v>45631</v>
      </c>
      <c r="E1530" t="n">
        <v>854.55</v>
      </c>
      <c r="F1530" s="22" t="n">
        <v>45660</v>
      </c>
      <c r="G1530" t="n">
        <v>-7.411019015114588</v>
      </c>
    </row>
    <row r="1531">
      <c r="A1531" t="inlineStr">
        <is>
          <t>LINCOLN</t>
        </is>
      </c>
      <c r="B1531" t="inlineStr">
        <is>
          <t>Bear</t>
        </is>
      </c>
      <c r="C1531" t="n">
        <v>683</v>
      </c>
      <c r="D1531" s="22" t="n">
        <v>45576</v>
      </c>
      <c r="E1531" t="n">
        <v>763.2</v>
      </c>
      <c r="F1531" s="22" t="n">
        <v>45629</v>
      </c>
      <c r="G1531" t="n">
        <v>-11.74231332357248</v>
      </c>
    </row>
    <row r="1532">
      <c r="A1532" t="inlineStr">
        <is>
          <t>LINCOLN</t>
        </is>
      </c>
      <c r="B1532" t="inlineStr">
        <is>
          <t>Bull</t>
        </is>
      </c>
      <c r="C1532" t="n">
        <v>609.65</v>
      </c>
      <c r="D1532" s="22" t="n">
        <v>45461</v>
      </c>
      <c r="E1532" t="n">
        <v>685.45</v>
      </c>
      <c r="F1532" s="22" t="n">
        <v>45574</v>
      </c>
      <c r="G1532" t="n">
        <v>12.43336340523252</v>
      </c>
    </row>
    <row r="1533">
      <c r="A1533" t="inlineStr">
        <is>
          <t>LINCOLN</t>
        </is>
      </c>
      <c r="B1533" t="inlineStr">
        <is>
          <t>Bear</t>
        </is>
      </c>
      <c r="C1533" t="n">
        <v>580</v>
      </c>
      <c r="D1533" s="22" t="n">
        <v>45365</v>
      </c>
      <c r="E1533" t="n">
        <v>620.6</v>
      </c>
      <c r="F1533" s="22" t="n">
        <v>45456</v>
      </c>
      <c r="G1533" t="n">
        <v>-7.000000000000004</v>
      </c>
    </row>
    <row r="1534">
      <c r="A1534" t="inlineStr">
        <is>
          <t>LINCOLN</t>
        </is>
      </c>
      <c r="B1534" t="inlineStr">
        <is>
          <t>Bull</t>
        </is>
      </c>
      <c r="C1534" t="n">
        <v>350.25</v>
      </c>
      <c r="D1534" s="22" t="n">
        <v>45007</v>
      </c>
      <c r="E1534" t="n">
        <v>604.65</v>
      </c>
      <c r="F1534" s="22" t="n">
        <v>45363</v>
      </c>
      <c r="G1534" t="n">
        <v>72.63383297644539</v>
      </c>
    </row>
    <row r="1535">
      <c r="A1535" t="inlineStr">
        <is>
          <t>LUPIN</t>
        </is>
      </c>
      <c r="B1535" t="inlineStr">
        <is>
          <t>Bull</t>
        </is>
      </c>
      <c r="C1535" t="n">
        <v>2182.1</v>
      </c>
      <c r="D1535" s="22" t="n">
        <v>45652</v>
      </c>
      <c r="E1535" t="n">
        <v>2368.85</v>
      </c>
      <c r="F1535" s="22" t="n">
        <v>45660</v>
      </c>
      <c r="G1535" t="n">
        <v>8.558269556848908</v>
      </c>
    </row>
    <row r="1536">
      <c r="A1536" t="inlineStr">
        <is>
          <t>LUPIN</t>
        </is>
      </c>
      <c r="B1536" t="inlineStr">
        <is>
          <t>Bear</t>
        </is>
      </c>
      <c r="C1536" t="n">
        <v>2015.85</v>
      </c>
      <c r="D1536" s="22" t="n">
        <v>45610</v>
      </c>
      <c r="E1536" t="n">
        <v>2160.3</v>
      </c>
      <c r="F1536" s="22" t="n">
        <v>45649</v>
      </c>
      <c r="G1536" t="n">
        <v>-7.16571173450407</v>
      </c>
    </row>
    <row r="1537">
      <c r="A1537" t="inlineStr">
        <is>
          <t>LUPIN</t>
        </is>
      </c>
      <c r="B1537" t="inlineStr">
        <is>
          <t>Bull</t>
        </is>
      </c>
      <c r="C1537" t="n">
        <v>1770.2</v>
      </c>
      <c r="D1537" s="22" t="n">
        <v>45478</v>
      </c>
      <c r="E1537" t="n">
        <v>2090.1</v>
      </c>
      <c r="F1537" s="22" t="n">
        <v>45608</v>
      </c>
      <c r="G1537" t="n">
        <v>18.07140436108914</v>
      </c>
    </row>
    <row r="1538">
      <c r="A1538" t="inlineStr">
        <is>
          <t>LUPIN</t>
        </is>
      </c>
      <c r="B1538" t="inlineStr">
        <is>
          <t>Bear</t>
        </is>
      </c>
      <c r="C1538" t="n">
        <v>1572.3</v>
      </c>
      <c r="D1538" s="22" t="n">
        <v>45462</v>
      </c>
      <c r="E1538" t="n">
        <v>1630.6</v>
      </c>
      <c r="F1538" s="22" t="n">
        <v>45476</v>
      </c>
      <c r="G1538" t="n">
        <v>-3.707943776632955</v>
      </c>
    </row>
    <row r="1539">
      <c r="A1539" t="inlineStr">
        <is>
          <t>LUPIN</t>
        </is>
      </c>
      <c r="B1539" t="inlineStr">
        <is>
          <t>Bull</t>
        </is>
      </c>
      <c r="C1539" t="n">
        <v>693.75</v>
      </c>
      <c r="D1539" s="22" t="n">
        <v>45043</v>
      </c>
      <c r="E1539" t="n">
        <v>1604.1</v>
      </c>
      <c r="F1539" s="22" t="n">
        <v>45457</v>
      </c>
      <c r="G1539" t="n">
        <v>131.2216216216216</v>
      </c>
    </row>
    <row r="1540">
      <c r="A1540" t="inlineStr">
        <is>
          <t>M&amp;M</t>
        </is>
      </c>
      <c r="B1540" t="inlineStr">
        <is>
          <t>Bull</t>
        </is>
      </c>
      <c r="C1540" t="n">
        <v>2985.2</v>
      </c>
      <c r="D1540" s="22" t="n">
        <v>45622</v>
      </c>
      <c r="E1540" t="n">
        <v>3190.55</v>
      </c>
      <c r="F1540" s="22" t="n">
        <v>45660</v>
      </c>
      <c r="G1540" t="n">
        <v>6.878936084684456</v>
      </c>
    </row>
    <row r="1541">
      <c r="A1541" t="inlineStr">
        <is>
          <t>M&amp;M</t>
        </is>
      </c>
      <c r="B1541" t="inlineStr">
        <is>
          <t>Bear</t>
        </is>
      </c>
      <c r="C1541" t="n">
        <v>2728.55</v>
      </c>
      <c r="D1541" s="22" t="n">
        <v>45596</v>
      </c>
      <c r="E1541" t="n">
        <v>3012.95</v>
      </c>
      <c r="F1541" s="22" t="n">
        <v>45618</v>
      </c>
      <c r="G1541" t="n">
        <v>-10.42311850616627</v>
      </c>
    </row>
    <row r="1542">
      <c r="A1542" t="inlineStr">
        <is>
          <t>M&amp;M</t>
        </is>
      </c>
      <c r="B1542" t="inlineStr">
        <is>
          <t>Bull</t>
        </is>
      </c>
      <c r="C1542" t="n">
        <v>3049.8</v>
      </c>
      <c r="D1542" s="22" t="n">
        <v>45558</v>
      </c>
      <c r="E1542" t="n">
        <v>2746.9</v>
      </c>
      <c r="F1542" s="22" t="n">
        <v>45594</v>
      </c>
      <c r="G1542" t="n">
        <v>-9.931798806479115</v>
      </c>
    </row>
    <row r="1543">
      <c r="A1543" t="inlineStr">
        <is>
          <t>M&amp;M</t>
        </is>
      </c>
      <c r="B1543" t="inlineStr">
        <is>
          <t>Bear</t>
        </is>
      </c>
      <c r="C1543" t="n">
        <v>2740.9</v>
      </c>
      <c r="D1543" s="22" t="n">
        <v>45547</v>
      </c>
      <c r="E1543" t="n">
        <v>2797.5</v>
      </c>
      <c r="F1543" s="22" t="n">
        <v>45554</v>
      </c>
      <c r="G1543" t="n">
        <v>-2.065015141012073</v>
      </c>
    </row>
    <row r="1544">
      <c r="A1544" t="inlineStr">
        <is>
          <t>M&amp;M</t>
        </is>
      </c>
      <c r="B1544" t="inlineStr">
        <is>
          <t>Bull</t>
        </is>
      </c>
      <c r="C1544" t="n">
        <v>1545.85</v>
      </c>
      <c r="D1544" s="22" t="n">
        <v>45253</v>
      </c>
      <c r="E1544" t="n">
        <v>2690</v>
      </c>
      <c r="F1544" s="22" t="n">
        <v>45545</v>
      </c>
      <c r="G1544" t="n">
        <v>74.01429634181844</v>
      </c>
    </row>
    <row r="1545">
      <c r="A1545" t="inlineStr">
        <is>
          <t>M&amp;M</t>
        </is>
      </c>
      <c r="B1545" t="inlineStr">
        <is>
          <t>Bear</t>
        </is>
      </c>
      <c r="C1545" t="n">
        <v>1454.6</v>
      </c>
      <c r="D1545" s="22" t="n">
        <v>45231</v>
      </c>
      <c r="E1545" t="n">
        <v>1559.75</v>
      </c>
      <c r="F1545" s="22" t="n">
        <v>45251</v>
      </c>
      <c r="G1545" t="n">
        <v>-7.228791420321745</v>
      </c>
    </row>
    <row r="1546">
      <c r="A1546" t="inlineStr">
        <is>
          <t>M&amp;M</t>
        </is>
      </c>
      <c r="B1546" t="inlineStr">
        <is>
          <t>Bull</t>
        </is>
      </c>
      <c r="C1546" t="n">
        <v>1285.65</v>
      </c>
      <c r="D1546" s="22" t="n">
        <v>45061</v>
      </c>
      <c r="E1546" t="n">
        <v>1497.8</v>
      </c>
      <c r="F1546" s="22" t="n">
        <v>45229</v>
      </c>
      <c r="G1546" t="n">
        <v>16.50138062458677</v>
      </c>
    </row>
    <row r="1547">
      <c r="A1547" t="inlineStr">
        <is>
          <t>MMFL</t>
        </is>
      </c>
      <c r="B1547" t="inlineStr">
        <is>
          <t>Bear</t>
        </is>
      </c>
      <c r="C1547" t="n">
        <v>474.5</v>
      </c>
      <c r="D1547" s="22" t="n">
        <v>45653</v>
      </c>
      <c r="E1547" t="n">
        <v>449.75</v>
      </c>
      <c r="F1547" s="22" t="n">
        <v>45660</v>
      </c>
      <c r="G1547" t="n">
        <v>5.216016859852476</v>
      </c>
    </row>
    <row r="1548">
      <c r="A1548" t="inlineStr">
        <is>
          <t>MMFL</t>
        </is>
      </c>
      <c r="B1548" t="inlineStr">
        <is>
          <t>Bull</t>
        </is>
      </c>
      <c r="C1548" t="n">
        <v>561.05</v>
      </c>
      <c r="D1548" s="22" t="n">
        <v>45642</v>
      </c>
      <c r="E1548" t="n">
        <v>487.95</v>
      </c>
      <c r="F1548" s="22" t="n">
        <v>45650</v>
      </c>
      <c r="G1548" t="n">
        <v>-13.02914178771945</v>
      </c>
    </row>
    <row r="1549">
      <c r="A1549" t="inlineStr">
        <is>
          <t>MMFL</t>
        </is>
      </c>
      <c r="B1549" t="inlineStr">
        <is>
          <t>Bear</t>
        </is>
      </c>
      <c r="C1549" t="n">
        <v>545.95</v>
      </c>
      <c r="D1549" s="22" t="n">
        <v>45512</v>
      </c>
      <c r="E1549" t="n">
        <v>540.55</v>
      </c>
      <c r="F1549" s="22" t="n">
        <v>45638</v>
      </c>
      <c r="G1549" t="n">
        <v>0.9891015660774962</v>
      </c>
    </row>
    <row r="1550">
      <c r="A1550" t="inlineStr">
        <is>
          <t>MMFL</t>
        </is>
      </c>
      <c r="B1550" t="inlineStr">
        <is>
          <t>Bull</t>
        </is>
      </c>
      <c r="C1550" t="n">
        <v>527</v>
      </c>
      <c r="D1550" s="22" t="n">
        <v>45405</v>
      </c>
      <c r="E1550" t="n">
        <v>551.35</v>
      </c>
      <c r="F1550" s="22" t="n">
        <v>45510</v>
      </c>
      <c r="G1550" t="n">
        <v>4.62049335863378</v>
      </c>
    </row>
    <row r="1551">
      <c r="A1551" t="inlineStr">
        <is>
          <t>MMFL</t>
        </is>
      </c>
      <c r="B1551" t="inlineStr">
        <is>
          <t>Bear</t>
        </is>
      </c>
      <c r="C1551" t="n">
        <v>458.53</v>
      </c>
      <c r="D1551" s="22" t="n">
        <v>45356</v>
      </c>
      <c r="E1551" t="n">
        <v>528.88</v>
      </c>
      <c r="F1551" s="22" t="n">
        <v>45401</v>
      </c>
      <c r="G1551" t="n">
        <v>-15.34250757856629</v>
      </c>
    </row>
    <row r="1552">
      <c r="A1552" t="inlineStr">
        <is>
          <t>MMFL</t>
        </is>
      </c>
      <c r="B1552" t="inlineStr">
        <is>
          <t>Bull</t>
        </is>
      </c>
      <c r="C1552" t="n">
        <v>482.53</v>
      </c>
      <c r="D1552" s="22" t="n">
        <v>45345</v>
      </c>
      <c r="E1552" t="n">
        <v>463.28</v>
      </c>
      <c r="F1552" s="22" t="n">
        <v>45353</v>
      </c>
      <c r="G1552" t="n">
        <v>-3.989389260771351</v>
      </c>
    </row>
    <row r="1553">
      <c r="A1553" t="inlineStr">
        <is>
          <t>MMFL</t>
        </is>
      </c>
      <c r="B1553" t="inlineStr">
        <is>
          <t>Bear</t>
        </is>
      </c>
      <c r="C1553" t="n">
        <v>456.85</v>
      </c>
      <c r="D1553" s="22" t="n">
        <v>45328</v>
      </c>
      <c r="E1553" t="n">
        <v>485.85</v>
      </c>
      <c r="F1553" s="22" t="n">
        <v>45343</v>
      </c>
      <c r="G1553" t="n">
        <v>-6.34781656999015</v>
      </c>
    </row>
    <row r="1554">
      <c r="A1554" t="inlineStr">
        <is>
          <t>MMFL</t>
        </is>
      </c>
      <c r="B1554" t="inlineStr">
        <is>
          <t>Bull</t>
        </is>
      </c>
      <c r="C1554" t="n">
        <v>507.48</v>
      </c>
      <c r="D1554" s="22" t="n">
        <v>45279</v>
      </c>
      <c r="E1554" t="n">
        <v>464.8</v>
      </c>
      <c r="F1554" s="22" t="n">
        <v>45324</v>
      </c>
      <c r="G1554" t="n">
        <v>-8.410183652557738</v>
      </c>
    </row>
    <row r="1555">
      <c r="A1555" t="inlineStr">
        <is>
          <t>MAHSEAMLES</t>
        </is>
      </c>
      <c r="B1555" t="inlineStr">
        <is>
          <t>Bull</t>
        </is>
      </c>
      <c r="C1555" t="n">
        <v>641.9</v>
      </c>
      <c r="D1555" s="22" t="n">
        <v>45624</v>
      </c>
      <c r="E1555" t="n">
        <v>745.7</v>
      </c>
      <c r="F1555" s="22" t="n">
        <v>45660</v>
      </c>
      <c r="G1555" t="n">
        <v>16.17074310640288</v>
      </c>
    </row>
    <row r="1556">
      <c r="A1556" t="inlineStr">
        <is>
          <t>MAHSEAMLES</t>
        </is>
      </c>
      <c r="B1556" t="inlineStr">
        <is>
          <t>Bear</t>
        </is>
      </c>
      <c r="C1556" t="n">
        <v>636.9</v>
      </c>
      <c r="D1556" s="22" t="n">
        <v>45562</v>
      </c>
      <c r="E1556" t="n">
        <v>650.05</v>
      </c>
      <c r="F1556" s="22" t="n">
        <v>45622</v>
      </c>
      <c r="G1556" t="n">
        <v>-2.064688334118383</v>
      </c>
    </row>
    <row r="1557">
      <c r="A1557" t="inlineStr">
        <is>
          <t>MAHSEAMLES</t>
        </is>
      </c>
      <c r="B1557" t="inlineStr">
        <is>
          <t>Bull</t>
        </is>
      </c>
      <c r="C1557" t="n">
        <v>648.1</v>
      </c>
      <c r="D1557" s="22" t="n">
        <v>45544</v>
      </c>
      <c r="E1557" t="n">
        <v>648.2</v>
      </c>
      <c r="F1557" s="22" t="n">
        <v>45560</v>
      </c>
      <c r="G1557" t="n">
        <v>0.01542971763617077</v>
      </c>
    </row>
    <row r="1558">
      <c r="A1558" t="inlineStr">
        <is>
          <t>MAHSEAMLES</t>
        </is>
      </c>
      <c r="B1558" t="inlineStr">
        <is>
          <t>Bear</t>
        </is>
      </c>
      <c r="C1558" t="n">
        <v>807.8</v>
      </c>
      <c r="D1558" s="22" t="n">
        <v>45364</v>
      </c>
      <c r="E1558" t="n">
        <v>681.5</v>
      </c>
      <c r="F1558" s="22" t="n">
        <v>45540</v>
      </c>
      <c r="G1558" t="n">
        <v>15.63505818271849</v>
      </c>
    </row>
    <row r="1559">
      <c r="A1559" t="inlineStr">
        <is>
          <t>MAHSEAMLES</t>
        </is>
      </c>
      <c r="B1559" t="inlineStr">
        <is>
          <t>Bull</t>
        </is>
      </c>
      <c r="C1559" t="n">
        <v>341.2</v>
      </c>
      <c r="D1559" s="22" t="n">
        <v>45001</v>
      </c>
      <c r="E1559" t="n">
        <v>908.1</v>
      </c>
      <c r="F1559" s="22" t="n">
        <v>45362</v>
      </c>
      <c r="G1559" t="n">
        <v>166.1488862837046</v>
      </c>
    </row>
    <row r="1560">
      <c r="A1560" t="inlineStr">
        <is>
          <t>MAITHANALL</t>
        </is>
      </c>
      <c r="B1560" t="inlineStr">
        <is>
          <t>Bull</t>
        </is>
      </c>
      <c r="C1560" t="n">
        <v>1131</v>
      </c>
      <c r="D1560" s="22" t="n">
        <v>45631</v>
      </c>
      <c r="E1560" t="n">
        <v>1160.6</v>
      </c>
      <c r="F1560" s="22" t="n">
        <v>45660</v>
      </c>
      <c r="G1560" t="n">
        <v>2.61715296198054</v>
      </c>
    </row>
    <row r="1561">
      <c r="A1561" t="inlineStr">
        <is>
          <t>MAITHANALL</t>
        </is>
      </c>
      <c r="B1561" t="inlineStr">
        <is>
          <t>Bear</t>
        </is>
      </c>
      <c r="C1561" t="n">
        <v>1084.55</v>
      </c>
      <c r="D1561" s="22" t="n">
        <v>45576</v>
      </c>
      <c r="E1561" t="n">
        <v>1133.45</v>
      </c>
      <c r="F1561" s="22" t="n">
        <v>45629</v>
      </c>
      <c r="G1561" t="n">
        <v>-4.508782444331759</v>
      </c>
    </row>
    <row r="1562">
      <c r="A1562" t="inlineStr">
        <is>
          <t>MAITHANALL</t>
        </is>
      </c>
      <c r="B1562" t="inlineStr">
        <is>
          <t>Bull</t>
        </is>
      </c>
      <c r="C1562" t="n">
        <v>1204.7</v>
      </c>
      <c r="D1562" s="22" t="n">
        <v>45559</v>
      </c>
      <c r="E1562" t="n">
        <v>1077.7</v>
      </c>
      <c r="F1562" s="22" t="n">
        <v>45574</v>
      </c>
      <c r="G1562" t="n">
        <v>-10.54204366232257</v>
      </c>
    </row>
    <row r="1563">
      <c r="A1563" t="inlineStr">
        <is>
          <t>MAITHANALL</t>
        </is>
      </c>
      <c r="B1563" t="inlineStr">
        <is>
          <t>Bear</t>
        </is>
      </c>
      <c r="C1563" t="n">
        <v>1157.75</v>
      </c>
      <c r="D1563" s="22" t="n">
        <v>45497</v>
      </c>
      <c r="E1563" t="n">
        <v>1201.2</v>
      </c>
      <c r="F1563" s="22" t="n">
        <v>45555</v>
      </c>
      <c r="G1563" t="n">
        <v>-3.752969121140146</v>
      </c>
    </row>
    <row r="1564">
      <c r="A1564" t="inlineStr">
        <is>
          <t>MAITHANALL</t>
        </is>
      </c>
      <c r="B1564" t="inlineStr">
        <is>
          <t>Bull</t>
        </is>
      </c>
      <c r="C1564" t="n">
        <v>1151.65</v>
      </c>
      <c r="D1564" s="22" t="n">
        <v>45397</v>
      </c>
      <c r="E1564" t="n">
        <v>1165.8</v>
      </c>
      <c r="F1564" s="22" t="n">
        <v>45495</v>
      </c>
      <c r="G1564" t="n">
        <v>1.228671905526841</v>
      </c>
    </row>
    <row r="1565">
      <c r="A1565" t="inlineStr">
        <is>
          <t>MAITHANALL</t>
        </is>
      </c>
      <c r="B1565" t="inlineStr">
        <is>
          <t>Bear</t>
        </is>
      </c>
      <c r="C1565" t="n">
        <v>1094.15</v>
      </c>
      <c r="D1565" s="22" t="n">
        <v>45321</v>
      </c>
      <c r="E1565" t="n">
        <v>1176.8</v>
      </c>
      <c r="F1565" s="22" t="n">
        <v>45392</v>
      </c>
      <c r="G1565" t="n">
        <v>-7.553808892747782</v>
      </c>
    </row>
    <row r="1566">
      <c r="A1566" t="inlineStr">
        <is>
          <t>MAITHANALL</t>
        </is>
      </c>
      <c r="B1566" t="inlineStr">
        <is>
          <t>Bull</t>
        </is>
      </c>
      <c r="C1566" t="n">
        <v>1087.4</v>
      </c>
      <c r="D1566" s="22" t="n">
        <v>45253</v>
      </c>
      <c r="E1566" t="n">
        <v>1074.6</v>
      </c>
      <c r="F1566" s="22" t="n">
        <v>45316</v>
      </c>
      <c r="G1566" t="n">
        <v>-1.177119735148076</v>
      </c>
    </row>
    <row r="1567">
      <c r="A1567" t="inlineStr">
        <is>
          <t>MAITHANALL</t>
        </is>
      </c>
      <c r="B1567" t="inlineStr">
        <is>
          <t>Bear</t>
        </is>
      </c>
      <c r="C1567" t="n">
        <v>1003.75</v>
      </c>
      <c r="D1567" s="22" t="n">
        <v>45203</v>
      </c>
      <c r="E1567" t="n">
        <v>1107.75</v>
      </c>
      <c r="F1567" s="22" t="n">
        <v>45251</v>
      </c>
      <c r="G1567" t="n">
        <v>-10.36114570361146</v>
      </c>
    </row>
    <row r="1568">
      <c r="A1568" t="inlineStr">
        <is>
          <t>MAITHANALL</t>
        </is>
      </c>
      <c r="B1568" t="inlineStr">
        <is>
          <t>Bull</t>
        </is>
      </c>
      <c r="C1568" t="n">
        <v>1133</v>
      </c>
      <c r="D1568" s="22" t="n">
        <v>45176</v>
      </c>
      <c r="E1568" t="n">
        <v>1036.3</v>
      </c>
      <c r="F1568" s="22" t="n">
        <v>45198</v>
      </c>
      <c r="G1568" t="n">
        <v>-8.534863195057374</v>
      </c>
    </row>
    <row r="1569">
      <c r="A1569" t="inlineStr">
        <is>
          <t>MAITHANALL</t>
        </is>
      </c>
      <c r="B1569" t="inlineStr">
        <is>
          <t>Bear</t>
        </is>
      </c>
      <c r="C1569" t="n">
        <v>1011.85</v>
      </c>
      <c r="D1569" s="22" t="n">
        <v>45168</v>
      </c>
      <c r="E1569" t="n">
        <v>1120</v>
      </c>
      <c r="F1569" s="22" t="n">
        <v>45174</v>
      </c>
      <c r="G1569" t="n">
        <v>-10.68834313386371</v>
      </c>
    </row>
    <row r="1570">
      <c r="A1570" t="inlineStr">
        <is>
          <t>MAITHANALL</t>
        </is>
      </c>
      <c r="B1570" t="inlineStr">
        <is>
          <t>Bull</t>
        </is>
      </c>
      <c r="C1570" t="n">
        <v>962.15</v>
      </c>
      <c r="D1570" s="22" t="n">
        <v>45058</v>
      </c>
      <c r="E1570" t="n">
        <v>1005.9</v>
      </c>
      <c r="F1570" s="22" t="n">
        <v>45166</v>
      </c>
      <c r="G1570" t="n">
        <v>4.547108039287013</v>
      </c>
    </row>
    <row r="1571">
      <c r="A1571" t="inlineStr">
        <is>
          <t>MANINFRA</t>
        </is>
      </c>
      <c r="B1571" t="inlineStr">
        <is>
          <t>Bull</t>
        </is>
      </c>
      <c r="C1571" t="n">
        <v>234.2</v>
      </c>
      <c r="D1571" s="22" t="n">
        <v>45625</v>
      </c>
      <c r="E1571" t="n">
        <v>249.81</v>
      </c>
      <c r="F1571" s="22" t="n">
        <v>45660</v>
      </c>
      <c r="G1571" t="n">
        <v>6.665243381725028</v>
      </c>
    </row>
    <row r="1572">
      <c r="A1572" t="inlineStr">
        <is>
          <t>MANINFRA</t>
        </is>
      </c>
      <c r="B1572" t="inlineStr">
        <is>
          <t>Bear</t>
        </is>
      </c>
      <c r="C1572" t="n">
        <v>178.66</v>
      </c>
      <c r="D1572" s="22" t="n">
        <v>45510</v>
      </c>
      <c r="E1572" t="n">
        <v>198.45</v>
      </c>
      <c r="F1572" s="22" t="n">
        <v>45623</v>
      </c>
      <c r="G1572" t="n">
        <v>-11.07690585469607</v>
      </c>
    </row>
    <row r="1573">
      <c r="A1573" t="inlineStr">
        <is>
          <t>MANINFRA</t>
        </is>
      </c>
      <c r="B1573" t="inlineStr">
        <is>
          <t>Bull</t>
        </is>
      </c>
      <c r="C1573" t="n">
        <v>209.42</v>
      </c>
      <c r="D1573" s="22" t="n">
        <v>45502</v>
      </c>
      <c r="E1573" t="n">
        <v>195.72</v>
      </c>
      <c r="F1573" s="22" t="n">
        <v>45506</v>
      </c>
      <c r="G1573" t="n">
        <v>-6.541877566612545</v>
      </c>
    </row>
    <row r="1574">
      <c r="A1574" t="inlineStr">
        <is>
          <t>MANINFRA</t>
        </is>
      </c>
      <c r="B1574" t="inlineStr">
        <is>
          <t>Bear</t>
        </is>
      </c>
      <c r="C1574" t="n">
        <v>197.1</v>
      </c>
      <c r="D1574" s="22" t="n">
        <v>45421</v>
      </c>
      <c r="E1574" t="n">
        <v>204.37</v>
      </c>
      <c r="F1574" s="22" t="n">
        <v>45498</v>
      </c>
      <c r="G1574" t="n">
        <v>-3.688483003551502</v>
      </c>
    </row>
    <row r="1575">
      <c r="A1575" t="inlineStr">
        <is>
          <t>MANINFRA</t>
        </is>
      </c>
      <c r="B1575" t="inlineStr">
        <is>
          <t>Bull</t>
        </is>
      </c>
      <c r="C1575" t="n">
        <v>209.65</v>
      </c>
      <c r="D1575" s="22" t="n">
        <v>45400</v>
      </c>
      <c r="E1575" t="n">
        <v>204.35</v>
      </c>
      <c r="F1575" s="22" t="n">
        <v>45419</v>
      </c>
      <c r="G1575" t="n">
        <v>-2.528022895301699</v>
      </c>
    </row>
    <row r="1576">
      <c r="A1576" t="inlineStr">
        <is>
          <t>MANINFRA</t>
        </is>
      </c>
      <c r="B1576" t="inlineStr">
        <is>
          <t>Bear</t>
        </is>
      </c>
      <c r="C1576" t="n">
        <v>196.1</v>
      </c>
      <c r="D1576" s="22" t="n">
        <v>45362</v>
      </c>
      <c r="E1576" t="n">
        <v>209.7</v>
      </c>
      <c r="F1576" s="22" t="n">
        <v>45397</v>
      </c>
      <c r="G1576" t="n">
        <v>-6.935237123916367</v>
      </c>
    </row>
    <row r="1577">
      <c r="A1577" t="inlineStr">
        <is>
          <t>MANINFRA</t>
        </is>
      </c>
      <c r="B1577" t="inlineStr">
        <is>
          <t>Bull</t>
        </is>
      </c>
      <c r="C1577" t="n">
        <v>186.75</v>
      </c>
      <c r="D1577" s="22" t="n">
        <v>45254</v>
      </c>
      <c r="E1577" t="n">
        <v>204.9</v>
      </c>
      <c r="F1577" s="22" t="n">
        <v>45357</v>
      </c>
      <c r="G1577" t="n">
        <v>9.718875502008036</v>
      </c>
    </row>
    <row r="1578">
      <c r="A1578" t="inlineStr">
        <is>
          <t>MANINFRA</t>
        </is>
      </c>
      <c r="B1578" t="inlineStr">
        <is>
          <t>Bear</t>
        </is>
      </c>
      <c r="C1578" t="n">
        <v>144.6</v>
      </c>
      <c r="D1578" s="22" t="n">
        <v>45247</v>
      </c>
      <c r="E1578" t="n">
        <v>158.75</v>
      </c>
      <c r="F1578" s="22" t="n">
        <v>45252</v>
      </c>
      <c r="G1578" t="n">
        <v>-9.785615491009686</v>
      </c>
    </row>
    <row r="1579">
      <c r="A1579" t="inlineStr">
        <is>
          <t>MANINFRA</t>
        </is>
      </c>
      <c r="B1579" t="inlineStr">
        <is>
          <t>Bull</t>
        </is>
      </c>
      <c r="C1579" t="n">
        <v>82.65000000000001</v>
      </c>
      <c r="D1579" s="22" t="n">
        <v>45037</v>
      </c>
      <c r="E1579" t="n">
        <v>149.1</v>
      </c>
      <c r="F1579" s="22" t="n">
        <v>45245</v>
      </c>
      <c r="G1579" t="n">
        <v>80.39927404718691</v>
      </c>
    </row>
    <row r="1580">
      <c r="A1580" t="inlineStr">
        <is>
          <t>MANAPPURAM</t>
        </is>
      </c>
      <c r="B1580" t="inlineStr">
        <is>
          <t>Bull</t>
        </is>
      </c>
      <c r="C1580" t="n">
        <v>178.77</v>
      </c>
      <c r="D1580" s="22" t="n">
        <v>45644</v>
      </c>
      <c r="E1580" t="n">
        <v>187.72</v>
      </c>
      <c r="F1580" s="22" t="n">
        <v>45660</v>
      </c>
      <c r="G1580" t="n">
        <v>5.006432846674491</v>
      </c>
    </row>
    <row r="1581">
      <c r="A1581" t="inlineStr">
        <is>
          <t>MANAPPURAM</t>
        </is>
      </c>
      <c r="B1581" t="inlineStr">
        <is>
          <t>Bear</t>
        </is>
      </c>
      <c r="C1581" t="n">
        <v>197.47</v>
      </c>
      <c r="D1581" s="22" t="n">
        <v>45566</v>
      </c>
      <c r="E1581" t="n">
        <v>185.03</v>
      </c>
      <c r="F1581" s="22" t="n">
        <v>45642</v>
      </c>
      <c r="G1581" t="n">
        <v>6.299691092317819</v>
      </c>
    </row>
    <row r="1582">
      <c r="A1582" t="inlineStr">
        <is>
          <t>MANAPPURAM</t>
        </is>
      </c>
      <c r="B1582" t="inlineStr">
        <is>
          <t>Bull</t>
        </is>
      </c>
      <c r="C1582" t="n">
        <v>192.85</v>
      </c>
      <c r="D1582" s="22" t="n">
        <v>45463</v>
      </c>
      <c r="E1582" t="n">
        <v>202.64</v>
      </c>
      <c r="F1582" s="22" t="n">
        <v>45562</v>
      </c>
      <c r="G1582" t="n">
        <v>5.076484314233856</v>
      </c>
    </row>
    <row r="1583">
      <c r="A1583" t="inlineStr">
        <is>
          <t>MANAPPURAM</t>
        </is>
      </c>
      <c r="B1583" t="inlineStr">
        <is>
          <t>Bear</t>
        </is>
      </c>
      <c r="C1583" t="n">
        <v>178.55</v>
      </c>
      <c r="D1583" s="22" t="n">
        <v>45435</v>
      </c>
      <c r="E1583" t="n">
        <v>191.74</v>
      </c>
      <c r="F1583" s="22" t="n">
        <v>45461</v>
      </c>
      <c r="G1583" t="n">
        <v>-7.387286474376924</v>
      </c>
    </row>
    <row r="1584">
      <c r="A1584" t="inlineStr">
        <is>
          <t>MANAPPURAM</t>
        </is>
      </c>
      <c r="B1584" t="inlineStr">
        <is>
          <t>Bull</t>
        </is>
      </c>
      <c r="C1584" t="n">
        <v>193.6</v>
      </c>
      <c r="D1584" s="22" t="n">
        <v>45386</v>
      </c>
      <c r="E1584" t="n">
        <v>180.05</v>
      </c>
      <c r="F1584" s="22" t="n">
        <v>45433</v>
      </c>
      <c r="G1584" t="n">
        <v>-6.998966942148751</v>
      </c>
    </row>
    <row r="1585">
      <c r="A1585" t="inlineStr">
        <is>
          <t>MANAPPURAM</t>
        </is>
      </c>
      <c r="B1585" t="inlineStr">
        <is>
          <t>Bear</t>
        </is>
      </c>
      <c r="C1585" t="n">
        <v>165.75</v>
      </c>
      <c r="D1585" s="22" t="n">
        <v>45366</v>
      </c>
      <c r="E1585" t="n">
        <v>183.85</v>
      </c>
      <c r="F1585" s="22" t="n">
        <v>45384</v>
      </c>
      <c r="G1585" t="n">
        <v>-10.92006033182503</v>
      </c>
    </row>
    <row r="1586">
      <c r="A1586" t="inlineStr">
        <is>
          <t>MANAPPURAM</t>
        </is>
      </c>
      <c r="B1586" t="inlineStr">
        <is>
          <t>Bull</t>
        </is>
      </c>
      <c r="C1586" t="n">
        <v>154.95</v>
      </c>
      <c r="D1586" s="22" t="n">
        <v>45247</v>
      </c>
      <c r="E1586" t="n">
        <v>160.3</v>
      </c>
      <c r="F1586" s="22" t="n">
        <v>45364</v>
      </c>
      <c r="G1586" t="n">
        <v>3.452726686027765</v>
      </c>
    </row>
    <row r="1587">
      <c r="A1587" t="inlineStr">
        <is>
          <t>MANAPPURAM</t>
        </is>
      </c>
      <c r="B1587" t="inlineStr">
        <is>
          <t>Bear</t>
        </is>
      </c>
      <c r="C1587" t="n">
        <v>130.6</v>
      </c>
      <c r="D1587" s="22" t="n">
        <v>45225</v>
      </c>
      <c r="E1587" t="n">
        <v>150.5</v>
      </c>
      <c r="F1587" s="22" t="n">
        <v>45245</v>
      </c>
      <c r="G1587" t="n">
        <v>-15.23736600306279</v>
      </c>
    </row>
    <row r="1588">
      <c r="A1588" t="inlineStr">
        <is>
          <t>MANAPPURAM</t>
        </is>
      </c>
      <c r="B1588" t="inlineStr">
        <is>
          <t>Bull</t>
        </is>
      </c>
      <c r="C1588" t="n">
        <v>127.3</v>
      </c>
      <c r="D1588" s="22" t="n">
        <v>45096</v>
      </c>
      <c r="E1588" t="n">
        <v>134.85</v>
      </c>
      <c r="F1588" s="22" t="n">
        <v>45222</v>
      </c>
      <c r="G1588" t="n">
        <v>5.930871956009424</v>
      </c>
    </row>
    <row r="1589">
      <c r="A1589" t="inlineStr">
        <is>
          <t>MANAPPURAM</t>
        </is>
      </c>
      <c r="B1589" t="inlineStr">
        <is>
          <t>Bear</t>
        </is>
      </c>
      <c r="C1589" t="n">
        <v>110.15</v>
      </c>
      <c r="D1589" s="22" t="n">
        <v>45061</v>
      </c>
      <c r="E1589" t="n">
        <v>119.65</v>
      </c>
      <c r="F1589" s="22" t="n">
        <v>45092</v>
      </c>
      <c r="G1589" t="n">
        <v>-8.624602814344076</v>
      </c>
    </row>
    <row r="1590">
      <c r="A1590" t="inlineStr">
        <is>
          <t>MARATHON</t>
        </is>
      </c>
      <c r="B1590" t="inlineStr">
        <is>
          <t>Bull</t>
        </is>
      </c>
      <c r="C1590" t="n">
        <v>606.2</v>
      </c>
      <c r="D1590" s="22" t="n">
        <v>45643</v>
      </c>
      <c r="E1590" t="n">
        <v>623.35</v>
      </c>
      <c r="F1590" s="22" t="n">
        <v>45660</v>
      </c>
      <c r="G1590" t="n">
        <v>2.82909930715935</v>
      </c>
    </row>
    <row r="1591">
      <c r="A1591" t="inlineStr">
        <is>
          <t>MARATHON</t>
        </is>
      </c>
      <c r="B1591" t="inlineStr">
        <is>
          <t>Bear</t>
        </is>
      </c>
      <c r="C1591" t="n">
        <v>569.65</v>
      </c>
      <c r="D1591" s="22" t="n">
        <v>45590</v>
      </c>
      <c r="E1591" t="n">
        <v>602.9</v>
      </c>
      <c r="F1591" s="22" t="n">
        <v>45639</v>
      </c>
      <c r="G1591" t="n">
        <v>-5.836917405424384</v>
      </c>
    </row>
    <row r="1592">
      <c r="A1592" t="inlineStr">
        <is>
          <t>MARATHON</t>
        </is>
      </c>
      <c r="B1592" t="inlineStr">
        <is>
          <t>Bull</t>
        </is>
      </c>
      <c r="C1592" t="n">
        <v>605.05</v>
      </c>
      <c r="D1592" s="22" t="n">
        <v>45461</v>
      </c>
      <c r="E1592" t="n">
        <v>564.5</v>
      </c>
      <c r="F1592" s="22" t="n">
        <v>45588</v>
      </c>
      <c r="G1592" t="n">
        <v>-6.70192546070572</v>
      </c>
    </row>
    <row r="1593">
      <c r="A1593" t="inlineStr">
        <is>
          <t>MARATHON</t>
        </is>
      </c>
      <c r="B1593" t="inlineStr">
        <is>
          <t>Bear</t>
        </is>
      </c>
      <c r="C1593" t="n">
        <v>441.6</v>
      </c>
      <c r="D1593" s="22" t="n">
        <v>45407</v>
      </c>
      <c r="E1593" t="n">
        <v>472.35</v>
      </c>
      <c r="F1593" s="22" t="n">
        <v>45456</v>
      </c>
      <c r="G1593" t="n">
        <v>-6.963315217391304</v>
      </c>
    </row>
    <row r="1594">
      <c r="A1594" t="inlineStr">
        <is>
          <t>MARATHON</t>
        </is>
      </c>
      <c r="B1594" t="inlineStr">
        <is>
          <t>Bull</t>
        </is>
      </c>
      <c r="C1594" t="n">
        <v>486.6</v>
      </c>
      <c r="D1594" s="22" t="n">
        <v>45349</v>
      </c>
      <c r="E1594" t="n">
        <v>437.15</v>
      </c>
      <c r="F1594" s="22" t="n">
        <v>45405</v>
      </c>
      <c r="G1594" t="n">
        <v>-10.16235100698727</v>
      </c>
    </row>
    <row r="1595">
      <c r="A1595" t="inlineStr">
        <is>
          <t>MARATHON</t>
        </is>
      </c>
      <c r="B1595" t="inlineStr">
        <is>
          <t>Bear</t>
        </is>
      </c>
      <c r="C1595" t="n">
        <v>418.05</v>
      </c>
      <c r="D1595" s="22" t="n">
        <v>45286</v>
      </c>
      <c r="E1595" t="n">
        <v>468.75</v>
      </c>
      <c r="F1595" s="22" t="n">
        <v>45345</v>
      </c>
      <c r="G1595" t="n">
        <v>-12.12773591675637</v>
      </c>
    </row>
    <row r="1596">
      <c r="A1596" t="inlineStr">
        <is>
          <t>MARATHON</t>
        </is>
      </c>
      <c r="B1596" t="inlineStr">
        <is>
          <t>Bull</t>
        </is>
      </c>
      <c r="C1596" t="n">
        <v>252.05</v>
      </c>
      <c r="D1596" s="22" t="n">
        <v>44943</v>
      </c>
      <c r="E1596" t="n">
        <v>418</v>
      </c>
      <c r="F1596" s="22" t="n">
        <v>45281</v>
      </c>
      <c r="G1596" t="n">
        <v>65.84011108906962</v>
      </c>
    </row>
    <row r="1597">
      <c r="A1597" t="inlineStr">
        <is>
          <t>MARICO</t>
        </is>
      </c>
      <c r="B1597" t="inlineStr">
        <is>
          <t>Bull</t>
        </is>
      </c>
      <c r="C1597" t="n">
        <v>479.75</v>
      </c>
      <c r="D1597" s="22" t="n">
        <v>45012</v>
      </c>
      <c r="E1597" t="n">
        <v>660.95</v>
      </c>
      <c r="F1597" s="22" t="n">
        <v>45660</v>
      </c>
      <c r="G1597" t="n">
        <v>37.76967170401252</v>
      </c>
    </row>
    <row r="1598">
      <c r="A1598" t="inlineStr">
        <is>
          <t>MARICO</t>
        </is>
      </c>
      <c r="B1598" t="inlineStr">
        <is>
          <t>Bear</t>
        </is>
      </c>
      <c r="C1598" t="n">
        <v>640.1</v>
      </c>
      <c r="D1598" s="22" t="n">
        <v>45590</v>
      </c>
      <c r="E1598" t="n">
        <v>653.35</v>
      </c>
      <c r="F1598" s="22" t="n">
        <v>45659</v>
      </c>
      <c r="G1598" t="n">
        <v>-2.069989064208718</v>
      </c>
    </row>
    <row r="1599">
      <c r="A1599" t="inlineStr">
        <is>
          <t>MARICO</t>
        </is>
      </c>
      <c r="B1599" t="inlineStr">
        <is>
          <t>Bull</t>
        </is>
      </c>
      <c r="C1599" t="n">
        <v>583.5</v>
      </c>
      <c r="D1599" s="22" t="n">
        <v>45419</v>
      </c>
      <c r="E1599" t="n">
        <v>656.6</v>
      </c>
      <c r="F1599" s="22" t="n">
        <v>45588</v>
      </c>
      <c r="G1599" t="n">
        <v>12.52784918594688</v>
      </c>
    </row>
    <row r="1600">
      <c r="A1600" t="inlineStr">
        <is>
          <t>MARICO</t>
        </is>
      </c>
      <c r="B1600" t="inlineStr">
        <is>
          <t>Bear</t>
        </is>
      </c>
      <c r="C1600" t="n">
        <v>529.95</v>
      </c>
      <c r="D1600" s="22" t="n">
        <v>45306</v>
      </c>
      <c r="E1600" t="n">
        <v>516.9</v>
      </c>
      <c r="F1600" s="22" t="n">
        <v>45415</v>
      </c>
      <c r="G1600" t="n">
        <v>2.462496461930384</v>
      </c>
    </row>
    <row r="1601">
      <c r="A1601" t="inlineStr">
        <is>
          <t>MARICO</t>
        </is>
      </c>
      <c r="B1601" t="inlineStr">
        <is>
          <t>Bull</t>
        </is>
      </c>
      <c r="C1601" t="n">
        <v>543.55</v>
      </c>
      <c r="D1601" s="22" t="n">
        <v>45294</v>
      </c>
      <c r="E1601" t="n">
        <v>530.1</v>
      </c>
      <c r="F1601" s="22" t="n">
        <v>45302</v>
      </c>
      <c r="G1601" t="n">
        <v>-2.474473369515212</v>
      </c>
    </row>
    <row r="1602">
      <c r="A1602" t="inlineStr">
        <is>
          <t>MARICO</t>
        </is>
      </c>
      <c r="B1602" t="inlineStr">
        <is>
          <t>Bear</t>
        </is>
      </c>
      <c r="C1602" t="n">
        <v>536.1</v>
      </c>
      <c r="D1602" s="22" t="n">
        <v>45210</v>
      </c>
      <c r="E1602" t="n">
        <v>542.25</v>
      </c>
      <c r="F1602" s="22" t="n">
        <v>45292</v>
      </c>
      <c r="G1602" t="n">
        <v>-1.147174034695015</v>
      </c>
    </row>
    <row r="1603">
      <c r="A1603" t="inlineStr">
        <is>
          <t>MARICO</t>
        </is>
      </c>
      <c r="B1603" t="inlineStr">
        <is>
          <t>Bull</t>
        </is>
      </c>
      <c r="C1603" t="n">
        <v>530.7</v>
      </c>
      <c r="D1603" s="22" t="n">
        <v>45054</v>
      </c>
      <c r="E1603" t="n">
        <v>538.05</v>
      </c>
      <c r="F1603" s="22" t="n">
        <v>45208</v>
      </c>
      <c r="G1603" t="n">
        <v>1.384963256076862</v>
      </c>
    </row>
    <row r="1604">
      <c r="A1604" t="inlineStr">
        <is>
          <t>MATRIMONY</t>
        </is>
      </c>
      <c r="B1604" t="inlineStr">
        <is>
          <t>Bear</t>
        </is>
      </c>
      <c r="C1604" t="n">
        <v>641.4</v>
      </c>
      <c r="D1604" s="22" t="n">
        <v>45614</v>
      </c>
      <c r="E1604" t="n">
        <v>665.55</v>
      </c>
      <c r="F1604" s="22" t="n">
        <v>45660</v>
      </c>
      <c r="G1604" t="n">
        <v>-3.765201122544431</v>
      </c>
    </row>
    <row r="1605">
      <c r="A1605" t="inlineStr">
        <is>
          <t>MATRIMONY</t>
        </is>
      </c>
      <c r="B1605" t="inlineStr">
        <is>
          <t>Bull</t>
        </is>
      </c>
      <c r="C1605" t="n">
        <v>573.15</v>
      </c>
      <c r="D1605" s="22" t="n">
        <v>45391</v>
      </c>
      <c r="E1605" t="n">
        <v>652.6</v>
      </c>
      <c r="F1605" s="22" t="n">
        <v>45609</v>
      </c>
      <c r="G1605" t="n">
        <v>13.86199075285703</v>
      </c>
    </row>
    <row r="1606">
      <c r="A1606" t="inlineStr">
        <is>
          <t>MATRIMONY</t>
        </is>
      </c>
      <c r="B1606" t="inlineStr">
        <is>
          <t>Bear</t>
        </is>
      </c>
      <c r="C1606" t="n">
        <v>537</v>
      </c>
      <c r="D1606" s="22" t="n">
        <v>45316</v>
      </c>
      <c r="E1606" t="n">
        <v>552.75</v>
      </c>
      <c r="F1606" s="22" t="n">
        <v>45387</v>
      </c>
      <c r="G1606" t="n">
        <v>-2.932960893854748</v>
      </c>
    </row>
    <row r="1607">
      <c r="A1607" t="inlineStr">
        <is>
          <t>MATRIMONY</t>
        </is>
      </c>
      <c r="B1607" t="inlineStr">
        <is>
          <t>Bull</t>
        </is>
      </c>
      <c r="C1607" t="n">
        <v>579.7</v>
      </c>
      <c r="D1607" s="22" t="n">
        <v>45300</v>
      </c>
      <c r="E1607" t="n">
        <v>539.15</v>
      </c>
      <c r="F1607" s="22" t="n">
        <v>45314</v>
      </c>
      <c r="G1607" t="n">
        <v>-6.994997412454729</v>
      </c>
    </row>
    <row r="1608">
      <c r="A1608" t="inlineStr">
        <is>
          <t>MATRIMONY</t>
        </is>
      </c>
      <c r="B1608" t="inlineStr">
        <is>
          <t>Bear</t>
        </is>
      </c>
      <c r="C1608" t="n">
        <v>595</v>
      </c>
      <c r="D1608" s="22" t="n">
        <v>45182</v>
      </c>
      <c r="E1608" t="n">
        <v>570.8</v>
      </c>
      <c r="F1608" s="22" t="n">
        <v>45296</v>
      </c>
      <c r="G1608" t="n">
        <v>4.06722689075631</v>
      </c>
    </row>
    <row r="1609">
      <c r="A1609" t="inlineStr">
        <is>
          <t>MATRIMONY</t>
        </is>
      </c>
      <c r="B1609" t="inlineStr">
        <is>
          <t>Bull</t>
        </is>
      </c>
      <c r="C1609" t="n">
        <v>579.85</v>
      </c>
      <c r="D1609" s="22" t="n">
        <v>45056</v>
      </c>
      <c r="E1609" t="n">
        <v>626.25</v>
      </c>
      <c r="F1609" s="22" t="n">
        <v>45180</v>
      </c>
      <c r="G1609" t="n">
        <v>8.002069500732944</v>
      </c>
    </row>
    <row r="1610">
      <c r="A1610" t="inlineStr">
        <is>
          <t>MAXHEALTH</t>
        </is>
      </c>
      <c r="B1610" t="inlineStr">
        <is>
          <t>Bull</t>
        </is>
      </c>
      <c r="C1610" t="n">
        <v>931</v>
      </c>
      <c r="D1610" s="22" t="n">
        <v>45551</v>
      </c>
      <c r="E1610" t="n">
        <v>1178.35</v>
      </c>
      <c r="F1610" s="22" t="n">
        <v>45660</v>
      </c>
      <c r="G1610" t="n">
        <v>26.56820622986035</v>
      </c>
    </row>
    <row r="1611">
      <c r="A1611" t="inlineStr">
        <is>
          <t>MAXHEALTH</t>
        </is>
      </c>
      <c r="B1611" t="inlineStr">
        <is>
          <t>Bear</t>
        </is>
      </c>
      <c r="C1611" t="n">
        <v>868.35</v>
      </c>
      <c r="D1611" s="22" t="n">
        <v>45526</v>
      </c>
      <c r="E1611" t="n">
        <v>913.8</v>
      </c>
      <c r="F1611" s="22" t="n">
        <v>45547</v>
      </c>
      <c r="G1611" t="n">
        <v>-5.234064605285879</v>
      </c>
    </row>
    <row r="1612">
      <c r="A1612" t="inlineStr">
        <is>
          <t>MAXHEALTH</t>
        </is>
      </c>
      <c r="B1612" t="inlineStr">
        <is>
          <t>Bull</t>
        </is>
      </c>
      <c r="C1612" t="n">
        <v>890.05</v>
      </c>
      <c r="D1612" s="22" t="n">
        <v>45456</v>
      </c>
      <c r="E1612" t="n">
        <v>877.55</v>
      </c>
      <c r="F1612" s="22" t="n">
        <v>45524</v>
      </c>
      <c r="G1612" t="n">
        <v>-1.404415482276277</v>
      </c>
    </row>
    <row r="1613">
      <c r="A1613" t="inlineStr">
        <is>
          <t>MAXHEALTH</t>
        </is>
      </c>
      <c r="B1613" t="inlineStr">
        <is>
          <t>Bear</t>
        </is>
      </c>
      <c r="C1613" t="n">
        <v>780.75</v>
      </c>
      <c r="D1613" s="22" t="n">
        <v>45447</v>
      </c>
      <c r="E1613" t="n">
        <v>802.5</v>
      </c>
      <c r="F1613" s="22" t="n">
        <v>45454</v>
      </c>
      <c r="G1613" t="n">
        <v>-2.785782901056676</v>
      </c>
    </row>
    <row r="1614">
      <c r="A1614" t="inlineStr">
        <is>
          <t>MAXHEALTH</t>
        </is>
      </c>
      <c r="B1614" t="inlineStr">
        <is>
          <t>Bull</t>
        </is>
      </c>
      <c r="C1614" t="n">
        <v>819.2</v>
      </c>
      <c r="D1614" s="22" t="n">
        <v>45385</v>
      </c>
      <c r="E1614" t="n">
        <v>751.8</v>
      </c>
      <c r="F1614" s="22" t="n">
        <v>45443</v>
      </c>
      <c r="G1614" t="n">
        <v>-8.227539062500011</v>
      </c>
    </row>
    <row r="1615">
      <c r="A1615" t="inlineStr">
        <is>
          <t>MAXHEALTH</t>
        </is>
      </c>
      <c r="B1615" t="inlineStr">
        <is>
          <t>Bear</t>
        </is>
      </c>
      <c r="C1615" t="n">
        <v>757.85</v>
      </c>
      <c r="D1615" s="22" t="n">
        <v>45371</v>
      </c>
      <c r="E1615" t="n">
        <v>817.25</v>
      </c>
      <c r="F1615" s="22" t="n">
        <v>45383</v>
      </c>
      <c r="G1615" t="n">
        <v>-7.837962657517976</v>
      </c>
    </row>
    <row r="1616">
      <c r="A1616" t="inlineStr">
        <is>
          <t>MAXHEALTH</t>
        </is>
      </c>
      <c r="B1616" t="inlineStr">
        <is>
          <t>Bull</t>
        </is>
      </c>
      <c r="C1616" t="n">
        <v>578.15</v>
      </c>
      <c r="D1616" s="22" t="n">
        <v>45233</v>
      </c>
      <c r="E1616" t="n">
        <v>730.45</v>
      </c>
      <c r="F1616" s="22" t="n">
        <v>45369</v>
      </c>
      <c r="G1616" t="n">
        <v>26.34264464239385</v>
      </c>
    </row>
    <row r="1617">
      <c r="A1617" t="inlineStr">
        <is>
          <t>MAXHEALTH</t>
        </is>
      </c>
      <c r="B1617" t="inlineStr">
        <is>
          <t>Bear</t>
        </is>
      </c>
      <c r="C1617" t="n">
        <v>563.8</v>
      </c>
      <c r="D1617" s="22" t="n">
        <v>45226</v>
      </c>
      <c r="E1617" t="n">
        <v>576.45</v>
      </c>
      <c r="F1617" s="22" t="n">
        <v>45231</v>
      </c>
      <c r="G1617" t="n">
        <v>-2.243703440936518</v>
      </c>
    </row>
    <row r="1618">
      <c r="A1618" t="inlineStr">
        <is>
          <t>MAXHEALTH</t>
        </is>
      </c>
      <c r="B1618" t="inlineStr">
        <is>
          <t>Bull</t>
        </is>
      </c>
      <c r="C1618" t="n">
        <v>581.5</v>
      </c>
      <c r="D1618" s="22" t="n">
        <v>45218</v>
      </c>
      <c r="E1618" t="n">
        <v>569.1</v>
      </c>
      <c r="F1618" s="22" t="n">
        <v>45224</v>
      </c>
      <c r="G1618" t="n">
        <v>-2.13241616509028</v>
      </c>
    </row>
    <row r="1619">
      <c r="A1619" t="inlineStr">
        <is>
          <t>MAXHEALTH</t>
        </is>
      </c>
      <c r="B1619" t="inlineStr">
        <is>
          <t>Bear</t>
        </is>
      </c>
      <c r="C1619" t="n">
        <v>566.05</v>
      </c>
      <c r="D1619" s="22" t="n">
        <v>45195</v>
      </c>
      <c r="E1619" t="n">
        <v>573.9</v>
      </c>
      <c r="F1619" s="22" t="n">
        <v>45216</v>
      </c>
      <c r="G1619" t="n">
        <v>-1.386803285928809</v>
      </c>
    </row>
    <row r="1620">
      <c r="A1620" t="inlineStr">
        <is>
          <t>MAXHEALTH</t>
        </is>
      </c>
      <c r="B1620" t="inlineStr">
        <is>
          <t>Bull</t>
        </is>
      </c>
      <c r="C1620" t="n">
        <v>602.95</v>
      </c>
      <c r="D1620" s="22" t="n">
        <v>45176</v>
      </c>
      <c r="E1620" t="n">
        <v>543.25</v>
      </c>
      <c r="F1620" s="22" t="n">
        <v>45191</v>
      </c>
      <c r="G1620" t="n">
        <v>-9.901318517289997</v>
      </c>
    </row>
    <row r="1621">
      <c r="A1621" t="inlineStr">
        <is>
          <t>MAXHEALTH</t>
        </is>
      </c>
      <c r="B1621" t="inlineStr">
        <is>
          <t>Bear</t>
        </is>
      </c>
      <c r="C1621" t="n">
        <v>522.85</v>
      </c>
      <c r="D1621" s="22" t="n">
        <v>45152</v>
      </c>
      <c r="E1621" t="n">
        <v>594.45</v>
      </c>
      <c r="F1621" s="22" t="n">
        <v>45174</v>
      </c>
      <c r="G1621" t="n">
        <v>-13.69417614994741</v>
      </c>
    </row>
    <row r="1622">
      <c r="A1622" t="inlineStr">
        <is>
          <t>MAXHEALTH</t>
        </is>
      </c>
      <c r="B1622" t="inlineStr">
        <is>
          <t>Bull</t>
        </is>
      </c>
      <c r="C1622" t="n">
        <v>468.65</v>
      </c>
      <c r="D1622" s="22" t="n">
        <v>44999</v>
      </c>
      <c r="E1622" t="n">
        <v>536.3</v>
      </c>
      <c r="F1622" s="22" t="n">
        <v>45148</v>
      </c>
      <c r="G1622" t="n">
        <v>14.43507948362317</v>
      </c>
    </row>
    <row r="1623">
      <c r="A1623" t="inlineStr">
        <is>
          <t>MAYURUNIQ</t>
        </is>
      </c>
      <c r="B1623" t="inlineStr">
        <is>
          <t>Bull</t>
        </is>
      </c>
      <c r="C1623" t="n">
        <v>613.5</v>
      </c>
      <c r="D1623" s="22" t="n">
        <v>45644</v>
      </c>
      <c r="E1623" t="n">
        <v>609.05</v>
      </c>
      <c r="F1623" s="22" t="n">
        <v>45660</v>
      </c>
      <c r="G1623" t="n">
        <v>-0.7253463732681411</v>
      </c>
    </row>
    <row r="1624">
      <c r="A1624" t="inlineStr">
        <is>
          <t>MAYURUNIQ</t>
        </is>
      </c>
      <c r="B1624" t="inlineStr">
        <is>
          <t>Bear</t>
        </is>
      </c>
      <c r="C1624" t="n">
        <v>578.8</v>
      </c>
      <c r="D1624" s="22" t="n">
        <v>45614</v>
      </c>
      <c r="E1624" t="n">
        <v>638.4</v>
      </c>
      <c r="F1624" s="22" t="n">
        <v>45642</v>
      </c>
      <c r="G1624" t="n">
        <v>-10.29716655148584</v>
      </c>
    </row>
    <row r="1625">
      <c r="A1625" t="inlineStr">
        <is>
          <t>MAYURUNIQ</t>
        </is>
      </c>
      <c r="B1625" t="inlineStr">
        <is>
          <t>Bull</t>
        </is>
      </c>
      <c r="C1625" t="n">
        <v>607.2</v>
      </c>
      <c r="D1625" s="22" t="n">
        <v>45607</v>
      </c>
      <c r="E1625" t="n">
        <v>582.05</v>
      </c>
      <c r="F1625" s="22" t="n">
        <v>45609</v>
      </c>
      <c r="G1625" t="n">
        <v>-4.141963109354428</v>
      </c>
    </row>
    <row r="1626">
      <c r="A1626" t="inlineStr">
        <is>
          <t>MAYURUNIQ</t>
        </is>
      </c>
      <c r="B1626" t="inlineStr">
        <is>
          <t>Bear</t>
        </is>
      </c>
      <c r="C1626" t="n">
        <v>598.65</v>
      </c>
      <c r="D1626" s="22" t="n">
        <v>45559</v>
      </c>
      <c r="E1626" t="n">
        <v>633</v>
      </c>
      <c r="F1626" s="22" t="n">
        <v>45603</v>
      </c>
      <c r="G1626" t="n">
        <v>-5.737910298170888</v>
      </c>
    </row>
    <row r="1627">
      <c r="A1627" t="inlineStr">
        <is>
          <t>MAYURUNIQ</t>
        </is>
      </c>
      <c r="B1627" t="inlineStr">
        <is>
          <t>Bull</t>
        </is>
      </c>
      <c r="C1627" t="n">
        <v>521</v>
      </c>
      <c r="D1627" s="22" t="n">
        <v>45415</v>
      </c>
      <c r="E1627" t="n">
        <v>621.6</v>
      </c>
      <c r="F1627" s="22" t="n">
        <v>45555</v>
      </c>
      <c r="G1627" t="n">
        <v>19.30902111324377</v>
      </c>
    </row>
    <row r="1628">
      <c r="A1628" t="inlineStr">
        <is>
          <t>MAYURUNIQ</t>
        </is>
      </c>
      <c r="B1628" t="inlineStr">
        <is>
          <t>Bear</t>
        </is>
      </c>
      <c r="C1628" t="n">
        <v>512.4</v>
      </c>
      <c r="D1628" s="22" t="n">
        <v>45335</v>
      </c>
      <c r="E1628" t="n">
        <v>526.4</v>
      </c>
      <c r="F1628" s="22" t="n">
        <v>45412</v>
      </c>
      <c r="G1628" t="n">
        <v>-2.73224043715847</v>
      </c>
    </row>
    <row r="1629">
      <c r="A1629" t="inlineStr">
        <is>
          <t>MAYURUNIQ</t>
        </is>
      </c>
      <c r="B1629" t="inlineStr">
        <is>
          <t>Bull</t>
        </is>
      </c>
      <c r="C1629" t="n">
        <v>532.8</v>
      </c>
      <c r="D1629" s="22" t="n">
        <v>45261</v>
      </c>
      <c r="E1629" t="n">
        <v>528</v>
      </c>
      <c r="F1629" s="22" t="n">
        <v>45331</v>
      </c>
      <c r="G1629" t="n">
        <v>-0.9009009009008924</v>
      </c>
    </row>
    <row r="1630">
      <c r="A1630" t="inlineStr">
        <is>
          <t>MAYURUNIQ</t>
        </is>
      </c>
      <c r="B1630" t="inlineStr">
        <is>
          <t>Bear</t>
        </is>
      </c>
      <c r="C1630" t="n">
        <v>522</v>
      </c>
      <c r="D1630" s="22" t="n">
        <v>45237</v>
      </c>
      <c r="E1630" t="n">
        <v>534.4</v>
      </c>
      <c r="F1630" s="22" t="n">
        <v>45259</v>
      </c>
      <c r="G1630" t="n">
        <v>-2.375478927203061</v>
      </c>
    </row>
    <row r="1631">
      <c r="A1631" t="inlineStr">
        <is>
          <t>MAYURUNIQ</t>
        </is>
      </c>
      <c r="B1631" t="inlineStr">
        <is>
          <t>Bull</t>
        </is>
      </c>
      <c r="C1631" t="n">
        <v>555.55</v>
      </c>
      <c r="D1631" s="22" t="n">
        <v>45208</v>
      </c>
      <c r="E1631" t="n">
        <v>532</v>
      </c>
      <c r="F1631" s="22" t="n">
        <v>45233</v>
      </c>
      <c r="G1631" t="n">
        <v>-4.239042390423896</v>
      </c>
    </row>
    <row r="1632">
      <c r="A1632" t="inlineStr">
        <is>
          <t>MAYURUNIQ</t>
        </is>
      </c>
      <c r="B1632" t="inlineStr">
        <is>
          <t>Bear</t>
        </is>
      </c>
      <c r="C1632" t="n">
        <v>509.1</v>
      </c>
      <c r="D1632" s="22" t="n">
        <v>45194</v>
      </c>
      <c r="E1632" t="n">
        <v>562.5</v>
      </c>
      <c r="F1632" s="22" t="n">
        <v>45204</v>
      </c>
      <c r="G1632" t="n">
        <v>-10.48909840895698</v>
      </c>
    </row>
    <row r="1633">
      <c r="A1633" t="inlineStr">
        <is>
          <t>MAYURUNIQ</t>
        </is>
      </c>
      <c r="B1633" t="inlineStr">
        <is>
          <t>Bull</t>
        </is>
      </c>
      <c r="C1633" t="n">
        <v>508.95</v>
      </c>
      <c r="D1633" s="22" t="n">
        <v>45093</v>
      </c>
      <c r="E1633" t="n">
        <v>498.3</v>
      </c>
      <c r="F1633" s="22" t="n">
        <v>45190</v>
      </c>
      <c r="G1633" t="n">
        <v>-2.092543471853812</v>
      </c>
    </row>
    <row r="1634">
      <c r="A1634" t="inlineStr">
        <is>
          <t>MAYURUNIQ</t>
        </is>
      </c>
      <c r="B1634" t="inlineStr">
        <is>
          <t>Bear</t>
        </is>
      </c>
      <c r="C1634" t="n">
        <v>478.8</v>
      </c>
      <c r="D1634" s="22" t="n">
        <v>45089</v>
      </c>
      <c r="E1634" t="n">
        <v>498.4</v>
      </c>
      <c r="F1634" s="22" t="n">
        <v>45091</v>
      </c>
      <c r="G1634" t="n">
        <v>-4.093567251461981</v>
      </c>
    </row>
    <row r="1635">
      <c r="A1635" t="inlineStr">
        <is>
          <t>MAYURUNIQ</t>
        </is>
      </c>
      <c r="B1635" t="inlineStr">
        <is>
          <t>Bull</t>
        </is>
      </c>
      <c r="C1635" t="n">
        <v>487.05</v>
      </c>
      <c r="D1635" s="22" t="n">
        <v>45035</v>
      </c>
      <c r="E1635" t="n">
        <v>472.25</v>
      </c>
      <c r="F1635" s="22" t="n">
        <v>45085</v>
      </c>
      <c r="G1635" t="n">
        <v>-3.038702391951547</v>
      </c>
    </row>
    <row r="1636">
      <c r="A1636" t="inlineStr">
        <is>
          <t>METROBRAND</t>
        </is>
      </c>
      <c r="B1636" t="inlineStr">
        <is>
          <t>Bull</t>
        </is>
      </c>
      <c r="C1636" t="n">
        <v>1279.35</v>
      </c>
      <c r="D1636" s="22" t="n">
        <v>45635</v>
      </c>
      <c r="E1636" t="n">
        <v>1268.2</v>
      </c>
      <c r="F1636" s="22" t="n">
        <v>45660</v>
      </c>
      <c r="G1636" t="n">
        <v>-0.8715363270410649</v>
      </c>
    </row>
    <row r="1637">
      <c r="A1637" t="inlineStr">
        <is>
          <t>METROBRAND</t>
        </is>
      </c>
      <c r="B1637" t="inlineStr">
        <is>
          <t>Bear</t>
        </is>
      </c>
      <c r="C1637" t="n">
        <v>1264.35</v>
      </c>
      <c r="D1637" s="22" t="n">
        <v>45548</v>
      </c>
      <c r="E1637" t="n">
        <v>1241.55</v>
      </c>
      <c r="F1637" s="22" t="n">
        <v>45631</v>
      </c>
      <c r="G1637" t="n">
        <v>1.803298137382842</v>
      </c>
    </row>
    <row r="1638">
      <c r="A1638" t="inlineStr">
        <is>
          <t>METROBRAND</t>
        </is>
      </c>
      <c r="B1638" t="inlineStr">
        <is>
          <t>Bull</t>
        </is>
      </c>
      <c r="C1638" t="n">
        <v>1125.05</v>
      </c>
      <c r="D1638" s="22" t="n">
        <v>45435</v>
      </c>
      <c r="E1638" t="n">
        <v>1255</v>
      </c>
      <c r="F1638" s="22" t="n">
        <v>45546</v>
      </c>
      <c r="G1638" t="n">
        <v>11.55059775121106</v>
      </c>
    </row>
    <row r="1639">
      <c r="A1639" t="inlineStr">
        <is>
          <t>METROBRAND</t>
        </is>
      </c>
      <c r="B1639" t="inlineStr">
        <is>
          <t>Bear</t>
        </is>
      </c>
      <c r="C1639" t="n">
        <v>1215.15</v>
      </c>
      <c r="D1639" s="22" t="n">
        <v>45309</v>
      </c>
      <c r="E1639" t="n">
        <v>1148.05</v>
      </c>
      <c r="F1639" s="22" t="n">
        <v>45433</v>
      </c>
      <c r="G1639" t="n">
        <v>5.521952022384078</v>
      </c>
    </row>
    <row r="1640">
      <c r="A1640" t="inlineStr">
        <is>
          <t>METROBRAND</t>
        </is>
      </c>
      <c r="B1640" t="inlineStr">
        <is>
          <t>Bull</t>
        </is>
      </c>
      <c r="C1640" t="n">
        <v>846.3</v>
      </c>
      <c r="D1640" s="22" t="n">
        <v>45040</v>
      </c>
      <c r="E1640" t="n">
        <v>1254.05</v>
      </c>
      <c r="F1640" s="22" t="n">
        <v>45307</v>
      </c>
      <c r="G1640" t="n">
        <v>48.18031430934657</v>
      </c>
    </row>
    <row r="1641">
      <c r="A1641" t="inlineStr">
        <is>
          <t>METROPOLIS</t>
        </is>
      </c>
      <c r="B1641" t="inlineStr">
        <is>
          <t>Bear</t>
        </is>
      </c>
      <c r="C1641" t="n">
        <v>2013.6</v>
      </c>
      <c r="D1641" s="22" t="n">
        <v>45650</v>
      </c>
      <c r="E1641" t="n">
        <v>1997.8</v>
      </c>
      <c r="F1641" s="22" t="n">
        <v>45660</v>
      </c>
      <c r="G1641" t="n">
        <v>0.784664282876438</v>
      </c>
    </row>
    <row r="1642">
      <c r="A1642" t="inlineStr">
        <is>
          <t>METROPOLIS</t>
        </is>
      </c>
      <c r="B1642" t="inlineStr">
        <is>
          <t>Bull</t>
        </is>
      </c>
      <c r="C1642" t="n">
        <v>2226.35</v>
      </c>
      <c r="D1642" s="22" t="n">
        <v>45638</v>
      </c>
      <c r="E1642" t="n">
        <v>2058.05</v>
      </c>
      <c r="F1642" s="22" t="n">
        <v>45646</v>
      </c>
      <c r="G1642" t="n">
        <v>-7.559458306196229</v>
      </c>
    </row>
    <row r="1643">
      <c r="A1643" t="inlineStr">
        <is>
          <t>METROPOLIS</t>
        </is>
      </c>
      <c r="B1643" t="inlineStr">
        <is>
          <t>Bear</t>
        </is>
      </c>
      <c r="C1643" t="n">
        <v>2154.8</v>
      </c>
      <c r="D1643" s="22" t="n">
        <v>45607</v>
      </c>
      <c r="E1643" t="n">
        <v>2220.85</v>
      </c>
      <c r="F1643" s="22" t="n">
        <v>45636</v>
      </c>
      <c r="G1643" t="n">
        <v>-3.065249675143852</v>
      </c>
    </row>
    <row r="1644">
      <c r="A1644" t="inlineStr">
        <is>
          <t>METROPOLIS</t>
        </is>
      </c>
      <c r="B1644" t="inlineStr">
        <is>
          <t>Bull</t>
        </is>
      </c>
      <c r="C1644" t="n">
        <v>1722.45</v>
      </c>
      <c r="D1644" s="22" t="n">
        <v>45384</v>
      </c>
      <c r="E1644" t="n">
        <v>2111.85</v>
      </c>
      <c r="F1644" s="22" t="n">
        <v>45603</v>
      </c>
      <c r="G1644" t="n">
        <v>22.60733257859443</v>
      </c>
    </row>
    <row r="1645">
      <c r="A1645" t="inlineStr">
        <is>
          <t>METROPOLIS</t>
        </is>
      </c>
      <c r="B1645" t="inlineStr">
        <is>
          <t>Bear</t>
        </is>
      </c>
      <c r="C1645" t="n">
        <v>1587.9</v>
      </c>
      <c r="D1645" s="22" t="n">
        <v>45369</v>
      </c>
      <c r="E1645" t="n">
        <v>1723.6</v>
      </c>
      <c r="F1645" s="22" t="n">
        <v>45379</v>
      </c>
      <c r="G1645" t="n">
        <v>-8.545878203917111</v>
      </c>
    </row>
    <row r="1646">
      <c r="A1646" t="inlineStr">
        <is>
          <t>METROPOLIS</t>
        </is>
      </c>
      <c r="B1646" t="inlineStr">
        <is>
          <t>Bull</t>
        </is>
      </c>
      <c r="C1646" t="n">
        <v>1759.95</v>
      </c>
      <c r="D1646" s="22" t="n">
        <v>45329</v>
      </c>
      <c r="E1646" t="n">
        <v>1626.65</v>
      </c>
      <c r="F1646" s="22" t="n">
        <v>45365</v>
      </c>
      <c r="G1646" t="n">
        <v>-7.574078809057072</v>
      </c>
    </row>
    <row r="1647">
      <c r="A1647" t="inlineStr">
        <is>
          <t>METROPOLIS</t>
        </is>
      </c>
      <c r="B1647" t="inlineStr">
        <is>
          <t>Bear</t>
        </is>
      </c>
      <c r="C1647" t="n">
        <v>1582.1</v>
      </c>
      <c r="D1647" s="22" t="n">
        <v>45314</v>
      </c>
      <c r="E1647" t="n">
        <v>1666.8</v>
      </c>
      <c r="F1647" s="22" t="n">
        <v>45327</v>
      </c>
      <c r="G1647" t="n">
        <v>-5.353643891030911</v>
      </c>
    </row>
    <row r="1648">
      <c r="A1648" t="inlineStr">
        <is>
          <t>METROPOLIS</t>
        </is>
      </c>
      <c r="B1648" t="inlineStr">
        <is>
          <t>Bull</t>
        </is>
      </c>
      <c r="C1648" t="n">
        <v>1398.35</v>
      </c>
      <c r="D1648" s="22" t="n">
        <v>45181</v>
      </c>
      <c r="E1648" t="n">
        <v>1603.5</v>
      </c>
      <c r="F1648" s="22" t="n">
        <v>45310</v>
      </c>
      <c r="G1648" t="n">
        <v>14.67086208746023</v>
      </c>
    </row>
    <row r="1649">
      <c r="A1649" t="inlineStr">
        <is>
          <t>METROPOLIS</t>
        </is>
      </c>
      <c r="B1649" t="inlineStr">
        <is>
          <t>Bear</t>
        </is>
      </c>
      <c r="C1649" t="n">
        <v>1353.8</v>
      </c>
      <c r="D1649" s="22" t="n">
        <v>45159</v>
      </c>
      <c r="E1649" t="n">
        <v>1420.4</v>
      </c>
      <c r="F1649" s="22" t="n">
        <v>45177</v>
      </c>
      <c r="G1649" t="n">
        <v>-4.919485891564496</v>
      </c>
    </row>
    <row r="1650">
      <c r="A1650" t="inlineStr">
        <is>
          <t>METROPOLIS</t>
        </is>
      </c>
      <c r="B1650" t="inlineStr">
        <is>
          <t>Bull</t>
        </is>
      </c>
      <c r="C1650" t="n">
        <v>1301.15</v>
      </c>
      <c r="D1650" s="22" t="n">
        <v>45077</v>
      </c>
      <c r="E1650" t="n">
        <v>1351.4</v>
      </c>
      <c r="F1650" s="22" t="n">
        <v>45155</v>
      </c>
      <c r="G1650" t="n">
        <v>3.861968258847942</v>
      </c>
    </row>
    <row r="1651">
      <c r="A1651" t="inlineStr">
        <is>
          <t>METROPOLIS</t>
        </is>
      </c>
      <c r="B1651" t="inlineStr">
        <is>
          <t>Bear</t>
        </is>
      </c>
      <c r="C1651" t="n">
        <v>1284.8</v>
      </c>
      <c r="D1651" s="22" t="n">
        <v>45072</v>
      </c>
      <c r="E1651" t="n">
        <v>1306.05</v>
      </c>
      <c r="F1651" s="22" t="n">
        <v>45075</v>
      </c>
      <c r="G1651" t="n">
        <v>-1.653953922789539</v>
      </c>
    </row>
    <row r="1652">
      <c r="A1652" t="inlineStr">
        <is>
          <t>METROPOLIS</t>
        </is>
      </c>
      <c r="B1652" t="inlineStr">
        <is>
          <t>Bull</t>
        </is>
      </c>
      <c r="C1652" t="n">
        <v>1317.3</v>
      </c>
      <c r="D1652" s="22" t="n">
        <v>45057</v>
      </c>
      <c r="E1652" t="n">
        <v>1261.35</v>
      </c>
      <c r="F1652" s="22" t="n">
        <v>45070</v>
      </c>
      <c r="G1652" t="n">
        <v>-4.247324071965387</v>
      </c>
    </row>
    <row r="1653">
      <c r="A1653" t="inlineStr">
        <is>
          <t>MOIL</t>
        </is>
      </c>
      <c r="B1653" t="inlineStr">
        <is>
          <t>Bear</t>
        </is>
      </c>
      <c r="C1653" t="n">
        <v>331.25</v>
      </c>
      <c r="D1653" s="22" t="n">
        <v>45657</v>
      </c>
      <c r="E1653" t="n">
        <v>349.15</v>
      </c>
      <c r="F1653" s="22" t="n">
        <v>45660</v>
      </c>
      <c r="G1653" t="n">
        <v>-5.403773584905654</v>
      </c>
    </row>
    <row r="1654">
      <c r="A1654" t="inlineStr">
        <is>
          <t>MOIL</t>
        </is>
      </c>
      <c r="B1654" t="inlineStr">
        <is>
          <t>Bull</t>
        </is>
      </c>
      <c r="C1654" t="n">
        <v>348.95</v>
      </c>
      <c r="D1654" s="22" t="n">
        <v>45645</v>
      </c>
      <c r="E1654" t="n">
        <v>328.45</v>
      </c>
      <c r="F1654" s="22" t="n">
        <v>45653</v>
      </c>
      <c r="G1654" t="n">
        <v>-5.874767158618713</v>
      </c>
    </row>
    <row r="1655">
      <c r="A1655" t="inlineStr">
        <is>
          <t>MOIL</t>
        </is>
      </c>
      <c r="B1655" t="inlineStr">
        <is>
          <t>Bear</t>
        </is>
      </c>
      <c r="C1655" t="n">
        <v>447.3</v>
      </c>
      <c r="D1655" s="22" t="n">
        <v>45511</v>
      </c>
      <c r="E1655" t="n">
        <v>364.55</v>
      </c>
      <c r="F1655" s="22" t="n">
        <v>45643</v>
      </c>
      <c r="G1655" t="n">
        <v>18.49988821819808</v>
      </c>
    </row>
    <row r="1656">
      <c r="A1656" t="inlineStr">
        <is>
          <t>MOIL</t>
        </is>
      </c>
      <c r="B1656" t="inlineStr">
        <is>
          <t>Bull</t>
        </is>
      </c>
      <c r="C1656" t="n">
        <v>334.55</v>
      </c>
      <c r="D1656" s="22" t="n">
        <v>45391</v>
      </c>
      <c r="E1656" t="n">
        <v>438.75</v>
      </c>
      <c r="F1656" s="22" t="n">
        <v>45509</v>
      </c>
      <c r="G1656" t="n">
        <v>31.1463159467942</v>
      </c>
    </row>
    <row r="1657">
      <c r="A1657" t="inlineStr">
        <is>
          <t>MOIL</t>
        </is>
      </c>
      <c r="B1657" t="inlineStr">
        <is>
          <t>Bear</t>
        </is>
      </c>
      <c r="C1657" t="n">
        <v>274.5</v>
      </c>
      <c r="D1657" s="22" t="n">
        <v>45344</v>
      </c>
      <c r="E1657" t="n">
        <v>318.5</v>
      </c>
      <c r="F1657" s="22" t="n">
        <v>45387</v>
      </c>
      <c r="G1657" t="n">
        <v>-16.02914389799636</v>
      </c>
    </row>
    <row r="1658">
      <c r="A1658" t="inlineStr">
        <is>
          <t>MOIL</t>
        </is>
      </c>
      <c r="B1658" t="inlineStr">
        <is>
          <t>Bull</t>
        </is>
      </c>
      <c r="C1658" t="n">
        <v>159.65</v>
      </c>
      <c r="D1658" s="22" t="n">
        <v>45050</v>
      </c>
      <c r="E1658" t="n">
        <v>290.85</v>
      </c>
      <c r="F1658" s="22" t="n">
        <v>45342</v>
      </c>
      <c r="G1658" t="n">
        <v>82.17976824303163</v>
      </c>
    </row>
    <row r="1659">
      <c r="A1659" t="inlineStr">
        <is>
          <t>MOLDTECH</t>
        </is>
      </c>
      <c r="B1659" t="inlineStr">
        <is>
          <t>Bear</t>
        </is>
      </c>
      <c r="C1659" t="n">
        <v>220.3</v>
      </c>
      <c r="D1659" s="22" t="n">
        <v>45512</v>
      </c>
      <c r="E1659" t="n">
        <v>210.11</v>
      </c>
      <c r="F1659" s="22" t="n">
        <v>45660</v>
      </c>
      <c r="G1659" t="n">
        <v>4.625510667271901</v>
      </c>
    </row>
    <row r="1660">
      <c r="A1660" t="inlineStr">
        <is>
          <t>MOLDTECH</t>
        </is>
      </c>
      <c r="B1660" t="inlineStr">
        <is>
          <t>Bull</t>
        </is>
      </c>
      <c r="C1660" t="n">
        <v>260.85</v>
      </c>
      <c r="D1660" s="22" t="n">
        <v>45435</v>
      </c>
      <c r="E1660" t="n">
        <v>230.75</v>
      </c>
      <c r="F1660" s="22" t="n">
        <v>45510</v>
      </c>
      <c r="G1660" t="n">
        <v>-11.53919877324133</v>
      </c>
    </row>
    <row r="1661">
      <c r="A1661" t="inlineStr">
        <is>
          <t>MOLDTECH</t>
        </is>
      </c>
      <c r="B1661" t="inlineStr">
        <is>
          <t>Bear</t>
        </is>
      </c>
      <c r="C1661" t="n">
        <v>289.15</v>
      </c>
      <c r="D1661" s="22" t="n">
        <v>45225</v>
      </c>
      <c r="E1661" t="n">
        <v>240.45</v>
      </c>
      <c r="F1661" s="22" t="n">
        <v>45433</v>
      </c>
      <c r="G1661" t="n">
        <v>16.84246930658827</v>
      </c>
    </row>
    <row r="1662">
      <c r="A1662" t="inlineStr">
        <is>
          <t>MOLDTECH</t>
        </is>
      </c>
      <c r="B1662" t="inlineStr">
        <is>
          <t>Bull</t>
        </is>
      </c>
      <c r="C1662" t="n">
        <v>333.4</v>
      </c>
      <c r="D1662" s="22" t="n">
        <v>45146</v>
      </c>
      <c r="E1662" t="n">
        <v>304.45</v>
      </c>
      <c r="F1662" s="22" t="n">
        <v>45222</v>
      </c>
      <c r="G1662" t="n">
        <v>-8.683263347330531</v>
      </c>
    </row>
    <row r="1663">
      <c r="A1663" t="inlineStr">
        <is>
          <t>MOLDTECH</t>
        </is>
      </c>
      <c r="B1663" t="inlineStr">
        <is>
          <t>Bear</t>
        </is>
      </c>
      <c r="C1663" t="n">
        <v>236.3</v>
      </c>
      <c r="D1663" s="22" t="n">
        <v>45113</v>
      </c>
      <c r="E1663" t="n">
        <v>325</v>
      </c>
      <c r="F1663" s="22" t="n">
        <v>45142</v>
      </c>
      <c r="G1663" t="n">
        <v>-37.53702920016927</v>
      </c>
    </row>
    <row r="1664">
      <c r="A1664" t="inlineStr">
        <is>
          <t>MOLDTECH</t>
        </is>
      </c>
      <c r="B1664" t="inlineStr">
        <is>
          <t>Bull</t>
        </is>
      </c>
      <c r="C1664" t="n">
        <v>94.25</v>
      </c>
      <c r="D1664" s="22" t="n">
        <v>44859</v>
      </c>
      <c r="E1664" t="n">
        <v>258.75</v>
      </c>
      <c r="F1664" s="22" t="n">
        <v>45111</v>
      </c>
      <c r="G1664" t="n">
        <v>174.5358090185676</v>
      </c>
    </row>
    <row r="1665">
      <c r="A1665" t="inlineStr">
        <is>
          <t>MPSLTD</t>
        </is>
      </c>
      <c r="B1665" t="inlineStr">
        <is>
          <t>Bear</t>
        </is>
      </c>
      <c r="C1665" t="n">
        <v>2095.5</v>
      </c>
      <c r="D1665" s="22" t="n">
        <v>45643</v>
      </c>
      <c r="E1665" t="n">
        <v>2051.3</v>
      </c>
      <c r="F1665" s="22" t="n">
        <v>45660</v>
      </c>
      <c r="G1665" t="n">
        <v>2.109281794321156</v>
      </c>
    </row>
    <row r="1666">
      <c r="A1666" t="inlineStr">
        <is>
          <t>MPSLTD</t>
        </is>
      </c>
      <c r="B1666" t="inlineStr">
        <is>
          <t>Bull</t>
        </is>
      </c>
      <c r="C1666" t="n">
        <v>2182.15</v>
      </c>
      <c r="D1666" s="22" t="n">
        <v>45632</v>
      </c>
      <c r="E1666" t="n">
        <v>2060.7</v>
      </c>
      <c r="F1666" s="22" t="n">
        <v>45639</v>
      </c>
      <c r="G1666" t="n">
        <v>-5.565611896524082</v>
      </c>
    </row>
    <row r="1667">
      <c r="A1667" t="inlineStr">
        <is>
          <t>MPSLTD</t>
        </is>
      </c>
      <c r="B1667" t="inlineStr">
        <is>
          <t>Bear</t>
        </is>
      </c>
      <c r="C1667" t="n">
        <v>2044.7</v>
      </c>
      <c r="D1667" s="22" t="n">
        <v>45568</v>
      </c>
      <c r="E1667" t="n">
        <v>2175.75</v>
      </c>
      <c r="F1667" s="22" t="n">
        <v>45630</v>
      </c>
      <c r="G1667" t="n">
        <v>-6.409253191177188</v>
      </c>
    </row>
    <row r="1668">
      <c r="A1668" t="inlineStr">
        <is>
          <t>MPSLTD</t>
        </is>
      </c>
      <c r="B1668" t="inlineStr">
        <is>
          <t>Bull</t>
        </is>
      </c>
      <c r="C1668" t="n">
        <v>1621.45</v>
      </c>
      <c r="D1668" s="22" t="n">
        <v>45391</v>
      </c>
      <c r="E1668" t="n">
        <v>2135</v>
      </c>
      <c r="F1668" s="22" t="n">
        <v>45565</v>
      </c>
      <c r="G1668" t="n">
        <v>31.67226864843196</v>
      </c>
    </row>
    <row r="1669">
      <c r="A1669" t="inlineStr">
        <is>
          <t>MPSLTD</t>
        </is>
      </c>
      <c r="B1669" t="inlineStr">
        <is>
          <t>Bear</t>
        </is>
      </c>
      <c r="C1669" t="n">
        <v>1528</v>
      </c>
      <c r="D1669" s="22" t="n">
        <v>45315</v>
      </c>
      <c r="E1669" t="n">
        <v>1608.3</v>
      </c>
      <c r="F1669" s="22" t="n">
        <v>45387</v>
      </c>
      <c r="G1669" t="n">
        <v>-5.255235602094238</v>
      </c>
    </row>
    <row r="1670">
      <c r="A1670" t="inlineStr">
        <is>
          <t>MPSLTD</t>
        </is>
      </c>
      <c r="B1670" t="inlineStr">
        <is>
          <t>Bull</t>
        </is>
      </c>
      <c r="C1670" t="n">
        <v>1053.05</v>
      </c>
      <c r="D1670" s="22" t="n">
        <v>45072</v>
      </c>
      <c r="E1670" t="n">
        <v>1705</v>
      </c>
      <c r="F1670" s="22" t="n">
        <v>45311</v>
      </c>
      <c r="G1670" t="n">
        <v>61.91064052039314</v>
      </c>
    </row>
    <row r="1671">
      <c r="A1671" t="inlineStr">
        <is>
          <t>MPSLTD</t>
        </is>
      </c>
      <c r="B1671" t="inlineStr">
        <is>
          <t>Bear</t>
        </is>
      </c>
      <c r="C1671" t="n">
        <v>910.55</v>
      </c>
      <c r="D1671" s="22" t="n">
        <v>45029</v>
      </c>
      <c r="E1671" t="n">
        <v>1001.2</v>
      </c>
      <c r="F1671" s="22" t="n">
        <v>45070</v>
      </c>
      <c r="G1671" t="n">
        <v>-9.955521388171995</v>
      </c>
    </row>
    <row r="1672">
      <c r="A1672" t="inlineStr">
        <is>
          <t>MRF</t>
        </is>
      </c>
      <c r="B1672" t="inlineStr">
        <is>
          <t>Bull</t>
        </is>
      </c>
      <c r="C1672" t="n">
        <v>133235.25</v>
      </c>
      <c r="D1672" s="22" t="n">
        <v>45639</v>
      </c>
      <c r="E1672" t="n">
        <v>126362.5</v>
      </c>
      <c r="F1672" s="22" t="n">
        <v>45660</v>
      </c>
      <c r="G1672" t="n">
        <v>-5.158357116453791</v>
      </c>
    </row>
    <row r="1673">
      <c r="A1673" t="inlineStr">
        <is>
          <t>MRF</t>
        </is>
      </c>
      <c r="B1673" t="inlineStr">
        <is>
          <t>Bear</t>
        </is>
      </c>
      <c r="C1673" t="n">
        <v>132197.6</v>
      </c>
      <c r="D1673" s="22" t="n">
        <v>45576</v>
      </c>
      <c r="E1673" t="n">
        <v>132517.4</v>
      </c>
      <c r="F1673" s="22" t="n">
        <v>45637</v>
      </c>
      <c r="G1673" t="n">
        <v>-0.2419105944434606</v>
      </c>
    </row>
    <row r="1674">
      <c r="A1674" t="inlineStr">
        <is>
          <t>MRF</t>
        </is>
      </c>
      <c r="B1674" t="inlineStr">
        <is>
          <t>Bull</t>
        </is>
      </c>
      <c r="C1674" t="n">
        <v>133181.6</v>
      </c>
      <c r="D1674" s="22" t="n">
        <v>45489</v>
      </c>
      <c r="E1674" t="n">
        <v>132583.3</v>
      </c>
      <c r="F1674" s="22" t="n">
        <v>45574</v>
      </c>
      <c r="G1674" t="n">
        <v>-0.4492362308306984</v>
      </c>
    </row>
    <row r="1675">
      <c r="A1675" t="inlineStr">
        <is>
          <t>MRF</t>
        </is>
      </c>
      <c r="B1675" t="inlineStr">
        <is>
          <t>Bear</t>
        </is>
      </c>
      <c r="C1675" t="n">
        <v>131809.4</v>
      </c>
      <c r="D1675" s="22" t="n">
        <v>45378</v>
      </c>
      <c r="E1675" t="n">
        <v>129690.9</v>
      </c>
      <c r="F1675" s="22" t="n">
        <v>45485</v>
      </c>
      <c r="G1675" t="n">
        <v>1.607245006805281</v>
      </c>
    </row>
    <row r="1676">
      <c r="A1676" t="inlineStr">
        <is>
          <t>MRF</t>
        </is>
      </c>
      <c r="B1676" t="inlineStr">
        <is>
          <t>Bull</t>
        </is>
      </c>
      <c r="C1676" t="n">
        <v>88596.89999999999</v>
      </c>
      <c r="D1676" s="22" t="n">
        <v>45048</v>
      </c>
      <c r="E1676" t="n">
        <v>131302.95</v>
      </c>
      <c r="F1676" s="22" t="n">
        <v>45373</v>
      </c>
      <c r="G1676" t="n">
        <v>48.20264591650501</v>
      </c>
    </row>
    <row r="1677">
      <c r="A1677" t="inlineStr">
        <is>
          <t>MSTCLTD</t>
        </is>
      </c>
      <c r="B1677" t="inlineStr">
        <is>
          <t>Bear</t>
        </is>
      </c>
      <c r="C1677" t="n">
        <v>693.65</v>
      </c>
      <c r="D1677" s="22" t="n">
        <v>45659</v>
      </c>
      <c r="E1677" t="n">
        <v>686.95</v>
      </c>
      <c r="F1677" s="22" t="n">
        <v>45660</v>
      </c>
      <c r="G1677" t="n">
        <v>0.9659049953146301</v>
      </c>
    </row>
    <row r="1678">
      <c r="A1678" t="inlineStr">
        <is>
          <t>MSTCLTD</t>
        </is>
      </c>
      <c r="B1678" t="inlineStr">
        <is>
          <t>Bull</t>
        </is>
      </c>
      <c r="C1678" t="n">
        <v>780.8</v>
      </c>
      <c r="D1678" s="22" t="n">
        <v>45632</v>
      </c>
      <c r="E1678" t="n">
        <v>679</v>
      </c>
      <c r="F1678" s="22" t="n">
        <v>45657</v>
      </c>
      <c r="G1678" t="n">
        <v>-13.03790983606557</v>
      </c>
    </row>
    <row r="1679">
      <c r="A1679" t="inlineStr">
        <is>
          <t>MSTCLTD</t>
        </is>
      </c>
      <c r="B1679" t="inlineStr">
        <is>
          <t>Bear</t>
        </is>
      </c>
      <c r="C1679" t="n">
        <v>840.05</v>
      </c>
      <c r="D1679" s="22" t="n">
        <v>45518</v>
      </c>
      <c r="E1679" t="n">
        <v>727.35</v>
      </c>
      <c r="F1679" s="22" t="n">
        <v>45630</v>
      </c>
      <c r="G1679" t="n">
        <v>13.4158681030891</v>
      </c>
    </row>
    <row r="1680">
      <c r="A1680" t="inlineStr">
        <is>
          <t>MSTCLTD</t>
        </is>
      </c>
      <c r="B1680" t="inlineStr">
        <is>
          <t>Bull</t>
        </is>
      </c>
      <c r="C1680" t="n">
        <v>951.15</v>
      </c>
      <c r="D1680" s="22" t="n">
        <v>45499</v>
      </c>
      <c r="E1680" t="n">
        <v>853.3</v>
      </c>
      <c r="F1680" s="22" t="n">
        <v>45516</v>
      </c>
      <c r="G1680" t="n">
        <v>-10.28754665405036</v>
      </c>
    </row>
    <row r="1681">
      <c r="A1681" t="inlineStr">
        <is>
          <t>MSTCLTD</t>
        </is>
      </c>
      <c r="B1681" t="inlineStr">
        <is>
          <t>Bear</t>
        </is>
      </c>
      <c r="C1681" t="n">
        <v>839.55</v>
      </c>
      <c r="D1681" s="22" t="n">
        <v>45495</v>
      </c>
      <c r="E1681" t="n">
        <v>913.55</v>
      </c>
      <c r="F1681" s="22" t="n">
        <v>45497</v>
      </c>
      <c r="G1681" t="n">
        <v>-8.814245726877495</v>
      </c>
    </row>
    <row r="1682">
      <c r="A1682" t="inlineStr">
        <is>
          <t>MSTCLTD</t>
        </is>
      </c>
      <c r="B1682" t="inlineStr">
        <is>
          <t>Bull</t>
        </is>
      </c>
      <c r="C1682" t="n">
        <v>912.9</v>
      </c>
      <c r="D1682" s="22" t="n">
        <v>45488</v>
      </c>
      <c r="E1682" t="n">
        <v>869.5</v>
      </c>
      <c r="F1682" s="22" t="n">
        <v>45491</v>
      </c>
      <c r="G1682" t="n">
        <v>-4.754080403110962</v>
      </c>
    </row>
    <row r="1683">
      <c r="A1683" t="inlineStr">
        <is>
          <t>MSTCLTD</t>
        </is>
      </c>
      <c r="B1683" t="inlineStr">
        <is>
          <t>Bear</t>
        </is>
      </c>
      <c r="C1683" t="n">
        <v>848.15</v>
      </c>
      <c r="D1683" s="22" t="n">
        <v>45449</v>
      </c>
      <c r="E1683" t="n">
        <v>908.05</v>
      </c>
      <c r="F1683" s="22" t="n">
        <v>45484</v>
      </c>
      <c r="G1683" t="n">
        <v>-7.062429994694332</v>
      </c>
    </row>
    <row r="1684">
      <c r="A1684" t="inlineStr">
        <is>
          <t>MSTCLTD</t>
        </is>
      </c>
      <c r="B1684" t="inlineStr">
        <is>
          <t>Bull</t>
        </is>
      </c>
      <c r="C1684" t="n">
        <v>1001.5</v>
      </c>
      <c r="D1684" s="22" t="n">
        <v>45433</v>
      </c>
      <c r="E1684" t="n">
        <v>755.8</v>
      </c>
      <c r="F1684" s="22" t="n">
        <v>45447</v>
      </c>
      <c r="G1684" t="n">
        <v>-24.53320019970045</v>
      </c>
    </row>
    <row r="1685">
      <c r="A1685" t="inlineStr">
        <is>
          <t>MSTCLTD</t>
        </is>
      </c>
      <c r="B1685" t="inlineStr">
        <is>
          <t>Bear</t>
        </is>
      </c>
      <c r="C1685" t="n">
        <v>800.65</v>
      </c>
      <c r="D1685" s="22" t="n">
        <v>45421</v>
      </c>
      <c r="E1685" t="n">
        <v>948.95</v>
      </c>
      <c r="F1685" s="22" t="n">
        <v>45429</v>
      </c>
      <c r="G1685" t="n">
        <v>-18.52245050896148</v>
      </c>
    </row>
    <row r="1686">
      <c r="A1686" t="inlineStr">
        <is>
          <t>MSTCLTD</t>
        </is>
      </c>
      <c r="B1686" t="inlineStr">
        <is>
          <t>Bull</t>
        </is>
      </c>
      <c r="C1686" t="n">
        <v>907.75</v>
      </c>
      <c r="D1686" s="22" t="n">
        <v>45392</v>
      </c>
      <c r="E1686" t="n">
        <v>824.15</v>
      </c>
      <c r="F1686" s="22" t="n">
        <v>45419</v>
      </c>
      <c r="G1686" t="n">
        <v>-9.209584136601489</v>
      </c>
    </row>
    <row r="1687">
      <c r="A1687" t="inlineStr">
        <is>
          <t>MSTCLTD</t>
        </is>
      </c>
      <c r="B1687" t="inlineStr">
        <is>
          <t>Bear</t>
        </is>
      </c>
      <c r="C1687" t="n">
        <v>899.2</v>
      </c>
      <c r="D1687" s="22" t="n">
        <v>45383</v>
      </c>
      <c r="E1687" t="n">
        <v>913.1</v>
      </c>
      <c r="F1687" s="22" t="n">
        <v>45390</v>
      </c>
      <c r="G1687" t="n">
        <v>-1.545818505338076</v>
      </c>
    </row>
    <row r="1688">
      <c r="A1688" t="inlineStr">
        <is>
          <t>MSTCLTD</t>
        </is>
      </c>
      <c r="B1688" t="inlineStr">
        <is>
          <t>Bull</t>
        </is>
      </c>
      <c r="C1688" t="n">
        <v>295.25</v>
      </c>
      <c r="D1688" s="22" t="n">
        <v>45048</v>
      </c>
      <c r="E1688" t="n">
        <v>835</v>
      </c>
      <c r="F1688" s="22" t="n">
        <v>45378</v>
      </c>
      <c r="G1688" t="n">
        <v>182.8111769686706</v>
      </c>
    </row>
    <row r="1689">
      <c r="A1689" t="inlineStr">
        <is>
          <t>MUTHOOTFIN</t>
        </is>
      </c>
      <c r="B1689" t="inlineStr">
        <is>
          <t>Bull</t>
        </is>
      </c>
      <c r="C1689" t="n">
        <v>1991.3</v>
      </c>
      <c r="D1689" s="22" t="n">
        <v>45635</v>
      </c>
      <c r="E1689" t="n">
        <v>2237.25</v>
      </c>
      <c r="F1689" s="22" t="n">
        <v>45660</v>
      </c>
      <c r="G1689" t="n">
        <v>12.35122784110883</v>
      </c>
    </row>
    <row r="1690">
      <c r="A1690" t="inlineStr">
        <is>
          <t>MUTHOOTFIN</t>
        </is>
      </c>
      <c r="B1690" t="inlineStr">
        <is>
          <t>Bear</t>
        </is>
      </c>
      <c r="C1690" t="n">
        <v>1823.85</v>
      </c>
      <c r="D1690" s="22" t="n">
        <v>45603</v>
      </c>
      <c r="E1690" t="n">
        <v>1937.55</v>
      </c>
      <c r="F1690" s="22" t="n">
        <v>45631</v>
      </c>
      <c r="G1690" t="n">
        <v>-6.234065301422817</v>
      </c>
    </row>
    <row r="1691">
      <c r="A1691" t="inlineStr">
        <is>
          <t>MUTHOOTFIN</t>
        </is>
      </c>
      <c r="B1691" t="inlineStr">
        <is>
          <t>Bull</t>
        </is>
      </c>
      <c r="C1691" t="n">
        <v>1478.2</v>
      </c>
      <c r="D1691" s="22" t="n">
        <v>45378</v>
      </c>
      <c r="E1691" t="n">
        <v>1913.35</v>
      </c>
      <c r="F1691" s="22" t="n">
        <v>45601</v>
      </c>
      <c r="G1691" t="n">
        <v>29.43782979299147</v>
      </c>
    </row>
    <row r="1692">
      <c r="A1692" t="inlineStr">
        <is>
          <t>MUTHOOTFIN</t>
        </is>
      </c>
      <c r="B1692" t="inlineStr">
        <is>
          <t>Bear</t>
        </is>
      </c>
      <c r="C1692" t="n">
        <v>1377.45</v>
      </c>
      <c r="D1692" s="22" t="n">
        <v>45324</v>
      </c>
      <c r="E1692" t="n">
        <v>1424.35</v>
      </c>
      <c r="F1692" s="22" t="n">
        <v>45373</v>
      </c>
      <c r="G1692" t="n">
        <v>-3.404842281026525</v>
      </c>
    </row>
    <row r="1693">
      <c r="A1693" t="inlineStr">
        <is>
          <t>MUTHOOTFIN</t>
        </is>
      </c>
      <c r="B1693" t="inlineStr">
        <is>
          <t>Bull</t>
        </is>
      </c>
      <c r="C1693" t="n">
        <v>1298.7</v>
      </c>
      <c r="D1693" s="22" t="n">
        <v>45230</v>
      </c>
      <c r="E1693" t="n">
        <v>1394.95</v>
      </c>
      <c r="F1693" s="22" t="n">
        <v>45322</v>
      </c>
      <c r="G1693" t="n">
        <v>7.41125741125741</v>
      </c>
    </row>
    <row r="1694">
      <c r="A1694" t="inlineStr">
        <is>
          <t>MUTHOOTFIN</t>
        </is>
      </c>
      <c r="B1694" t="inlineStr">
        <is>
          <t>Bear</t>
        </is>
      </c>
      <c r="C1694" t="n">
        <v>1237</v>
      </c>
      <c r="D1694" s="22" t="n">
        <v>45202</v>
      </c>
      <c r="E1694" t="n">
        <v>1290.65</v>
      </c>
      <c r="F1694" s="22" t="n">
        <v>45226</v>
      </c>
      <c r="G1694" t="n">
        <v>-4.337105901374301</v>
      </c>
    </row>
    <row r="1695">
      <c r="A1695" t="inlineStr">
        <is>
          <t>MUTHOOTFIN</t>
        </is>
      </c>
      <c r="B1695" t="inlineStr">
        <is>
          <t>Bull</t>
        </is>
      </c>
      <c r="C1695" t="n">
        <v>1049</v>
      </c>
      <c r="D1695" s="22" t="n">
        <v>45033</v>
      </c>
      <c r="E1695" t="n">
        <v>1214.75</v>
      </c>
      <c r="F1695" s="22" t="n">
        <v>45197</v>
      </c>
      <c r="G1695" t="n">
        <v>15.80076263107722</v>
      </c>
    </row>
    <row r="1696">
      <c r="A1696" t="inlineStr">
        <is>
          <t>NH</t>
        </is>
      </c>
      <c r="B1696" t="inlineStr">
        <is>
          <t>Bull</t>
        </is>
      </c>
      <c r="C1696" t="n">
        <v>1282.85</v>
      </c>
      <c r="D1696" s="22" t="n">
        <v>45608</v>
      </c>
      <c r="E1696" t="n">
        <v>1310.4</v>
      </c>
      <c r="F1696" s="22" t="n">
        <v>45660</v>
      </c>
      <c r="G1696" t="n">
        <v>2.147562068831133</v>
      </c>
    </row>
    <row r="1697">
      <c r="A1697" t="inlineStr">
        <is>
          <t>NH</t>
        </is>
      </c>
      <c r="B1697" t="inlineStr">
        <is>
          <t>Bear</t>
        </is>
      </c>
      <c r="C1697" t="n">
        <v>1236.7</v>
      </c>
      <c r="D1697" s="22" t="n">
        <v>45590</v>
      </c>
      <c r="E1697" t="n">
        <v>1290.95</v>
      </c>
      <c r="F1697" s="22" t="n">
        <v>45604</v>
      </c>
      <c r="G1697" t="n">
        <v>-4.386674213633055</v>
      </c>
    </row>
    <row r="1698">
      <c r="A1698" t="inlineStr">
        <is>
          <t>NH</t>
        </is>
      </c>
      <c r="B1698" t="inlineStr">
        <is>
          <t>Bull</t>
        </is>
      </c>
      <c r="C1698" t="n">
        <v>1259.75</v>
      </c>
      <c r="D1698" s="22" t="n">
        <v>45587</v>
      </c>
      <c r="E1698" t="n">
        <v>1235.85</v>
      </c>
      <c r="F1698" s="22" t="n">
        <v>45588</v>
      </c>
      <c r="G1698" t="n">
        <v>-1.897201825759087</v>
      </c>
    </row>
    <row r="1699">
      <c r="A1699" t="inlineStr">
        <is>
          <t>NH</t>
        </is>
      </c>
      <c r="B1699" t="inlineStr">
        <is>
          <t>Bear</t>
        </is>
      </c>
      <c r="C1699" t="n">
        <v>1231.05</v>
      </c>
      <c r="D1699" s="22" t="n">
        <v>45568</v>
      </c>
      <c r="E1699" t="n">
        <v>1276.9</v>
      </c>
      <c r="F1699" s="22" t="n">
        <v>45583</v>
      </c>
      <c r="G1699" t="n">
        <v>-3.724462856910778</v>
      </c>
    </row>
    <row r="1700">
      <c r="A1700" t="inlineStr">
        <is>
          <t>NH</t>
        </is>
      </c>
      <c r="B1700" t="inlineStr">
        <is>
          <t>Bull</t>
        </is>
      </c>
      <c r="C1700" t="n">
        <v>1274.1</v>
      </c>
      <c r="D1700" s="22" t="n">
        <v>45532</v>
      </c>
      <c r="E1700" t="n">
        <v>1248.2</v>
      </c>
      <c r="F1700" s="22" t="n">
        <v>45565</v>
      </c>
      <c r="G1700" t="n">
        <v>-2.032807471940967</v>
      </c>
    </row>
    <row r="1701">
      <c r="A1701" t="inlineStr">
        <is>
          <t>NH</t>
        </is>
      </c>
      <c r="B1701" t="inlineStr">
        <is>
          <t>Bear</t>
        </is>
      </c>
      <c r="C1701" t="n">
        <v>1199.35</v>
      </c>
      <c r="D1701" s="22" t="n">
        <v>45517</v>
      </c>
      <c r="E1701" t="n">
        <v>1280.25</v>
      </c>
      <c r="F1701" s="22" t="n">
        <v>45530</v>
      </c>
      <c r="G1701" t="n">
        <v>-6.745320381873523</v>
      </c>
    </row>
    <row r="1702">
      <c r="A1702" t="inlineStr">
        <is>
          <t>NH</t>
        </is>
      </c>
      <c r="B1702" t="inlineStr">
        <is>
          <t>Bull</t>
        </is>
      </c>
      <c r="C1702" t="n">
        <v>1242.8</v>
      </c>
      <c r="D1702" s="22" t="n">
        <v>45498</v>
      </c>
      <c r="E1702" t="n">
        <v>1231.9</v>
      </c>
      <c r="F1702" s="22" t="n">
        <v>45513</v>
      </c>
      <c r="G1702" t="n">
        <v>-0.8770518184744016</v>
      </c>
    </row>
    <row r="1703">
      <c r="A1703" t="inlineStr">
        <is>
          <t>NH</t>
        </is>
      </c>
      <c r="B1703" t="inlineStr">
        <is>
          <t>Bear</t>
        </is>
      </c>
      <c r="C1703" t="n">
        <v>1242.45</v>
      </c>
      <c r="D1703" s="22" t="n">
        <v>45401</v>
      </c>
      <c r="E1703" t="n">
        <v>1255.5</v>
      </c>
      <c r="F1703" s="22" t="n">
        <v>45496</v>
      </c>
      <c r="G1703" t="n">
        <v>-1.050344078232521</v>
      </c>
    </row>
    <row r="1704">
      <c r="A1704" t="inlineStr">
        <is>
          <t>NH</t>
        </is>
      </c>
      <c r="B1704" t="inlineStr">
        <is>
          <t>Bull</t>
        </is>
      </c>
      <c r="C1704" t="n">
        <v>1288.4</v>
      </c>
      <c r="D1704" s="22" t="n">
        <v>45394</v>
      </c>
      <c r="E1704" t="n">
        <v>1277.5</v>
      </c>
      <c r="F1704" s="22" t="n">
        <v>45398</v>
      </c>
      <c r="G1704" t="n">
        <v>-0.8460105557280417</v>
      </c>
    </row>
    <row r="1705">
      <c r="A1705" t="inlineStr">
        <is>
          <t>NH</t>
        </is>
      </c>
      <c r="B1705" t="inlineStr">
        <is>
          <t>Bear</t>
        </is>
      </c>
      <c r="C1705" t="n">
        <v>1235.25</v>
      </c>
      <c r="D1705" s="22" t="n">
        <v>45365</v>
      </c>
      <c r="E1705" t="n">
        <v>1317.7</v>
      </c>
      <c r="F1705" s="22" t="n">
        <v>45391</v>
      </c>
      <c r="G1705" t="n">
        <v>-6.67476219388788</v>
      </c>
    </row>
    <row r="1706">
      <c r="A1706" t="inlineStr">
        <is>
          <t>NH</t>
        </is>
      </c>
      <c r="B1706" t="inlineStr">
        <is>
          <t>Bull</t>
        </is>
      </c>
      <c r="C1706" t="n">
        <v>1089</v>
      </c>
      <c r="D1706" s="22" t="n">
        <v>45243</v>
      </c>
      <c r="E1706" t="n">
        <v>1245.35</v>
      </c>
      <c r="F1706" s="22" t="n">
        <v>45363</v>
      </c>
      <c r="G1706" t="n">
        <v>14.35720844811753</v>
      </c>
    </row>
    <row r="1707">
      <c r="A1707" t="inlineStr">
        <is>
          <t>NH</t>
        </is>
      </c>
      <c r="B1707" t="inlineStr">
        <is>
          <t>Bear</t>
        </is>
      </c>
      <c r="C1707" t="n">
        <v>997.65</v>
      </c>
      <c r="D1707" s="22" t="n">
        <v>45231</v>
      </c>
      <c r="E1707" t="n">
        <v>1081</v>
      </c>
      <c r="F1707" s="22" t="n">
        <v>45240</v>
      </c>
      <c r="G1707" t="n">
        <v>-8.35463338846289</v>
      </c>
    </row>
    <row r="1708">
      <c r="A1708" t="inlineStr">
        <is>
          <t>NH</t>
        </is>
      </c>
      <c r="B1708" t="inlineStr">
        <is>
          <t>Bull</t>
        </is>
      </c>
      <c r="C1708" t="n">
        <v>820.45</v>
      </c>
      <c r="D1708" s="22" t="n">
        <v>45069</v>
      </c>
      <c r="E1708" t="n">
        <v>1012.35</v>
      </c>
      <c r="F1708" s="22" t="n">
        <v>45229</v>
      </c>
      <c r="G1708" t="n">
        <v>23.38960326650009</v>
      </c>
    </row>
    <row r="1709">
      <c r="A1709" t="inlineStr">
        <is>
          <t>NH</t>
        </is>
      </c>
      <c r="B1709" t="inlineStr">
        <is>
          <t>Bear</t>
        </is>
      </c>
      <c r="C1709" t="n">
        <v>767.85</v>
      </c>
      <c r="D1709" s="22" t="n">
        <v>45064</v>
      </c>
      <c r="E1709" t="n">
        <v>773.15</v>
      </c>
      <c r="F1709" s="22" t="n">
        <v>45065</v>
      </c>
      <c r="G1709" t="n">
        <v>-0.6902389789672402</v>
      </c>
    </row>
    <row r="1710">
      <c r="A1710" t="inlineStr">
        <is>
          <t>NH</t>
        </is>
      </c>
      <c r="B1710" t="inlineStr">
        <is>
          <t>Bull</t>
        </is>
      </c>
      <c r="C1710" t="n">
        <v>749.1</v>
      </c>
      <c r="D1710" s="22" t="n">
        <v>44985</v>
      </c>
      <c r="E1710" t="n">
        <v>754.75</v>
      </c>
      <c r="F1710" s="22" t="n">
        <v>45062</v>
      </c>
      <c r="G1710" t="n">
        <v>0.7542384194366543</v>
      </c>
    </row>
    <row r="1711">
      <c r="A1711" t="inlineStr">
        <is>
          <t>NATCOPHARM</t>
        </is>
      </c>
      <c r="B1711" t="inlineStr">
        <is>
          <t>Bear</t>
        </is>
      </c>
      <c r="C1711" t="n">
        <v>1386.25</v>
      </c>
      <c r="D1711" s="22" t="n">
        <v>45659</v>
      </c>
      <c r="E1711" t="n">
        <v>1366.75</v>
      </c>
      <c r="F1711" s="22" t="n">
        <v>45660</v>
      </c>
      <c r="G1711" t="n">
        <v>1.406672678088368</v>
      </c>
    </row>
    <row r="1712">
      <c r="A1712" t="inlineStr">
        <is>
          <t>NATCOPHARM</t>
        </is>
      </c>
      <c r="B1712" t="inlineStr">
        <is>
          <t>Bull</t>
        </is>
      </c>
      <c r="C1712" t="n">
        <v>1492</v>
      </c>
      <c r="D1712" s="22" t="n">
        <v>45636</v>
      </c>
      <c r="E1712" t="n">
        <v>1387.3</v>
      </c>
      <c r="F1712" s="22" t="n">
        <v>45657</v>
      </c>
      <c r="G1712" t="n">
        <v>-7.017426273458447</v>
      </c>
    </row>
    <row r="1713">
      <c r="A1713" t="inlineStr">
        <is>
          <t>NATCOPHARM</t>
        </is>
      </c>
      <c r="B1713" t="inlineStr">
        <is>
          <t>Bear</t>
        </is>
      </c>
      <c r="C1713" t="n">
        <v>1398.65</v>
      </c>
      <c r="D1713" s="22" t="n">
        <v>45583</v>
      </c>
      <c r="E1713" t="n">
        <v>1449.9</v>
      </c>
      <c r="F1713" s="22" t="n">
        <v>45632</v>
      </c>
      <c r="G1713" t="n">
        <v>-3.664247667393558</v>
      </c>
    </row>
    <row r="1714">
      <c r="A1714" t="inlineStr">
        <is>
          <t>NATCOPHARM</t>
        </is>
      </c>
      <c r="B1714" t="inlineStr">
        <is>
          <t>Bull</t>
        </is>
      </c>
      <c r="C1714" t="n">
        <v>835.45</v>
      </c>
      <c r="D1714" s="22" t="n">
        <v>45294</v>
      </c>
      <c r="E1714" t="n">
        <v>1398.9</v>
      </c>
      <c r="F1714" s="22" t="n">
        <v>45581</v>
      </c>
      <c r="G1714" t="n">
        <v>67.44269555329463</v>
      </c>
    </row>
    <row r="1715">
      <c r="A1715" t="inlineStr">
        <is>
          <t>NATCOPHARM</t>
        </is>
      </c>
      <c r="B1715" t="inlineStr">
        <is>
          <t>Bear</t>
        </is>
      </c>
      <c r="C1715" t="n">
        <v>805.65</v>
      </c>
      <c r="D1715" s="22" t="n">
        <v>45226</v>
      </c>
      <c r="E1715" t="n">
        <v>818.35</v>
      </c>
      <c r="F1715" s="22" t="n">
        <v>45292</v>
      </c>
      <c r="G1715" t="n">
        <v>-1.576366908707261</v>
      </c>
    </row>
    <row r="1716">
      <c r="A1716" t="inlineStr">
        <is>
          <t>NATCOPHARM</t>
        </is>
      </c>
      <c r="B1716" t="inlineStr">
        <is>
          <t>Bull</t>
        </is>
      </c>
      <c r="C1716" t="n">
        <v>580.9</v>
      </c>
      <c r="D1716" s="22" t="n">
        <v>45019</v>
      </c>
      <c r="E1716" t="n">
        <v>798.15</v>
      </c>
      <c r="F1716" s="22" t="n">
        <v>45224</v>
      </c>
      <c r="G1716" t="n">
        <v>37.39886383198485</v>
      </c>
    </row>
    <row r="1717">
      <c r="A1717" t="inlineStr">
        <is>
          <t>NATIONALUM</t>
        </is>
      </c>
      <c r="B1717" t="inlineStr">
        <is>
          <t>Bear</t>
        </is>
      </c>
      <c r="C1717" t="n">
        <v>209.66</v>
      </c>
      <c r="D1717" s="22" t="n">
        <v>45656</v>
      </c>
      <c r="E1717" t="n">
        <v>208</v>
      </c>
      <c r="F1717" s="22" t="n">
        <v>45660</v>
      </c>
      <c r="G1717" t="n">
        <v>0.7917580845177892</v>
      </c>
    </row>
    <row r="1718">
      <c r="A1718" t="inlineStr">
        <is>
          <t>NATIONALUM</t>
        </is>
      </c>
      <c r="B1718" t="inlineStr">
        <is>
          <t>Bull</t>
        </is>
      </c>
      <c r="C1718" t="n">
        <v>195.2</v>
      </c>
      <c r="D1718" s="22" t="n">
        <v>45560</v>
      </c>
      <c r="E1718" t="n">
        <v>217.07</v>
      </c>
      <c r="F1718" s="22" t="n">
        <v>45652</v>
      </c>
      <c r="G1718" t="n">
        <v>11.20389344262295</v>
      </c>
    </row>
    <row r="1719">
      <c r="A1719" t="inlineStr">
        <is>
          <t>NATIONALUM</t>
        </is>
      </c>
      <c r="B1719" t="inlineStr">
        <is>
          <t>Bear</t>
        </is>
      </c>
      <c r="C1719" t="n">
        <v>179.34</v>
      </c>
      <c r="D1719" s="22" t="n">
        <v>45511</v>
      </c>
      <c r="E1719" t="n">
        <v>180.24</v>
      </c>
      <c r="F1719" s="22" t="n">
        <v>45558</v>
      </c>
      <c r="G1719" t="n">
        <v>-0.501840080294416</v>
      </c>
    </row>
    <row r="1720">
      <c r="A1720" t="inlineStr">
        <is>
          <t>NATIONALUM</t>
        </is>
      </c>
      <c r="B1720" t="inlineStr">
        <is>
          <t>Bull</t>
        </is>
      </c>
      <c r="C1720" t="n">
        <v>99.05</v>
      </c>
      <c r="D1720" s="22" t="n">
        <v>45267</v>
      </c>
      <c r="E1720" t="n">
        <v>172.94</v>
      </c>
      <c r="F1720" s="22" t="n">
        <v>45509</v>
      </c>
      <c r="G1720" t="n">
        <v>74.59868753154973</v>
      </c>
    </row>
    <row r="1721">
      <c r="A1721" t="inlineStr">
        <is>
          <t>NATIONALUM</t>
        </is>
      </c>
      <c r="B1721" t="inlineStr">
        <is>
          <t>Bear</t>
        </is>
      </c>
      <c r="C1721" t="n">
        <v>92.25</v>
      </c>
      <c r="D1721" s="22" t="n">
        <v>45230</v>
      </c>
      <c r="E1721" t="n">
        <v>96.25</v>
      </c>
      <c r="F1721" s="22" t="n">
        <v>45265</v>
      </c>
      <c r="G1721" t="n">
        <v>-4.336043360433604</v>
      </c>
    </row>
    <row r="1722">
      <c r="A1722" t="inlineStr">
        <is>
          <t>NATIONALUM</t>
        </is>
      </c>
      <c r="B1722" t="inlineStr">
        <is>
          <t>Bull</t>
        </is>
      </c>
      <c r="C1722" t="n">
        <v>83.05</v>
      </c>
      <c r="D1722" s="22" t="n">
        <v>45036</v>
      </c>
      <c r="E1722" t="n">
        <v>91.2</v>
      </c>
      <c r="F1722" s="22" t="n">
        <v>45226</v>
      </c>
      <c r="G1722" t="n">
        <v>9.813365442504523</v>
      </c>
    </row>
    <row r="1723">
      <c r="A1723" t="inlineStr">
        <is>
          <t>NAVA</t>
        </is>
      </c>
      <c r="B1723" t="inlineStr">
        <is>
          <t>Bear</t>
        </is>
      </c>
      <c r="C1723" t="n">
        <v>223.45</v>
      </c>
      <c r="D1723" s="22" t="n">
        <v>45012</v>
      </c>
      <c r="E1723" t="n">
        <v>972.4</v>
      </c>
      <c r="F1723" s="22" t="n">
        <v>45660</v>
      </c>
      <c r="G1723" t="n">
        <v>-335.1756545088387</v>
      </c>
    </row>
    <row r="1724">
      <c r="A1724" t="inlineStr">
        <is>
          <t>NAVA</t>
        </is>
      </c>
      <c r="B1724" t="inlineStr">
        <is>
          <t>Bull</t>
        </is>
      </c>
      <c r="C1724" t="n">
        <v>1027.1</v>
      </c>
      <c r="D1724" s="22" t="n">
        <v>45628</v>
      </c>
      <c r="E1724" t="n">
        <v>1002.05</v>
      </c>
      <c r="F1724" s="22" t="n">
        <v>45659</v>
      </c>
      <c r="G1724" t="n">
        <v>-2.438905656703335</v>
      </c>
    </row>
    <row r="1725">
      <c r="A1725" t="inlineStr">
        <is>
          <t>NAVA</t>
        </is>
      </c>
      <c r="B1725" t="inlineStr">
        <is>
          <t>Bear</t>
        </is>
      </c>
      <c r="C1725" t="n">
        <v>922.15</v>
      </c>
      <c r="D1725" s="22" t="n">
        <v>45593</v>
      </c>
      <c r="E1725" t="n">
        <v>1101.75</v>
      </c>
      <c r="F1725" s="22" t="n">
        <v>45624</v>
      </c>
      <c r="G1725" t="n">
        <v>-19.47622404164182</v>
      </c>
    </row>
    <row r="1726">
      <c r="A1726" t="inlineStr">
        <is>
          <t>NAVA</t>
        </is>
      </c>
      <c r="B1726" t="inlineStr">
        <is>
          <t>Bull</t>
        </is>
      </c>
      <c r="C1726" t="n">
        <v>446</v>
      </c>
      <c r="D1726" s="22" t="n">
        <v>45274</v>
      </c>
      <c r="E1726" t="n">
        <v>910.6</v>
      </c>
      <c r="F1726" s="22" t="n">
        <v>45589</v>
      </c>
      <c r="G1726" t="n">
        <v>104.170403587444</v>
      </c>
    </row>
    <row r="1727">
      <c r="A1727" t="inlineStr">
        <is>
          <t>NAVA</t>
        </is>
      </c>
      <c r="B1727" t="inlineStr">
        <is>
          <t>Bear</t>
        </is>
      </c>
      <c r="C1727" t="n">
        <v>397.3</v>
      </c>
      <c r="D1727" s="22" t="n">
        <v>45245</v>
      </c>
      <c r="E1727" t="n">
        <v>436.35</v>
      </c>
      <c r="F1727" s="22" t="n">
        <v>45272</v>
      </c>
      <c r="G1727" t="n">
        <v>-9.828844701736726</v>
      </c>
    </row>
    <row r="1728">
      <c r="A1728" t="inlineStr">
        <is>
          <t>NAVA</t>
        </is>
      </c>
      <c r="B1728" t="inlineStr">
        <is>
          <t>Bull</t>
        </is>
      </c>
      <c r="C1728" t="n">
        <v>254.6</v>
      </c>
      <c r="D1728" s="22" t="n">
        <v>45068</v>
      </c>
      <c r="E1728" t="n">
        <v>401.5</v>
      </c>
      <c r="F1728" s="22" t="n">
        <v>45242</v>
      </c>
      <c r="G1728" t="n">
        <v>57.69835035349568</v>
      </c>
    </row>
    <row r="1729">
      <c r="A1729" t="inlineStr">
        <is>
          <t>NAVA</t>
        </is>
      </c>
      <c r="B1729" t="inlineStr">
        <is>
          <t>Bear</t>
        </is>
      </c>
      <c r="C1729" t="n">
        <v>217.65</v>
      </c>
      <c r="D1729" s="22" t="n">
        <v>45013</v>
      </c>
      <c r="E1729" t="n">
        <v>248.85</v>
      </c>
      <c r="F1729" s="22" t="n">
        <v>45064</v>
      </c>
      <c r="G1729" t="n">
        <v>-14.33494141971054</v>
      </c>
    </row>
    <row r="1730">
      <c r="A1730" t="inlineStr">
        <is>
          <t>NAVNETEDUL</t>
        </is>
      </c>
      <c r="B1730" t="inlineStr">
        <is>
          <t>Bull</t>
        </is>
      </c>
      <c r="C1730" t="n">
        <v>145.33</v>
      </c>
      <c r="D1730" s="22" t="n">
        <v>45660</v>
      </c>
      <c r="E1730" t="n">
        <v>145.33</v>
      </c>
      <c r="F1730" s="22" t="n">
        <v>45660</v>
      </c>
      <c r="G1730" t="n">
        <v>0</v>
      </c>
    </row>
    <row r="1731">
      <c r="A1731" t="inlineStr">
        <is>
          <t>NAVNETEDUL</t>
        </is>
      </c>
      <c r="B1731" t="inlineStr">
        <is>
          <t>Bear</t>
        </is>
      </c>
      <c r="C1731" t="n">
        <v>153.34</v>
      </c>
      <c r="D1731" s="22" t="n">
        <v>45545</v>
      </c>
      <c r="E1731" t="n">
        <v>146.8</v>
      </c>
      <c r="F1731" s="22" t="n">
        <v>45658</v>
      </c>
      <c r="G1731" t="n">
        <v>4.265031955132381</v>
      </c>
    </row>
    <row r="1732">
      <c r="A1732" t="inlineStr">
        <is>
          <t>NAVNETEDUL</t>
        </is>
      </c>
      <c r="B1732" t="inlineStr">
        <is>
          <t>Bull</t>
        </is>
      </c>
      <c r="C1732" t="n">
        <v>152.03</v>
      </c>
      <c r="D1732" s="22" t="n">
        <v>45462</v>
      </c>
      <c r="E1732" t="n">
        <v>153.99</v>
      </c>
      <c r="F1732" s="22" t="n">
        <v>45541</v>
      </c>
      <c r="G1732" t="n">
        <v>1.289219233046115</v>
      </c>
    </row>
    <row r="1733">
      <c r="A1733" t="inlineStr">
        <is>
          <t>NAVNETEDUL</t>
        </is>
      </c>
      <c r="B1733" t="inlineStr">
        <is>
          <t>Bear</t>
        </is>
      </c>
      <c r="C1733" t="n">
        <v>148.75</v>
      </c>
      <c r="D1733" s="22" t="n">
        <v>45450</v>
      </c>
      <c r="E1733" t="n">
        <v>154.42</v>
      </c>
      <c r="F1733" s="22" t="n">
        <v>45457</v>
      </c>
      <c r="G1733" t="n">
        <v>-3.811764705882344</v>
      </c>
    </row>
    <row r="1734">
      <c r="A1734" t="inlineStr">
        <is>
          <t>NAVNETEDUL</t>
        </is>
      </c>
      <c r="B1734" t="inlineStr">
        <is>
          <t>Bull</t>
        </is>
      </c>
      <c r="C1734" t="n">
        <v>145.25</v>
      </c>
      <c r="D1734" s="22" t="n">
        <v>45418</v>
      </c>
      <c r="E1734" t="n">
        <v>143.6</v>
      </c>
      <c r="F1734" s="22" t="n">
        <v>45448</v>
      </c>
      <c r="G1734" t="n">
        <v>-1.13597246127367</v>
      </c>
    </row>
    <row r="1735">
      <c r="A1735" t="inlineStr">
        <is>
          <t>NAVNETEDUL</t>
        </is>
      </c>
      <c r="B1735" t="inlineStr">
        <is>
          <t>Bear</t>
        </is>
      </c>
      <c r="C1735" t="n">
        <v>143.3</v>
      </c>
      <c r="D1735" s="22" t="n">
        <v>45363</v>
      </c>
      <c r="E1735" t="n">
        <v>145.2</v>
      </c>
      <c r="F1735" s="22" t="n">
        <v>45414</v>
      </c>
      <c r="G1735" t="n">
        <v>-1.325889741800403</v>
      </c>
    </row>
    <row r="1736">
      <c r="A1736" t="inlineStr">
        <is>
          <t>NAVNETEDUL</t>
        </is>
      </c>
      <c r="B1736" t="inlineStr">
        <is>
          <t>Bull</t>
        </is>
      </c>
      <c r="C1736" t="n">
        <v>159.7</v>
      </c>
      <c r="D1736" s="22" t="n">
        <v>45294</v>
      </c>
      <c r="E1736" t="n">
        <v>148.55</v>
      </c>
      <c r="F1736" s="22" t="n">
        <v>45358</v>
      </c>
      <c r="G1736" t="n">
        <v>-6.981840951784582</v>
      </c>
    </row>
    <row r="1737">
      <c r="A1737" t="inlineStr">
        <is>
          <t>NAVNETEDUL</t>
        </is>
      </c>
      <c r="B1737" t="inlineStr">
        <is>
          <t>Bear</t>
        </is>
      </c>
      <c r="C1737" t="n">
        <v>139.95</v>
      </c>
      <c r="D1737" s="22" t="n">
        <v>45237</v>
      </c>
      <c r="E1737" t="n">
        <v>153.1</v>
      </c>
      <c r="F1737" s="22" t="n">
        <v>45292</v>
      </c>
      <c r="G1737" t="n">
        <v>-9.39621293319043</v>
      </c>
    </row>
    <row r="1738">
      <c r="A1738" t="inlineStr">
        <is>
          <t>NAVNETEDUL</t>
        </is>
      </c>
      <c r="B1738" t="inlineStr">
        <is>
          <t>Bull</t>
        </is>
      </c>
      <c r="C1738" t="n">
        <v>114.2</v>
      </c>
      <c r="D1738" s="22" t="n">
        <v>45037</v>
      </c>
      <c r="E1738" t="n">
        <v>151.7</v>
      </c>
      <c r="F1738" s="22" t="n">
        <v>45233</v>
      </c>
      <c r="G1738" t="n">
        <v>32.8371278458844</v>
      </c>
    </row>
    <row r="1739">
      <c r="A1739" t="inlineStr">
        <is>
          <t>NCC</t>
        </is>
      </c>
      <c r="B1739" t="inlineStr">
        <is>
          <t>Bear</t>
        </is>
      </c>
      <c r="C1739" t="n">
        <v>283.05</v>
      </c>
      <c r="D1739" s="22" t="n">
        <v>45650</v>
      </c>
      <c r="E1739" t="n">
        <v>276.95</v>
      </c>
      <c r="F1739" s="22" t="n">
        <v>45660</v>
      </c>
      <c r="G1739" t="n">
        <v>2.155096272743339</v>
      </c>
    </row>
    <row r="1740">
      <c r="A1740" t="inlineStr">
        <is>
          <t>NCC</t>
        </is>
      </c>
      <c r="B1740" t="inlineStr">
        <is>
          <t>Bull</t>
        </is>
      </c>
      <c r="C1740" t="n">
        <v>312.9</v>
      </c>
      <c r="D1740" s="22" t="n">
        <v>45635</v>
      </c>
      <c r="E1740" t="n">
        <v>287.55</v>
      </c>
      <c r="F1740" s="22" t="n">
        <v>45646</v>
      </c>
      <c r="G1740" t="n">
        <v>-8.10162991371044</v>
      </c>
    </row>
    <row r="1741">
      <c r="A1741" t="inlineStr">
        <is>
          <t>NCC</t>
        </is>
      </c>
      <c r="B1741" t="inlineStr">
        <is>
          <t>Bear</t>
        </is>
      </c>
      <c r="C1741" t="n">
        <v>310.9</v>
      </c>
      <c r="D1741" s="22" t="n">
        <v>45551</v>
      </c>
      <c r="E1741" t="n">
        <v>312.1</v>
      </c>
      <c r="F1741" s="22" t="n">
        <v>45631</v>
      </c>
      <c r="G1741" t="n">
        <v>-0.385976198134463</v>
      </c>
    </row>
    <row r="1742">
      <c r="A1742" t="inlineStr">
        <is>
          <t>NCC</t>
        </is>
      </c>
      <c r="B1742" t="inlineStr">
        <is>
          <t>Bull</t>
        </is>
      </c>
      <c r="C1742" t="n">
        <v>165.35</v>
      </c>
      <c r="D1742" s="22" t="n">
        <v>45245</v>
      </c>
      <c r="E1742" t="n">
        <v>317.7</v>
      </c>
      <c r="F1742" s="22" t="n">
        <v>45547</v>
      </c>
      <c r="G1742" t="n">
        <v>92.13788932567282</v>
      </c>
    </row>
    <row r="1743">
      <c r="A1743" t="inlineStr">
        <is>
          <t>NCC</t>
        </is>
      </c>
      <c r="B1743" t="inlineStr">
        <is>
          <t>Bear</t>
        </is>
      </c>
      <c r="C1743" t="n">
        <v>144.45</v>
      </c>
      <c r="D1743" s="22" t="n">
        <v>45230</v>
      </c>
      <c r="E1743" t="n">
        <v>157.7</v>
      </c>
      <c r="F1743" s="22" t="n">
        <v>45242</v>
      </c>
      <c r="G1743" t="n">
        <v>-9.172724125995154</v>
      </c>
    </row>
    <row r="1744">
      <c r="A1744" t="inlineStr">
        <is>
          <t>NCC</t>
        </is>
      </c>
      <c r="B1744" t="inlineStr">
        <is>
          <t>Bull</t>
        </is>
      </c>
      <c r="C1744" t="n">
        <v>63.65</v>
      </c>
      <c r="D1744" s="22" t="n">
        <v>44781</v>
      </c>
      <c r="E1744" t="n">
        <v>147.25</v>
      </c>
      <c r="F1744" s="22" t="n">
        <v>45226</v>
      </c>
      <c r="G1744" t="n">
        <v>131.3432835820896</v>
      </c>
    </row>
    <row r="1745">
      <c r="A1745" t="inlineStr">
        <is>
          <t>NELCO</t>
        </is>
      </c>
      <c r="B1745" t="inlineStr">
        <is>
          <t>Bull</t>
        </is>
      </c>
      <c r="C1745" t="n">
        <v>1219.55</v>
      </c>
      <c r="D1745" s="22" t="n">
        <v>45629</v>
      </c>
      <c r="E1745" t="n">
        <v>1377.9</v>
      </c>
      <c r="F1745" s="22" t="n">
        <v>45660</v>
      </c>
      <c r="G1745" t="n">
        <v>12.98429748677792</v>
      </c>
    </row>
    <row r="1746">
      <c r="A1746" t="inlineStr">
        <is>
          <t>NELCO</t>
        </is>
      </c>
      <c r="B1746" t="inlineStr">
        <is>
          <t>Bear</t>
        </is>
      </c>
      <c r="C1746" t="n">
        <v>994.7</v>
      </c>
      <c r="D1746" s="22" t="n">
        <v>45581</v>
      </c>
      <c r="E1746" t="n">
        <v>1040.85</v>
      </c>
      <c r="F1746" s="22" t="n">
        <v>45625</v>
      </c>
      <c r="G1746" t="n">
        <v>-4.6395898260782</v>
      </c>
    </row>
    <row r="1747">
      <c r="A1747" t="inlineStr">
        <is>
          <t>NELCO</t>
        </is>
      </c>
      <c r="B1747" t="inlineStr">
        <is>
          <t>Bull</t>
        </is>
      </c>
      <c r="C1747" t="n">
        <v>802.95</v>
      </c>
      <c r="D1747" s="22" t="n">
        <v>45457</v>
      </c>
      <c r="E1747" t="n">
        <v>1004</v>
      </c>
      <c r="F1747" s="22" t="n">
        <v>45579</v>
      </c>
      <c r="G1747" t="n">
        <v>25.03891898623824</v>
      </c>
    </row>
    <row r="1748">
      <c r="A1748" t="inlineStr">
        <is>
          <t>NELCO</t>
        </is>
      </c>
      <c r="B1748" t="inlineStr">
        <is>
          <t>Bear</t>
        </is>
      </c>
      <c r="C1748" t="n">
        <v>720.4</v>
      </c>
      <c r="D1748" s="22" t="n">
        <v>45422</v>
      </c>
      <c r="E1748" t="n">
        <v>777.25</v>
      </c>
      <c r="F1748" s="22" t="n">
        <v>45455</v>
      </c>
      <c r="G1748" t="n">
        <v>-7.891449194891731</v>
      </c>
    </row>
    <row r="1749">
      <c r="A1749" t="inlineStr">
        <is>
          <t>NELCO</t>
        </is>
      </c>
      <c r="B1749" t="inlineStr">
        <is>
          <t>Bull</t>
        </is>
      </c>
      <c r="C1749" t="n">
        <v>759.4</v>
      </c>
      <c r="D1749" s="22" t="n">
        <v>45407</v>
      </c>
      <c r="E1749" t="n">
        <v>738.1</v>
      </c>
      <c r="F1749" s="22" t="n">
        <v>45420</v>
      </c>
      <c r="G1749" t="n">
        <v>-2.804845930998151</v>
      </c>
    </row>
    <row r="1750">
      <c r="A1750" t="inlineStr">
        <is>
          <t>NELCO</t>
        </is>
      </c>
      <c r="B1750" t="inlineStr">
        <is>
          <t>Bear</t>
        </is>
      </c>
      <c r="C1750" t="n">
        <v>743</v>
      </c>
      <c r="D1750" s="22" t="n">
        <v>45335</v>
      </c>
      <c r="E1750" t="n">
        <v>808.55</v>
      </c>
      <c r="F1750" s="22" t="n">
        <v>45405</v>
      </c>
      <c r="G1750" t="n">
        <v>-8.822341857335122</v>
      </c>
    </row>
    <row r="1751">
      <c r="A1751" t="inlineStr">
        <is>
          <t>NELCO</t>
        </is>
      </c>
      <c r="B1751" t="inlineStr">
        <is>
          <t>Bull</t>
        </is>
      </c>
      <c r="C1751" t="n">
        <v>779.65</v>
      </c>
      <c r="D1751" s="22" t="n">
        <v>45272</v>
      </c>
      <c r="E1751" t="n">
        <v>779.35</v>
      </c>
      <c r="F1751" s="22" t="n">
        <v>45331</v>
      </c>
      <c r="G1751" t="n">
        <v>-0.03847880459179819</v>
      </c>
    </row>
    <row r="1752">
      <c r="A1752" t="inlineStr">
        <is>
          <t>NELCO</t>
        </is>
      </c>
      <c r="B1752" t="inlineStr">
        <is>
          <t>Bear</t>
        </is>
      </c>
      <c r="C1752" t="n">
        <v>784.25</v>
      </c>
      <c r="D1752" s="22" t="n">
        <v>45210</v>
      </c>
      <c r="E1752" t="n">
        <v>794.45</v>
      </c>
      <c r="F1752" s="22" t="n">
        <v>45268</v>
      </c>
      <c r="G1752" t="n">
        <v>-1.300605674211035</v>
      </c>
    </row>
    <row r="1753">
      <c r="A1753" t="inlineStr">
        <is>
          <t>NELCO</t>
        </is>
      </c>
      <c r="B1753" t="inlineStr">
        <is>
          <t>Bull</t>
        </is>
      </c>
      <c r="C1753" t="n">
        <v>616.5</v>
      </c>
      <c r="D1753" s="22" t="n">
        <v>45050</v>
      </c>
      <c r="E1753" t="n">
        <v>755.05</v>
      </c>
      <c r="F1753" s="22" t="n">
        <v>45208</v>
      </c>
      <c r="G1753" t="n">
        <v>22.47364152473641</v>
      </c>
    </row>
    <row r="1754">
      <c r="A1754" t="inlineStr">
        <is>
          <t>NESCO</t>
        </is>
      </c>
      <c r="B1754" t="inlineStr">
        <is>
          <t>Bear</t>
        </is>
      </c>
      <c r="C1754" t="n">
        <v>949.75</v>
      </c>
      <c r="D1754" s="22" t="n">
        <v>45656</v>
      </c>
      <c r="E1754" t="n">
        <v>995.6</v>
      </c>
      <c r="F1754" s="22" t="n">
        <v>45660</v>
      </c>
      <c r="G1754" t="n">
        <v>-4.827586206896554</v>
      </c>
    </row>
    <row r="1755">
      <c r="A1755" t="inlineStr">
        <is>
          <t>NESCO</t>
        </is>
      </c>
      <c r="B1755" t="inlineStr">
        <is>
          <t>Bull</t>
        </is>
      </c>
      <c r="C1755" t="n">
        <v>991.3</v>
      </c>
      <c r="D1755" s="22" t="n">
        <v>45600</v>
      </c>
      <c r="E1755" t="n">
        <v>949.05</v>
      </c>
      <c r="F1755" s="22" t="n">
        <v>45652</v>
      </c>
      <c r="G1755" t="n">
        <v>-4.26208009684253</v>
      </c>
    </row>
    <row r="1756">
      <c r="A1756" t="inlineStr">
        <is>
          <t>NESCO</t>
        </is>
      </c>
      <c r="B1756" t="inlineStr">
        <is>
          <t>Bear</t>
        </is>
      </c>
      <c r="C1756" t="n">
        <v>889.45</v>
      </c>
      <c r="D1756" s="22" t="n">
        <v>45590</v>
      </c>
      <c r="E1756" t="n">
        <v>990.6</v>
      </c>
      <c r="F1756" s="22" t="n">
        <v>45596</v>
      </c>
      <c r="G1756" t="n">
        <v>-11.37219630108494</v>
      </c>
    </row>
    <row r="1757">
      <c r="A1757" t="inlineStr">
        <is>
          <t>NESCO</t>
        </is>
      </c>
      <c r="B1757" t="inlineStr">
        <is>
          <t>Bull</t>
        </is>
      </c>
      <c r="C1757" t="n">
        <v>943.8</v>
      </c>
      <c r="D1757" s="22" t="n">
        <v>45527</v>
      </c>
      <c r="E1757" t="n">
        <v>907.95</v>
      </c>
      <c r="F1757" s="22" t="n">
        <v>45588</v>
      </c>
      <c r="G1757" t="n">
        <v>-3.798474253019698</v>
      </c>
    </row>
    <row r="1758">
      <c r="A1758" t="inlineStr">
        <is>
          <t>NESCO</t>
        </is>
      </c>
      <c r="B1758" t="inlineStr">
        <is>
          <t>Bear</t>
        </is>
      </c>
      <c r="C1758" t="n">
        <v>884.75</v>
      </c>
      <c r="D1758" s="22" t="n">
        <v>45511</v>
      </c>
      <c r="E1758" t="n">
        <v>919.1</v>
      </c>
      <c r="F1758" s="22" t="n">
        <v>45525</v>
      </c>
      <c r="G1758" t="n">
        <v>-3.882452670245835</v>
      </c>
    </row>
    <row r="1759">
      <c r="A1759" t="inlineStr">
        <is>
          <t>NESCO</t>
        </is>
      </c>
      <c r="B1759" t="inlineStr">
        <is>
          <t>Bull</t>
        </is>
      </c>
      <c r="C1759" t="n">
        <v>851.25</v>
      </c>
      <c r="D1759" s="22" t="n">
        <v>45414</v>
      </c>
      <c r="E1759" t="n">
        <v>836.45</v>
      </c>
      <c r="F1759" s="22" t="n">
        <v>45509</v>
      </c>
      <c r="G1759" t="n">
        <v>-1.738619676945663</v>
      </c>
    </row>
    <row r="1760">
      <c r="A1760" t="inlineStr">
        <is>
          <t>NESCO</t>
        </is>
      </c>
      <c r="B1760" t="inlineStr">
        <is>
          <t>Bear</t>
        </is>
      </c>
      <c r="C1760" t="n">
        <v>809.1</v>
      </c>
      <c r="D1760" s="22" t="n">
        <v>45365</v>
      </c>
      <c r="E1760" t="n">
        <v>861.65</v>
      </c>
      <c r="F1760" s="22" t="n">
        <v>45411</v>
      </c>
      <c r="G1760" t="n">
        <v>-6.494870844147813</v>
      </c>
    </row>
    <row r="1761">
      <c r="A1761" t="inlineStr">
        <is>
          <t>NESCO</t>
        </is>
      </c>
      <c r="B1761" t="inlineStr">
        <is>
          <t>Bull</t>
        </is>
      </c>
      <c r="C1761" t="n">
        <v>778.45</v>
      </c>
      <c r="D1761" s="22" t="n">
        <v>45243</v>
      </c>
      <c r="E1761" t="n">
        <v>800.1</v>
      </c>
      <c r="F1761" s="22" t="n">
        <v>45363</v>
      </c>
      <c r="G1761" t="n">
        <v>2.781167705054914</v>
      </c>
    </row>
    <row r="1762">
      <c r="A1762" t="inlineStr">
        <is>
          <t>NESCO</t>
        </is>
      </c>
      <c r="B1762" t="inlineStr">
        <is>
          <t>Bear</t>
        </is>
      </c>
      <c r="C1762" t="n">
        <v>679.45</v>
      </c>
      <c r="D1762" s="22" t="n">
        <v>45216</v>
      </c>
      <c r="E1762" t="n">
        <v>756.45</v>
      </c>
      <c r="F1762" s="22" t="n">
        <v>45240</v>
      </c>
      <c r="G1762" t="n">
        <v>-11.33269556258739</v>
      </c>
    </row>
    <row r="1763">
      <c r="A1763" t="inlineStr">
        <is>
          <t>NESCO</t>
        </is>
      </c>
      <c r="B1763" t="inlineStr">
        <is>
          <t>Bull</t>
        </is>
      </c>
      <c r="C1763" t="n">
        <v>569.75</v>
      </c>
      <c r="D1763" s="22" t="n">
        <v>45051</v>
      </c>
      <c r="E1763" t="n">
        <v>671.15</v>
      </c>
      <c r="F1763" s="22" t="n">
        <v>45212</v>
      </c>
      <c r="G1763" t="n">
        <v>17.79727950855638</v>
      </c>
    </row>
    <row r="1764">
      <c r="A1764" t="inlineStr">
        <is>
          <t>NEULANDLAB</t>
        </is>
      </c>
      <c r="B1764" t="inlineStr">
        <is>
          <t>Bear</t>
        </is>
      </c>
      <c r="C1764" t="n">
        <v>14294.1</v>
      </c>
      <c r="D1764" s="22" t="n">
        <v>45658</v>
      </c>
      <c r="E1764" t="n">
        <v>13774.2</v>
      </c>
      <c r="F1764" s="22" t="n">
        <v>45660</v>
      </c>
      <c r="G1764" t="n">
        <v>3.637164984154299</v>
      </c>
    </row>
    <row r="1765">
      <c r="A1765" t="inlineStr">
        <is>
          <t>NEULANDLAB</t>
        </is>
      </c>
      <c r="B1765" t="inlineStr">
        <is>
          <t>Bull</t>
        </is>
      </c>
      <c r="C1765" t="n">
        <v>7267.8</v>
      </c>
      <c r="D1765" s="22" t="n">
        <v>45469</v>
      </c>
      <c r="E1765" t="n">
        <v>13845.6</v>
      </c>
      <c r="F1765" s="22" t="n">
        <v>45656</v>
      </c>
      <c r="G1765" t="n">
        <v>90.50606786097582</v>
      </c>
    </row>
    <row r="1766">
      <c r="A1766" t="inlineStr">
        <is>
          <t>NEULANDLAB</t>
        </is>
      </c>
      <c r="B1766" t="inlineStr">
        <is>
          <t>Bear</t>
        </is>
      </c>
      <c r="C1766" t="n">
        <v>6294.3</v>
      </c>
      <c r="D1766" s="22" t="n">
        <v>45434</v>
      </c>
      <c r="E1766" t="n">
        <v>6704.85</v>
      </c>
      <c r="F1766" s="22" t="n">
        <v>45467</v>
      </c>
      <c r="G1766" t="n">
        <v>-6.522568037748441</v>
      </c>
    </row>
    <row r="1767">
      <c r="A1767" t="inlineStr">
        <is>
          <t>NEULANDLAB</t>
        </is>
      </c>
      <c r="B1767" t="inlineStr">
        <is>
          <t>Bull</t>
        </is>
      </c>
      <c r="C1767" t="n">
        <v>1643.95</v>
      </c>
      <c r="D1767" s="22" t="n">
        <v>44991</v>
      </c>
      <c r="E1767" t="n">
        <v>6225.2</v>
      </c>
      <c r="F1767" s="22" t="n">
        <v>45430</v>
      </c>
      <c r="G1767" t="n">
        <v>278.6733173150035</v>
      </c>
    </row>
    <row r="1768">
      <c r="A1768" t="inlineStr">
        <is>
          <t>NGLFINE</t>
        </is>
      </c>
      <c r="B1768" t="inlineStr">
        <is>
          <t>Bear</t>
        </is>
      </c>
      <c r="C1768" t="n">
        <v>2255.45</v>
      </c>
      <c r="D1768" s="22" t="n">
        <v>45527</v>
      </c>
      <c r="E1768" t="n">
        <v>1802</v>
      </c>
      <c r="F1768" s="22" t="n">
        <v>45660</v>
      </c>
      <c r="G1768" t="n">
        <v>20.10463543860426</v>
      </c>
    </row>
    <row r="1769">
      <c r="A1769" t="inlineStr">
        <is>
          <t>NGLFINE</t>
        </is>
      </c>
      <c r="B1769" t="inlineStr">
        <is>
          <t>Bull</t>
        </is>
      </c>
      <c r="C1769" t="n">
        <v>2148.5</v>
      </c>
      <c r="D1769" s="22" t="n">
        <v>45345</v>
      </c>
      <c r="E1769" t="n">
        <v>2318.45</v>
      </c>
      <c r="F1769" s="22" t="n">
        <v>45525</v>
      </c>
      <c r="G1769" t="n">
        <v>7.910169885966946</v>
      </c>
    </row>
    <row r="1770">
      <c r="A1770" t="inlineStr">
        <is>
          <t>NGLFINE</t>
        </is>
      </c>
      <c r="B1770" t="inlineStr">
        <is>
          <t>Bear</t>
        </is>
      </c>
      <c r="C1770" t="n">
        <v>1925</v>
      </c>
      <c r="D1770" s="22" t="n">
        <v>45316</v>
      </c>
      <c r="E1770" t="n">
        <v>2142.45</v>
      </c>
      <c r="F1770" s="22" t="n">
        <v>45343</v>
      </c>
      <c r="G1770" t="n">
        <v>-11.29610389610389</v>
      </c>
    </row>
    <row r="1771">
      <c r="A1771" t="inlineStr">
        <is>
          <t>NGLFINE</t>
        </is>
      </c>
      <c r="B1771" t="inlineStr">
        <is>
          <t>Bull</t>
        </is>
      </c>
      <c r="C1771" t="n">
        <v>2012.7</v>
      </c>
      <c r="D1771" s="22" t="n">
        <v>45259</v>
      </c>
      <c r="E1771" t="n">
        <v>1892.65</v>
      </c>
      <c r="F1771" s="22" t="n">
        <v>45314</v>
      </c>
      <c r="G1771" t="n">
        <v>-5.964624633576785</v>
      </c>
    </row>
    <row r="1772">
      <c r="A1772" t="inlineStr">
        <is>
          <t>NGLFINE</t>
        </is>
      </c>
      <c r="B1772" t="inlineStr">
        <is>
          <t>Bear</t>
        </is>
      </c>
      <c r="C1772" t="n">
        <v>1934.95</v>
      </c>
      <c r="D1772" s="22" t="n">
        <v>45204</v>
      </c>
      <c r="E1772" t="n">
        <v>1978</v>
      </c>
      <c r="F1772" s="22" t="n">
        <v>45254</v>
      </c>
      <c r="G1772" t="n">
        <v>-2.224863691568255</v>
      </c>
    </row>
    <row r="1773">
      <c r="A1773" t="inlineStr">
        <is>
          <t>NGLFINE</t>
        </is>
      </c>
      <c r="B1773" t="inlineStr">
        <is>
          <t>Bull</t>
        </is>
      </c>
      <c r="C1773" t="n">
        <v>1455.4</v>
      </c>
      <c r="D1773" s="22" t="n">
        <v>45043</v>
      </c>
      <c r="E1773" t="n">
        <v>1931</v>
      </c>
      <c r="F1773" s="22" t="n">
        <v>45202</v>
      </c>
      <c r="G1773" t="n">
        <v>32.67830149787</v>
      </c>
    </row>
    <row r="1774">
      <c r="A1774" t="inlineStr">
        <is>
          <t>NHPC</t>
        </is>
      </c>
      <c r="B1774" t="inlineStr">
        <is>
          <t>Bear</t>
        </is>
      </c>
      <c r="C1774" t="n">
        <v>95.12</v>
      </c>
      <c r="D1774" s="22" t="n">
        <v>45517</v>
      </c>
      <c r="E1774" t="n">
        <v>83.09</v>
      </c>
      <c r="F1774" s="22" t="n">
        <v>45660</v>
      </c>
      <c r="G1774" t="n">
        <v>12.64718250630782</v>
      </c>
    </row>
    <row r="1775">
      <c r="A1775" t="inlineStr">
        <is>
          <t>NHPC</t>
        </is>
      </c>
      <c r="B1775" t="inlineStr">
        <is>
          <t>Bull</t>
        </is>
      </c>
      <c r="C1775" t="n">
        <v>54.4</v>
      </c>
      <c r="D1775" s="22" t="n">
        <v>45251</v>
      </c>
      <c r="E1775" t="n">
        <v>97.77</v>
      </c>
      <c r="F1775" s="22" t="n">
        <v>45513</v>
      </c>
      <c r="G1775" t="n">
        <v>79.72426470588235</v>
      </c>
    </row>
    <row r="1776">
      <c r="A1776" t="inlineStr">
        <is>
          <t>NHPC</t>
        </is>
      </c>
      <c r="B1776" t="inlineStr">
        <is>
          <t>Bear</t>
        </is>
      </c>
      <c r="C1776" t="n">
        <v>50.5</v>
      </c>
      <c r="D1776" s="22" t="n">
        <v>45232</v>
      </c>
      <c r="E1776" t="n">
        <v>52.7</v>
      </c>
      <c r="F1776" s="22" t="n">
        <v>45247</v>
      </c>
      <c r="G1776" t="n">
        <v>-4.356435643564362</v>
      </c>
    </row>
    <row r="1777">
      <c r="A1777" t="inlineStr">
        <is>
          <t>NHPC</t>
        </is>
      </c>
      <c r="B1777" t="inlineStr">
        <is>
          <t>Bull</t>
        </is>
      </c>
      <c r="C1777" t="n">
        <v>42.85</v>
      </c>
      <c r="D1777" s="22" t="n">
        <v>45029</v>
      </c>
      <c r="E1777" t="n">
        <v>50.2</v>
      </c>
      <c r="F1777" s="22" t="n">
        <v>45230</v>
      </c>
      <c r="G1777" t="n">
        <v>17.15285880980164</v>
      </c>
    </row>
    <row r="1778">
      <c r="A1778" t="inlineStr">
        <is>
          <t>NAM-INDIA</t>
        </is>
      </c>
      <c r="B1778" t="inlineStr">
        <is>
          <t>Bull</t>
        </is>
      </c>
      <c r="C1778" t="n">
        <v>718.7</v>
      </c>
      <c r="D1778" s="22" t="n">
        <v>45581</v>
      </c>
      <c r="E1778" t="n">
        <v>758.25</v>
      </c>
      <c r="F1778" s="22" t="n">
        <v>45660</v>
      </c>
      <c r="G1778" t="n">
        <v>5.502991512453034</v>
      </c>
    </row>
    <row r="1779">
      <c r="A1779" t="inlineStr">
        <is>
          <t>NAM-INDIA</t>
        </is>
      </c>
      <c r="B1779" t="inlineStr">
        <is>
          <t>Bear</t>
        </is>
      </c>
      <c r="C1779" t="n">
        <v>645.1</v>
      </c>
      <c r="D1779" s="22" t="n">
        <v>45574</v>
      </c>
      <c r="E1779" t="n">
        <v>697.1</v>
      </c>
      <c r="F1779" s="22" t="n">
        <v>45579</v>
      </c>
      <c r="G1779" t="n">
        <v>-8.060765772748411</v>
      </c>
    </row>
    <row r="1780">
      <c r="A1780" t="inlineStr">
        <is>
          <t>NAM-INDIA</t>
        </is>
      </c>
      <c r="B1780" t="inlineStr">
        <is>
          <t>Bull</t>
        </is>
      </c>
      <c r="C1780" t="n">
        <v>516.7</v>
      </c>
      <c r="D1780" s="22" t="n">
        <v>45390</v>
      </c>
      <c r="E1780" t="n">
        <v>631.05</v>
      </c>
      <c r="F1780" s="22" t="n">
        <v>45572</v>
      </c>
      <c r="G1780" t="n">
        <v>22.13083026901488</v>
      </c>
    </row>
    <row r="1781">
      <c r="A1781" t="inlineStr">
        <is>
          <t>NAM-INDIA</t>
        </is>
      </c>
      <c r="B1781" t="inlineStr">
        <is>
          <t>Bear</t>
        </is>
      </c>
      <c r="C1781" t="n">
        <v>441.2</v>
      </c>
      <c r="D1781" s="22" t="n">
        <v>45371</v>
      </c>
      <c r="E1781" t="n">
        <v>521.5</v>
      </c>
      <c r="F1781" s="22" t="n">
        <v>45386</v>
      </c>
      <c r="G1781" t="n">
        <v>-18.20036264732548</v>
      </c>
    </row>
    <row r="1782">
      <c r="A1782" t="inlineStr">
        <is>
          <t>NAM-INDIA</t>
        </is>
      </c>
      <c r="B1782" t="inlineStr">
        <is>
          <t>Bull</t>
        </is>
      </c>
      <c r="C1782" t="n">
        <v>234.55</v>
      </c>
      <c r="D1782" s="22" t="n">
        <v>45040</v>
      </c>
      <c r="E1782" t="n">
        <v>445.8</v>
      </c>
      <c r="F1782" s="22" t="n">
        <v>45369</v>
      </c>
      <c r="G1782" t="n">
        <v>90.06608399062033</v>
      </c>
    </row>
    <row r="1783">
      <c r="A1783" t="inlineStr">
        <is>
          <t>NMDC</t>
        </is>
      </c>
      <c r="B1783" t="inlineStr">
        <is>
          <t>Bear</t>
        </is>
      </c>
      <c r="C1783" t="n">
        <v>71.34999999999999</v>
      </c>
      <c r="D1783" s="22" t="n">
        <v>45649</v>
      </c>
      <c r="E1783" t="n">
        <v>67.66</v>
      </c>
      <c r="F1783" s="22" t="n">
        <v>45660</v>
      </c>
      <c r="G1783" t="n">
        <v>5.171688857743515</v>
      </c>
    </row>
    <row r="1784">
      <c r="A1784" t="inlineStr">
        <is>
          <t>NMDC</t>
        </is>
      </c>
      <c r="B1784" t="inlineStr">
        <is>
          <t>Bull</t>
        </is>
      </c>
      <c r="C1784" t="n">
        <v>78.56</v>
      </c>
      <c r="D1784" s="22" t="n">
        <v>45629</v>
      </c>
      <c r="E1784" t="n">
        <v>71.37</v>
      </c>
      <c r="F1784" s="22" t="n">
        <v>45645</v>
      </c>
      <c r="G1784" t="n">
        <v>-9.152240325865577</v>
      </c>
    </row>
    <row r="1785">
      <c r="A1785" t="inlineStr">
        <is>
          <t>NMDC</t>
        </is>
      </c>
      <c r="B1785" t="inlineStr">
        <is>
          <t>Bear</t>
        </is>
      </c>
      <c r="C1785" t="n">
        <v>72.54000000000001</v>
      </c>
      <c r="D1785" s="22" t="n">
        <v>45617</v>
      </c>
      <c r="E1785" t="n">
        <v>76.69</v>
      </c>
      <c r="F1785" s="22" t="n">
        <v>45625</v>
      </c>
      <c r="G1785" t="n">
        <v>-5.720981527433128</v>
      </c>
    </row>
    <row r="1786">
      <c r="A1786" t="inlineStr">
        <is>
          <t>NMDC</t>
        </is>
      </c>
      <c r="B1786" t="inlineStr">
        <is>
          <t>Bull</t>
        </is>
      </c>
      <c r="C1786" t="n">
        <v>79.64</v>
      </c>
      <c r="D1786" s="22" t="n">
        <v>45603</v>
      </c>
      <c r="E1786" t="n">
        <v>74.23999999999999</v>
      </c>
      <c r="F1786" s="22" t="n">
        <v>45614</v>
      </c>
      <c r="G1786" t="n">
        <v>-6.780512305374191</v>
      </c>
    </row>
    <row r="1787">
      <c r="A1787" t="inlineStr">
        <is>
          <t>NMDC</t>
        </is>
      </c>
      <c r="B1787" t="inlineStr">
        <is>
          <t>Bear</t>
        </is>
      </c>
      <c r="C1787" t="n">
        <v>72.61</v>
      </c>
      <c r="D1787" s="22" t="n">
        <v>45590</v>
      </c>
      <c r="E1787" t="n">
        <v>78.23999999999999</v>
      </c>
      <c r="F1787" s="22" t="n">
        <v>45601</v>
      </c>
      <c r="G1787" t="n">
        <v>-7.753752926594126</v>
      </c>
    </row>
    <row r="1788">
      <c r="A1788" t="inlineStr">
        <is>
          <t>NMDC</t>
        </is>
      </c>
      <c r="B1788" t="inlineStr">
        <is>
          <t>Bull</t>
        </is>
      </c>
      <c r="C1788" t="n">
        <v>76.25</v>
      </c>
      <c r="D1788" s="22" t="n">
        <v>45572</v>
      </c>
      <c r="E1788" t="n">
        <v>72.76000000000001</v>
      </c>
      <c r="F1788" s="22" t="n">
        <v>45588</v>
      </c>
      <c r="G1788" t="n">
        <v>-4.577049180327862</v>
      </c>
    </row>
    <row r="1789">
      <c r="A1789" t="inlineStr">
        <is>
          <t>NMDC</t>
        </is>
      </c>
      <c r="B1789" t="inlineStr">
        <is>
          <t>Bear</t>
        </is>
      </c>
      <c r="C1789" t="n">
        <v>82.06</v>
      </c>
      <c r="D1789" s="22" t="n">
        <v>45484</v>
      </c>
      <c r="E1789" t="n">
        <v>79.8</v>
      </c>
      <c r="F1789" s="22" t="n">
        <v>45568</v>
      </c>
      <c r="G1789" t="n">
        <v>2.754082378747264</v>
      </c>
    </row>
    <row r="1790">
      <c r="A1790" t="inlineStr">
        <is>
          <t>NMDC</t>
        </is>
      </c>
      <c r="B1790" t="inlineStr">
        <is>
          <t>Bull</t>
        </is>
      </c>
      <c r="C1790" t="n">
        <v>80.3</v>
      </c>
      <c r="D1790" s="22" t="n">
        <v>45397</v>
      </c>
      <c r="E1790" t="n">
        <v>83.77</v>
      </c>
      <c r="F1790" s="22" t="n">
        <v>45482</v>
      </c>
      <c r="G1790" t="n">
        <v>4.32129514321295</v>
      </c>
    </row>
    <row r="1791">
      <c r="A1791" t="inlineStr">
        <is>
          <t>NMDC</t>
        </is>
      </c>
      <c r="B1791" t="inlineStr">
        <is>
          <t>Bear</t>
        </is>
      </c>
      <c r="C1791" t="n">
        <v>68.59999999999999</v>
      </c>
      <c r="D1791" s="22" t="n">
        <v>45371</v>
      </c>
      <c r="E1791" t="n">
        <v>80.37</v>
      </c>
      <c r="F1791" s="22" t="n">
        <v>45392</v>
      </c>
      <c r="G1791" t="n">
        <v>-17.15743440233238</v>
      </c>
    </row>
    <row r="1792">
      <c r="A1792" t="inlineStr">
        <is>
          <t>NMDC</t>
        </is>
      </c>
      <c r="B1792" t="inlineStr">
        <is>
          <t>Bull</t>
        </is>
      </c>
      <c r="C1792" t="n">
        <v>37.78</v>
      </c>
      <c r="D1792" s="22" t="n">
        <v>45124</v>
      </c>
      <c r="E1792" t="n">
        <v>67.56999999999999</v>
      </c>
      <c r="F1792" s="22" t="n">
        <v>45369</v>
      </c>
      <c r="G1792" t="n">
        <v>78.85124404446795</v>
      </c>
    </row>
    <row r="1793">
      <c r="A1793" t="inlineStr">
        <is>
          <t>NMDC</t>
        </is>
      </c>
      <c r="B1793" t="inlineStr">
        <is>
          <t>Bear</t>
        </is>
      </c>
      <c r="C1793" t="n">
        <v>39.02</v>
      </c>
      <c r="D1793" s="22" t="n">
        <v>44980</v>
      </c>
      <c r="E1793" t="n">
        <v>37.17</v>
      </c>
      <c r="F1793" s="22" t="n">
        <v>45120</v>
      </c>
      <c r="G1793" t="n">
        <v>4.741158380317789</v>
      </c>
    </row>
    <row r="1794">
      <c r="A1794" t="inlineStr">
        <is>
          <t>NRBBEARING</t>
        </is>
      </c>
      <c r="B1794" t="inlineStr">
        <is>
          <t>Bear</t>
        </is>
      </c>
      <c r="C1794" t="n">
        <v>277.8</v>
      </c>
      <c r="D1794" s="22" t="n">
        <v>45656</v>
      </c>
      <c r="E1794" t="n">
        <v>290.05</v>
      </c>
      <c r="F1794" s="22" t="n">
        <v>45660</v>
      </c>
      <c r="G1794" t="n">
        <v>-4.409647228221742</v>
      </c>
    </row>
    <row r="1795">
      <c r="A1795" t="inlineStr">
        <is>
          <t>NRBBEARING</t>
        </is>
      </c>
      <c r="B1795" t="inlineStr">
        <is>
          <t>Bull</t>
        </is>
      </c>
      <c r="C1795" t="n">
        <v>301.65</v>
      </c>
      <c r="D1795" s="22" t="n">
        <v>45631</v>
      </c>
      <c r="E1795" t="n">
        <v>279.35</v>
      </c>
      <c r="F1795" s="22" t="n">
        <v>45652</v>
      </c>
      <c r="G1795" t="n">
        <v>-7.392673628377244</v>
      </c>
    </row>
    <row r="1796">
      <c r="A1796" t="inlineStr">
        <is>
          <t>NRBBEARING</t>
        </is>
      </c>
      <c r="B1796" t="inlineStr">
        <is>
          <t>Bear</t>
        </is>
      </c>
      <c r="C1796" t="n">
        <v>310.3</v>
      </c>
      <c r="D1796" s="22" t="n">
        <v>45510</v>
      </c>
      <c r="E1796" t="n">
        <v>306.45</v>
      </c>
      <c r="F1796" s="22" t="n">
        <v>45629</v>
      </c>
      <c r="G1796" t="n">
        <v>1.240734772800523</v>
      </c>
    </row>
    <row r="1797">
      <c r="A1797" t="inlineStr">
        <is>
          <t>NRBBEARING</t>
        </is>
      </c>
      <c r="B1797" t="inlineStr">
        <is>
          <t>Bull</t>
        </is>
      </c>
      <c r="C1797" t="n">
        <v>323.75</v>
      </c>
      <c r="D1797" s="22" t="n">
        <v>45406</v>
      </c>
      <c r="E1797" t="n">
        <v>325.95</v>
      </c>
      <c r="F1797" s="22" t="n">
        <v>45506</v>
      </c>
      <c r="G1797" t="n">
        <v>0.679536679536676</v>
      </c>
    </row>
    <row r="1798">
      <c r="A1798" t="inlineStr">
        <is>
          <t>NRBBEARING</t>
        </is>
      </c>
      <c r="B1798" t="inlineStr">
        <is>
          <t>Bear</t>
        </is>
      </c>
      <c r="C1798" t="n">
        <v>314.75</v>
      </c>
      <c r="D1798" s="22" t="n">
        <v>45352</v>
      </c>
      <c r="E1798" t="n">
        <v>319.75</v>
      </c>
      <c r="F1798" s="22" t="n">
        <v>45404</v>
      </c>
      <c r="G1798" t="n">
        <v>-1.588562351072279</v>
      </c>
    </row>
    <row r="1799">
      <c r="A1799" t="inlineStr">
        <is>
          <t>NRBBEARING</t>
        </is>
      </c>
      <c r="B1799" t="inlineStr">
        <is>
          <t>Bull</t>
        </is>
      </c>
      <c r="C1799" t="n">
        <v>150.65</v>
      </c>
      <c r="D1799" s="22" t="n">
        <v>45042</v>
      </c>
      <c r="E1799" t="n">
        <v>316.1</v>
      </c>
      <c r="F1799" s="22" t="n">
        <v>45350</v>
      </c>
      <c r="G1799" t="n">
        <v>109.8240955857949</v>
      </c>
    </row>
    <row r="1800">
      <c r="A1800" t="inlineStr">
        <is>
          <t>NTPC</t>
        </is>
      </c>
      <c r="B1800" t="inlineStr">
        <is>
          <t>Bear</t>
        </is>
      </c>
      <c r="C1800" t="n">
        <v>408.9</v>
      </c>
      <c r="D1800" s="22" t="n">
        <v>45602</v>
      </c>
      <c r="E1800" t="n">
        <v>339.85</v>
      </c>
      <c r="F1800" s="22" t="n">
        <v>45660</v>
      </c>
      <c r="G1800" t="n">
        <v>16.8867693812668</v>
      </c>
    </row>
    <row r="1801">
      <c r="A1801" t="inlineStr">
        <is>
          <t>NTPC</t>
        </is>
      </c>
      <c r="B1801" t="inlineStr">
        <is>
          <t>Bull</t>
        </is>
      </c>
      <c r="C1801" t="n">
        <v>174.25</v>
      </c>
      <c r="D1801" s="22" t="n">
        <v>45051</v>
      </c>
      <c r="E1801" t="n">
        <v>400.95</v>
      </c>
      <c r="F1801" s="22" t="n">
        <v>45600</v>
      </c>
      <c r="G1801" t="n">
        <v>130.1004304160689</v>
      </c>
    </row>
    <row r="1802">
      <c r="A1802" t="inlineStr">
        <is>
          <t>ONGC</t>
        </is>
      </c>
      <c r="B1802" t="inlineStr">
        <is>
          <t>Bear</t>
        </is>
      </c>
      <c r="C1802" t="n">
        <v>292.5</v>
      </c>
      <c r="D1802" s="22" t="n">
        <v>45551</v>
      </c>
      <c r="E1802" t="n">
        <v>258.89</v>
      </c>
      <c r="F1802" s="22" t="n">
        <v>45660</v>
      </c>
      <c r="G1802" t="n">
        <v>11.4905982905983</v>
      </c>
    </row>
    <row r="1803">
      <c r="A1803" t="inlineStr">
        <is>
          <t>ONGC</t>
        </is>
      </c>
      <c r="B1803" t="inlineStr">
        <is>
          <t>Bull</t>
        </is>
      </c>
      <c r="C1803" t="n">
        <v>277.05</v>
      </c>
      <c r="D1803" s="22" t="n">
        <v>45477</v>
      </c>
      <c r="E1803" t="n">
        <v>294.05</v>
      </c>
      <c r="F1803" s="22" t="n">
        <v>45547</v>
      </c>
      <c r="G1803" t="n">
        <v>6.136076520483667</v>
      </c>
    </row>
    <row r="1804">
      <c r="A1804" t="inlineStr">
        <is>
          <t>ONGC</t>
        </is>
      </c>
      <c r="B1804" t="inlineStr">
        <is>
          <t>Bear</t>
        </is>
      </c>
      <c r="C1804" t="n">
        <v>247.5</v>
      </c>
      <c r="D1804" s="22" t="n">
        <v>45448</v>
      </c>
      <c r="E1804" t="n">
        <v>274.85</v>
      </c>
      <c r="F1804" s="22" t="n">
        <v>45475</v>
      </c>
      <c r="G1804" t="n">
        <v>-11.05050505050506</v>
      </c>
    </row>
    <row r="1805">
      <c r="A1805" t="inlineStr">
        <is>
          <t>ONGC</t>
        </is>
      </c>
      <c r="B1805" t="inlineStr">
        <is>
          <t>Bull</t>
        </is>
      </c>
      <c r="C1805" t="n">
        <v>162.8</v>
      </c>
      <c r="D1805" s="22" t="n">
        <v>45112</v>
      </c>
      <c r="E1805" t="n">
        <v>284.1</v>
      </c>
      <c r="F1805" s="22" t="n">
        <v>45446</v>
      </c>
      <c r="G1805" t="n">
        <v>74.50859950859952</v>
      </c>
    </row>
    <row r="1806">
      <c r="A1806" t="inlineStr">
        <is>
          <t>ONGC</t>
        </is>
      </c>
      <c r="B1806" t="inlineStr">
        <is>
          <t>Bear</t>
        </is>
      </c>
      <c r="C1806" t="n">
        <v>154.25</v>
      </c>
      <c r="D1806" s="22" t="n">
        <v>45086</v>
      </c>
      <c r="E1806" t="n">
        <v>162.95</v>
      </c>
      <c r="F1806" s="22" t="n">
        <v>45110</v>
      </c>
      <c r="G1806" t="n">
        <v>-5.640194489465147</v>
      </c>
    </row>
    <row r="1807">
      <c r="A1807" t="inlineStr">
        <is>
          <t>ONGC</t>
        </is>
      </c>
      <c r="B1807" t="inlineStr">
        <is>
          <t>Bull</t>
        </is>
      </c>
      <c r="C1807" t="n">
        <v>137.85</v>
      </c>
      <c r="D1807" s="22" t="n">
        <v>44869</v>
      </c>
      <c r="E1807" t="n">
        <v>153.85</v>
      </c>
      <c r="F1807" s="22" t="n">
        <v>45084</v>
      </c>
      <c r="G1807" t="n">
        <v>11.60681900616612</v>
      </c>
    </row>
    <row r="1808">
      <c r="A1808" t="inlineStr">
        <is>
          <t>OBEROIRLTY</t>
        </is>
      </c>
      <c r="B1808" t="inlineStr">
        <is>
          <t>Bull</t>
        </is>
      </c>
      <c r="C1808" t="n">
        <v>1801.9</v>
      </c>
      <c r="D1808" s="22" t="n">
        <v>45551</v>
      </c>
      <c r="E1808" t="n">
        <v>2255.2</v>
      </c>
      <c r="F1808" s="22" t="n">
        <v>45660</v>
      </c>
      <c r="G1808" t="n">
        <v>25.1567789555469</v>
      </c>
    </row>
    <row r="1809">
      <c r="A1809" t="inlineStr">
        <is>
          <t>OBEROIRLTY</t>
        </is>
      </c>
      <c r="B1809" t="inlineStr">
        <is>
          <t>Bear</t>
        </is>
      </c>
      <c r="C1809" t="n">
        <v>1711.25</v>
      </c>
      <c r="D1809" s="22" t="n">
        <v>45532</v>
      </c>
      <c r="E1809" t="n">
        <v>1767.5</v>
      </c>
      <c r="F1809" s="22" t="n">
        <v>45547</v>
      </c>
      <c r="G1809" t="n">
        <v>-3.287070854638422</v>
      </c>
    </row>
    <row r="1810">
      <c r="A1810" t="inlineStr">
        <is>
          <t>OBEROIRLTY</t>
        </is>
      </c>
      <c r="B1810" t="inlineStr">
        <is>
          <t>Bull</t>
        </is>
      </c>
      <c r="C1810" t="n">
        <v>1495.05</v>
      </c>
      <c r="D1810" s="22" t="n">
        <v>45377</v>
      </c>
      <c r="E1810" t="n">
        <v>1738.65</v>
      </c>
      <c r="F1810" s="22" t="n">
        <v>45530</v>
      </c>
      <c r="G1810" t="n">
        <v>16.2937694391492</v>
      </c>
    </row>
    <row r="1811">
      <c r="A1811" t="inlineStr">
        <is>
          <t>OBEROIRLTY</t>
        </is>
      </c>
      <c r="B1811" t="inlineStr">
        <is>
          <t>Bear</t>
        </is>
      </c>
      <c r="C1811" t="n">
        <v>1297.55</v>
      </c>
      <c r="D1811" s="22" t="n">
        <v>45327</v>
      </c>
      <c r="E1811" t="n">
        <v>1424.75</v>
      </c>
      <c r="F1811" s="22" t="n">
        <v>45372</v>
      </c>
      <c r="G1811" t="n">
        <v>-9.803090439674776</v>
      </c>
    </row>
    <row r="1812">
      <c r="A1812" t="inlineStr">
        <is>
          <t>OBEROIRLTY</t>
        </is>
      </c>
      <c r="B1812" t="inlineStr">
        <is>
          <t>Bull</t>
        </is>
      </c>
      <c r="C1812" t="n">
        <v>901.55</v>
      </c>
      <c r="D1812" s="22" t="n">
        <v>45027</v>
      </c>
      <c r="E1812" t="n">
        <v>1307.6</v>
      </c>
      <c r="F1812" s="22" t="n">
        <v>45323</v>
      </c>
      <c r="G1812" t="n">
        <v>45.0390993289335</v>
      </c>
    </row>
    <row r="1813">
      <c r="A1813" t="inlineStr">
        <is>
          <t>OIL</t>
        </is>
      </c>
      <c r="B1813" t="inlineStr">
        <is>
          <t>Bear</t>
        </is>
      </c>
      <c r="C1813" t="n">
        <v>586.75</v>
      </c>
      <c r="D1813" s="22" t="n">
        <v>45562</v>
      </c>
      <c r="E1813" t="n">
        <v>481.1</v>
      </c>
      <c r="F1813" s="22" t="n">
        <v>45660</v>
      </c>
      <c r="G1813" t="n">
        <v>18.00596506178099</v>
      </c>
    </row>
    <row r="1814">
      <c r="A1814" t="inlineStr">
        <is>
          <t>OIL</t>
        </is>
      </c>
      <c r="B1814" t="inlineStr">
        <is>
          <t>Bull</t>
        </is>
      </c>
      <c r="C1814" t="n">
        <v>172.73</v>
      </c>
      <c r="D1814" s="22" t="n">
        <v>45131</v>
      </c>
      <c r="E1814" t="n">
        <v>578.7</v>
      </c>
      <c r="F1814" s="22" t="n">
        <v>45560</v>
      </c>
      <c r="G1814" t="n">
        <v>235.0315521333874</v>
      </c>
    </row>
    <row r="1815">
      <c r="A1815" t="inlineStr">
        <is>
          <t>OIL</t>
        </is>
      </c>
      <c r="B1815" t="inlineStr">
        <is>
          <t>Bear</t>
        </is>
      </c>
      <c r="C1815" t="n">
        <v>169.57</v>
      </c>
      <c r="D1815" s="22" t="n">
        <v>45093</v>
      </c>
      <c r="E1815" t="n">
        <v>171.33</v>
      </c>
      <c r="F1815" s="22" t="n">
        <v>45127</v>
      </c>
      <c r="G1815" t="n">
        <v>-1.037919443297765</v>
      </c>
    </row>
    <row r="1816">
      <c r="A1816" t="inlineStr">
        <is>
          <t>OIL</t>
        </is>
      </c>
      <c r="B1816" t="inlineStr">
        <is>
          <t>Bull</t>
        </is>
      </c>
      <c r="C1816" t="n">
        <v>129.17</v>
      </c>
      <c r="D1816" s="22" t="n">
        <v>44869</v>
      </c>
      <c r="E1816" t="n">
        <v>168.73</v>
      </c>
      <c r="F1816" s="22" t="n">
        <v>45091</v>
      </c>
      <c r="G1816" t="n">
        <v>30.6263064178989</v>
      </c>
    </row>
    <row r="1817">
      <c r="A1817" t="inlineStr">
        <is>
          <t>PIIND</t>
        </is>
      </c>
      <c r="B1817" t="inlineStr">
        <is>
          <t>Bear</t>
        </is>
      </c>
      <c r="C1817" t="n">
        <v>4148.8</v>
      </c>
      <c r="D1817" s="22" t="n">
        <v>45615</v>
      </c>
      <c r="E1817" t="n">
        <v>3668.4</v>
      </c>
      <c r="F1817" s="22" t="n">
        <v>45660</v>
      </c>
      <c r="G1817" t="n">
        <v>11.579251831855</v>
      </c>
    </row>
    <row r="1818">
      <c r="A1818" t="inlineStr">
        <is>
          <t>PIIND</t>
        </is>
      </c>
      <c r="B1818" t="inlineStr">
        <is>
          <t>Bull</t>
        </is>
      </c>
      <c r="C1818" t="n">
        <v>4599.7</v>
      </c>
      <c r="D1818" s="22" t="n">
        <v>45607</v>
      </c>
      <c r="E1818" t="n">
        <v>4265.25</v>
      </c>
      <c r="F1818" s="22" t="n">
        <v>45610</v>
      </c>
      <c r="G1818" t="n">
        <v>-7.271126377807245</v>
      </c>
    </row>
    <row r="1819">
      <c r="A1819" t="inlineStr">
        <is>
          <t>PIIND</t>
        </is>
      </c>
      <c r="B1819" t="inlineStr">
        <is>
          <t>Bear</t>
        </is>
      </c>
      <c r="C1819" t="n">
        <v>4410.95</v>
      </c>
      <c r="D1819" s="22" t="n">
        <v>45594</v>
      </c>
      <c r="E1819" t="n">
        <v>4694.5</v>
      </c>
      <c r="F1819" s="22" t="n">
        <v>45603</v>
      </c>
      <c r="G1819" t="n">
        <v>-6.428320429839382</v>
      </c>
    </row>
    <row r="1820">
      <c r="A1820" t="inlineStr">
        <is>
          <t>PIIND</t>
        </is>
      </c>
      <c r="B1820" t="inlineStr">
        <is>
          <t>Bull</t>
        </is>
      </c>
      <c r="C1820" t="n">
        <v>3803.1</v>
      </c>
      <c r="D1820" s="22" t="n">
        <v>45467</v>
      </c>
      <c r="E1820" t="n">
        <v>4327.65</v>
      </c>
      <c r="F1820" s="22" t="n">
        <v>45590</v>
      </c>
      <c r="G1820" t="n">
        <v>13.79269543267334</v>
      </c>
    </row>
    <row r="1821">
      <c r="A1821" t="inlineStr">
        <is>
          <t>PIIND</t>
        </is>
      </c>
      <c r="B1821" t="inlineStr">
        <is>
          <t>Bear</t>
        </is>
      </c>
      <c r="C1821" t="n">
        <v>3517.15</v>
      </c>
      <c r="D1821" s="22" t="n">
        <v>45421</v>
      </c>
      <c r="E1821" t="n">
        <v>3774.95</v>
      </c>
      <c r="F1821" s="22" t="n">
        <v>45463</v>
      </c>
      <c r="G1821" t="n">
        <v>-7.32979827417084</v>
      </c>
    </row>
    <row r="1822">
      <c r="A1822" t="inlineStr">
        <is>
          <t>PIIND</t>
        </is>
      </c>
      <c r="B1822" t="inlineStr">
        <is>
          <t>Bull</t>
        </is>
      </c>
      <c r="C1822" t="n">
        <v>3683</v>
      </c>
      <c r="D1822" s="22" t="n">
        <v>45343</v>
      </c>
      <c r="E1822" t="n">
        <v>3507.5</v>
      </c>
      <c r="F1822" s="22" t="n">
        <v>45419</v>
      </c>
      <c r="G1822" t="n">
        <v>-4.76513711648113</v>
      </c>
    </row>
    <row r="1823">
      <c r="A1823" t="inlineStr">
        <is>
          <t>PIIND</t>
        </is>
      </c>
      <c r="B1823" t="inlineStr">
        <is>
          <t>Bear</t>
        </is>
      </c>
      <c r="C1823" t="n">
        <v>3370.55</v>
      </c>
      <c r="D1823" s="22" t="n">
        <v>45280</v>
      </c>
      <c r="E1823" t="n">
        <v>3667.95</v>
      </c>
      <c r="F1823" s="22" t="n">
        <v>45341</v>
      </c>
      <c r="G1823" t="n">
        <v>-8.823485781252307</v>
      </c>
    </row>
    <row r="1824">
      <c r="A1824" t="inlineStr">
        <is>
          <t>PIIND</t>
        </is>
      </c>
      <c r="B1824" t="inlineStr">
        <is>
          <t>Bull</t>
        </is>
      </c>
      <c r="C1824" t="n">
        <v>3716.8</v>
      </c>
      <c r="D1824" s="22" t="n">
        <v>45245</v>
      </c>
      <c r="E1824" t="n">
        <v>3414.8</v>
      </c>
      <c r="F1824" s="22" t="n">
        <v>45278</v>
      </c>
      <c r="G1824" t="n">
        <v>-8.125269048643995</v>
      </c>
    </row>
    <row r="1825">
      <c r="A1825" t="inlineStr">
        <is>
          <t>PIIND</t>
        </is>
      </c>
      <c r="B1825" t="inlineStr">
        <is>
          <t>Bear</t>
        </is>
      </c>
      <c r="C1825" t="n">
        <v>3615.2</v>
      </c>
      <c r="D1825" s="22" t="n">
        <v>45175</v>
      </c>
      <c r="E1825" t="n">
        <v>3716.9</v>
      </c>
      <c r="F1825" s="22" t="n">
        <v>45242</v>
      </c>
      <c r="G1825" t="n">
        <v>-2.813122372206248</v>
      </c>
    </row>
    <row r="1826">
      <c r="A1826" t="inlineStr">
        <is>
          <t>PIIND</t>
        </is>
      </c>
      <c r="B1826" t="inlineStr">
        <is>
          <t>Bull</t>
        </is>
      </c>
      <c r="C1826" t="n">
        <v>3404.1</v>
      </c>
      <c r="D1826" s="22" t="n">
        <v>45048</v>
      </c>
      <c r="E1826" t="n">
        <v>3629.8</v>
      </c>
      <c r="F1826" s="22" t="n">
        <v>45173</v>
      </c>
      <c r="G1826" t="n">
        <v>6.630240004700223</v>
      </c>
    </row>
    <row r="1827">
      <c r="A1827" t="inlineStr">
        <is>
          <t>PAISALO</t>
        </is>
      </c>
      <c r="B1827" t="inlineStr">
        <is>
          <t>Bear</t>
        </is>
      </c>
      <c r="C1827" t="n">
        <v>47.82</v>
      </c>
      <c r="D1827" s="22" t="n">
        <v>45660</v>
      </c>
      <c r="E1827" t="n">
        <v>47.82</v>
      </c>
      <c r="F1827" s="22" t="n">
        <v>45660</v>
      </c>
      <c r="G1827" t="n">
        <v>0</v>
      </c>
    </row>
    <row r="1828">
      <c r="A1828" t="inlineStr">
        <is>
          <t>PAISALO</t>
        </is>
      </c>
      <c r="B1828" t="inlineStr">
        <is>
          <t>Bull</t>
        </is>
      </c>
      <c r="C1828" t="n">
        <v>61.53</v>
      </c>
      <c r="D1828" s="22" t="n">
        <v>45632</v>
      </c>
      <c r="E1828" t="n">
        <v>49.47</v>
      </c>
      <c r="F1828" s="22" t="n">
        <v>45658</v>
      </c>
      <c r="G1828" t="n">
        <v>-19.60019502681619</v>
      </c>
    </row>
    <row r="1829">
      <c r="A1829" t="inlineStr">
        <is>
          <t>PAISALO</t>
        </is>
      </c>
      <c r="B1829" t="inlineStr">
        <is>
          <t>Bear</t>
        </is>
      </c>
      <c r="C1829" t="n">
        <v>66.15000000000001</v>
      </c>
      <c r="D1829" s="22" t="n">
        <v>45506</v>
      </c>
      <c r="E1829" t="n">
        <v>60.27</v>
      </c>
      <c r="F1829" s="22" t="n">
        <v>45630</v>
      </c>
      <c r="G1829" t="n">
        <v>8.888888888888893</v>
      </c>
    </row>
    <row r="1830">
      <c r="A1830" t="inlineStr">
        <is>
          <t>PAISALO</t>
        </is>
      </c>
      <c r="B1830" t="inlineStr">
        <is>
          <t>Bull</t>
        </is>
      </c>
      <c r="C1830" t="n">
        <v>73.97</v>
      </c>
      <c r="D1830" s="22" t="n">
        <v>45464</v>
      </c>
      <c r="E1830" t="n">
        <v>67.88</v>
      </c>
      <c r="F1830" s="22" t="n">
        <v>45504</v>
      </c>
      <c r="G1830" t="n">
        <v>-8.233067459780997</v>
      </c>
    </row>
    <row r="1831">
      <c r="A1831" t="inlineStr">
        <is>
          <t>PAISALO</t>
        </is>
      </c>
      <c r="B1831" t="inlineStr">
        <is>
          <t>Bear</t>
        </is>
      </c>
      <c r="C1831" t="n">
        <v>61.65</v>
      </c>
      <c r="D1831" s="22" t="n">
        <v>45421</v>
      </c>
      <c r="E1831" t="n">
        <v>71.81999999999999</v>
      </c>
      <c r="F1831" s="22" t="n">
        <v>45462</v>
      </c>
      <c r="G1831" t="n">
        <v>-16.49635036496349</v>
      </c>
    </row>
    <row r="1832">
      <c r="A1832" t="inlineStr">
        <is>
          <t>PAISALO</t>
        </is>
      </c>
      <c r="B1832" t="inlineStr">
        <is>
          <t>Bull</t>
        </is>
      </c>
      <c r="C1832" t="n">
        <v>31.85</v>
      </c>
      <c r="D1832" s="22" t="n">
        <v>45139</v>
      </c>
      <c r="E1832" t="n">
        <v>62.9</v>
      </c>
      <c r="F1832" s="22" t="n">
        <v>45419</v>
      </c>
      <c r="G1832" t="n">
        <v>97.48822605965461</v>
      </c>
    </row>
    <row r="1833">
      <c r="A1833" t="inlineStr">
        <is>
          <t>PAISALO</t>
        </is>
      </c>
      <c r="B1833" t="inlineStr">
        <is>
          <t>Bear</t>
        </is>
      </c>
      <c r="C1833" t="n">
        <v>37.73</v>
      </c>
      <c r="D1833" s="22" t="n">
        <v>44921</v>
      </c>
      <c r="E1833" t="n">
        <v>27.58</v>
      </c>
      <c r="F1833" s="22" t="n">
        <v>45135</v>
      </c>
      <c r="G1833" t="n">
        <v>26.90166975881261</v>
      </c>
    </row>
    <row r="1834">
      <c r="A1834" t="inlineStr">
        <is>
          <t>PANAMAPET</t>
        </is>
      </c>
      <c r="B1834" t="inlineStr">
        <is>
          <t>Bull</t>
        </is>
      </c>
      <c r="C1834" t="n">
        <v>407.2</v>
      </c>
      <c r="D1834" s="22" t="n">
        <v>45639</v>
      </c>
      <c r="E1834" t="n">
        <v>375.75</v>
      </c>
      <c r="F1834" s="22" t="n">
        <v>45660</v>
      </c>
      <c r="G1834" t="n">
        <v>-7.723477406679762</v>
      </c>
    </row>
    <row r="1835">
      <c r="A1835" t="inlineStr">
        <is>
          <t>PANAMAPET</t>
        </is>
      </c>
      <c r="B1835" t="inlineStr">
        <is>
          <t>Bear</t>
        </is>
      </c>
      <c r="C1835" t="n">
        <v>400.2</v>
      </c>
      <c r="D1835" s="22" t="n">
        <v>45561</v>
      </c>
      <c r="E1835" t="n">
        <v>399.95</v>
      </c>
      <c r="F1835" s="22" t="n">
        <v>45637</v>
      </c>
      <c r="G1835" t="n">
        <v>0.0624687656171914</v>
      </c>
    </row>
    <row r="1836">
      <c r="A1836" t="inlineStr">
        <is>
          <t>PANAMAPET</t>
        </is>
      </c>
      <c r="B1836" t="inlineStr">
        <is>
          <t>Bull</t>
        </is>
      </c>
      <c r="C1836" t="n">
        <v>352.95</v>
      </c>
      <c r="D1836" s="22" t="n">
        <v>45434</v>
      </c>
      <c r="E1836" t="n">
        <v>402.05</v>
      </c>
      <c r="F1836" s="22" t="n">
        <v>45559</v>
      </c>
      <c r="G1836" t="n">
        <v>13.91131888369458</v>
      </c>
    </row>
    <row r="1837">
      <c r="A1837" t="inlineStr">
        <is>
          <t>PANAMAPET</t>
        </is>
      </c>
      <c r="B1837" t="inlineStr">
        <is>
          <t>Bear</t>
        </is>
      </c>
      <c r="C1837" t="n">
        <v>326.45</v>
      </c>
      <c r="D1837" s="22" t="n">
        <v>45425</v>
      </c>
      <c r="E1837" t="n">
        <v>340.45</v>
      </c>
      <c r="F1837" s="22" t="n">
        <v>45430</v>
      </c>
      <c r="G1837" t="n">
        <v>-4.288558737938429</v>
      </c>
    </row>
    <row r="1838">
      <c r="A1838" t="inlineStr">
        <is>
          <t>PANAMAPET</t>
        </is>
      </c>
      <c r="B1838" t="inlineStr">
        <is>
          <t>Bull</t>
        </is>
      </c>
      <c r="C1838" t="n">
        <v>340.15</v>
      </c>
      <c r="D1838" s="22" t="n">
        <v>45405</v>
      </c>
      <c r="E1838" t="n">
        <v>326.05</v>
      </c>
      <c r="F1838" s="22" t="n">
        <v>45421</v>
      </c>
      <c r="G1838" t="n">
        <v>-4.145230045568122</v>
      </c>
    </row>
    <row r="1839">
      <c r="A1839" t="inlineStr">
        <is>
          <t>PANAMAPET</t>
        </is>
      </c>
      <c r="B1839" t="inlineStr">
        <is>
          <t>Bear</t>
        </is>
      </c>
      <c r="C1839" t="n">
        <v>333.6</v>
      </c>
      <c r="D1839" s="22" t="n">
        <v>45398</v>
      </c>
      <c r="E1839" t="n">
        <v>338.1</v>
      </c>
      <c r="F1839" s="22" t="n">
        <v>45401</v>
      </c>
      <c r="G1839" t="n">
        <v>-1.348920863309353</v>
      </c>
    </row>
    <row r="1840">
      <c r="A1840" t="inlineStr">
        <is>
          <t>PANAMAPET</t>
        </is>
      </c>
      <c r="B1840" t="inlineStr">
        <is>
          <t>Bull</t>
        </is>
      </c>
      <c r="C1840" t="n">
        <v>344.05</v>
      </c>
      <c r="D1840" s="22" t="n">
        <v>45386</v>
      </c>
      <c r="E1840" t="n">
        <v>329.35</v>
      </c>
      <c r="F1840" s="22" t="n">
        <v>45394</v>
      </c>
      <c r="G1840" t="n">
        <v>-4.272634791454727</v>
      </c>
    </row>
    <row r="1841">
      <c r="A1841" t="inlineStr">
        <is>
          <t>PANAMAPET</t>
        </is>
      </c>
      <c r="B1841" t="inlineStr">
        <is>
          <t>Bear</t>
        </is>
      </c>
      <c r="C1841" t="n">
        <v>318.55</v>
      </c>
      <c r="D1841" s="22" t="n">
        <v>45370</v>
      </c>
      <c r="E1841" t="n">
        <v>353.55</v>
      </c>
      <c r="F1841" s="22" t="n">
        <v>45384</v>
      </c>
      <c r="G1841" t="n">
        <v>-10.98728614032334</v>
      </c>
    </row>
    <row r="1842">
      <c r="A1842" t="inlineStr">
        <is>
          <t>PANAMAPET</t>
        </is>
      </c>
      <c r="B1842" t="inlineStr">
        <is>
          <t>Bull</t>
        </is>
      </c>
      <c r="C1842" t="n">
        <v>346.55</v>
      </c>
      <c r="D1842" s="22" t="n">
        <v>45343</v>
      </c>
      <c r="E1842" t="n">
        <v>324.95</v>
      </c>
      <c r="F1842" s="22" t="n">
        <v>45366</v>
      </c>
      <c r="G1842" t="n">
        <v>-6.232866830183241</v>
      </c>
    </row>
    <row r="1843">
      <c r="A1843" t="inlineStr">
        <is>
          <t>PANAMAPET</t>
        </is>
      </c>
      <c r="B1843" t="inlineStr">
        <is>
          <t>Bear</t>
        </is>
      </c>
      <c r="C1843" t="n">
        <v>313.75</v>
      </c>
      <c r="D1843" s="22" t="n">
        <v>45335</v>
      </c>
      <c r="E1843" t="n">
        <v>329.95</v>
      </c>
      <c r="F1843" s="22" t="n">
        <v>45341</v>
      </c>
      <c r="G1843" t="n">
        <v>-5.163346613545813</v>
      </c>
    </row>
    <row r="1844">
      <c r="A1844" t="inlineStr">
        <is>
          <t>PANAMAPET</t>
        </is>
      </c>
      <c r="B1844" t="inlineStr">
        <is>
          <t>Bull</t>
        </is>
      </c>
      <c r="C1844" t="n">
        <v>344.35</v>
      </c>
      <c r="D1844" s="22" t="n">
        <v>45266</v>
      </c>
      <c r="E1844" t="n">
        <v>318.95</v>
      </c>
      <c r="F1844" s="22" t="n">
        <v>45331</v>
      </c>
      <c r="G1844" t="n">
        <v>-7.37621605924206</v>
      </c>
    </row>
    <row r="1845">
      <c r="A1845" t="inlineStr">
        <is>
          <t>PANAMAPET</t>
        </is>
      </c>
      <c r="B1845" t="inlineStr">
        <is>
          <t>Bear</t>
        </is>
      </c>
      <c r="C1845" t="n">
        <v>305.95</v>
      </c>
      <c r="D1845" s="22" t="n">
        <v>45247</v>
      </c>
      <c r="E1845" t="n">
        <v>311.9</v>
      </c>
      <c r="F1845" s="22" t="n">
        <v>45264</v>
      </c>
      <c r="G1845" t="n">
        <v>-1.94476221604837</v>
      </c>
    </row>
    <row r="1846">
      <c r="A1846" t="inlineStr">
        <is>
          <t>PANAMAPET</t>
        </is>
      </c>
      <c r="B1846" t="inlineStr">
        <is>
          <t>Bull</t>
        </is>
      </c>
      <c r="C1846" t="n">
        <v>336.15</v>
      </c>
      <c r="D1846" s="22" t="n">
        <v>45168</v>
      </c>
      <c r="E1846" t="n">
        <v>313.4</v>
      </c>
      <c r="F1846" s="22" t="n">
        <v>45245</v>
      </c>
      <c r="G1846" t="n">
        <v>-6.767811988695523</v>
      </c>
    </row>
    <row r="1847">
      <c r="A1847" t="inlineStr">
        <is>
          <t>PANAMAPET</t>
        </is>
      </c>
      <c r="B1847" t="inlineStr">
        <is>
          <t>Bear</t>
        </is>
      </c>
      <c r="C1847" t="n">
        <v>288.45</v>
      </c>
      <c r="D1847" s="22" t="n">
        <v>45139</v>
      </c>
      <c r="E1847" t="n">
        <v>321.1</v>
      </c>
      <c r="F1847" s="22" t="n">
        <v>45166</v>
      </c>
      <c r="G1847" t="n">
        <v>-11.31911943144394</v>
      </c>
    </row>
    <row r="1848">
      <c r="A1848" t="inlineStr">
        <is>
          <t>PANAMAPET</t>
        </is>
      </c>
      <c r="B1848" t="inlineStr">
        <is>
          <t>Bull</t>
        </is>
      </c>
      <c r="C1848" t="n">
        <v>291.3</v>
      </c>
      <c r="D1848" s="22" t="n">
        <v>45135</v>
      </c>
      <c r="E1848" t="n">
        <v>291.3</v>
      </c>
      <c r="F1848" s="22" t="n">
        <v>45135</v>
      </c>
      <c r="G1848" t="n">
        <v>0</v>
      </c>
    </row>
    <row r="1849">
      <c r="A1849" t="inlineStr">
        <is>
          <t>PANAMAPET</t>
        </is>
      </c>
      <c r="B1849" t="inlineStr">
        <is>
          <t>Bear</t>
        </is>
      </c>
      <c r="C1849" t="n">
        <v>295</v>
      </c>
      <c r="D1849" s="22" t="n">
        <v>45132</v>
      </c>
      <c r="E1849" t="n">
        <v>305</v>
      </c>
      <c r="F1849" s="22" t="n">
        <v>45133</v>
      </c>
      <c r="G1849" t="n">
        <v>-3.389830508474576</v>
      </c>
    </row>
    <row r="1850">
      <c r="A1850" t="inlineStr">
        <is>
          <t>PANAMAPET</t>
        </is>
      </c>
      <c r="B1850" t="inlineStr">
        <is>
          <t>Bull</t>
        </is>
      </c>
      <c r="C1850" t="n">
        <v>305</v>
      </c>
      <c r="D1850" s="22" t="n">
        <v>45112</v>
      </c>
      <c r="E1850" t="n">
        <v>293.4</v>
      </c>
      <c r="F1850" s="22" t="n">
        <v>45128</v>
      </c>
      <c r="G1850" t="n">
        <v>-3.803278688524597</v>
      </c>
    </row>
    <row r="1851">
      <c r="A1851" t="inlineStr">
        <is>
          <t>PANAMAPET</t>
        </is>
      </c>
      <c r="B1851" t="inlineStr">
        <is>
          <t>Bear</t>
        </is>
      </c>
      <c r="C1851" t="n">
        <v>313.8</v>
      </c>
      <c r="D1851" s="22" t="n">
        <v>44953</v>
      </c>
      <c r="E1851" t="n">
        <v>305.6</v>
      </c>
      <c r="F1851" s="22" t="n">
        <v>45110</v>
      </c>
      <c r="G1851" t="n">
        <v>2.613129381771826</v>
      </c>
    </row>
    <row r="1852">
      <c r="A1852" t="inlineStr">
        <is>
          <t>PETRONET</t>
        </is>
      </c>
      <c r="B1852" t="inlineStr">
        <is>
          <t>Bull</t>
        </is>
      </c>
      <c r="C1852" t="n">
        <v>340.65</v>
      </c>
      <c r="D1852" s="22" t="n">
        <v>45653</v>
      </c>
      <c r="E1852" t="n">
        <v>329.45</v>
      </c>
      <c r="F1852" s="22" t="n">
        <v>45660</v>
      </c>
      <c r="G1852" t="n">
        <v>-3.287832085718476</v>
      </c>
    </row>
    <row r="1853">
      <c r="A1853" t="inlineStr">
        <is>
          <t>PETRONET</t>
        </is>
      </c>
      <c r="B1853" t="inlineStr">
        <is>
          <t>Bear</t>
        </is>
      </c>
      <c r="C1853" t="n">
        <v>337.55</v>
      </c>
      <c r="D1853" s="22" t="n">
        <v>45590</v>
      </c>
      <c r="E1853" t="n">
        <v>340.75</v>
      </c>
      <c r="F1853" s="22" t="n">
        <v>45650</v>
      </c>
      <c r="G1853" t="n">
        <v>-0.94800770256258</v>
      </c>
    </row>
    <row r="1854">
      <c r="A1854" t="inlineStr">
        <is>
          <t>PETRONET</t>
        </is>
      </c>
      <c r="B1854" t="inlineStr">
        <is>
          <t>Bull</t>
        </is>
      </c>
      <c r="C1854" t="n">
        <v>355</v>
      </c>
      <c r="D1854" s="22" t="n">
        <v>45581</v>
      </c>
      <c r="E1854" t="n">
        <v>345.05</v>
      </c>
      <c r="F1854" s="22" t="n">
        <v>45588</v>
      </c>
      <c r="G1854" t="n">
        <v>-2.802816901408447</v>
      </c>
    </row>
    <row r="1855">
      <c r="A1855" t="inlineStr">
        <is>
          <t>PETRONET</t>
        </is>
      </c>
      <c r="B1855" t="inlineStr">
        <is>
          <t>Bear</t>
        </is>
      </c>
      <c r="C1855" t="n">
        <v>332.5</v>
      </c>
      <c r="D1855" s="22" t="n">
        <v>45553</v>
      </c>
      <c r="E1855" t="n">
        <v>354.55</v>
      </c>
      <c r="F1855" s="22" t="n">
        <v>45579</v>
      </c>
      <c r="G1855" t="n">
        <v>-6.631578947368425</v>
      </c>
    </row>
    <row r="1856">
      <c r="A1856" t="inlineStr">
        <is>
          <t>PETRONET</t>
        </is>
      </c>
      <c r="B1856" t="inlineStr">
        <is>
          <t>Bull</t>
        </is>
      </c>
      <c r="C1856" t="n">
        <v>222.4</v>
      </c>
      <c r="D1856" s="22" t="n">
        <v>45288</v>
      </c>
      <c r="E1856" t="n">
        <v>336.1</v>
      </c>
      <c r="F1856" s="22" t="n">
        <v>45551</v>
      </c>
      <c r="G1856" t="n">
        <v>51.12410071942447</v>
      </c>
    </row>
    <row r="1857">
      <c r="A1857" t="inlineStr">
        <is>
          <t>PETRONET</t>
        </is>
      </c>
      <c r="B1857" t="inlineStr">
        <is>
          <t>Bear</t>
        </is>
      </c>
      <c r="C1857" t="n">
        <v>220.4</v>
      </c>
      <c r="D1857" s="22" t="n">
        <v>45224</v>
      </c>
      <c r="E1857" t="n">
        <v>215.65</v>
      </c>
      <c r="F1857" s="22" t="n">
        <v>45286</v>
      </c>
      <c r="G1857" t="n">
        <v>2.155172413793103</v>
      </c>
    </row>
    <row r="1858">
      <c r="A1858" t="inlineStr">
        <is>
          <t>PETRONET</t>
        </is>
      </c>
      <c r="B1858" t="inlineStr">
        <is>
          <t>Bull</t>
        </is>
      </c>
      <c r="C1858" t="n">
        <v>250.2</v>
      </c>
      <c r="D1858" s="22" t="n">
        <v>45177</v>
      </c>
      <c r="E1858" t="n">
        <v>226.05</v>
      </c>
      <c r="F1858" s="22" t="n">
        <v>45219</v>
      </c>
      <c r="G1858" t="n">
        <v>-9.652278177458024</v>
      </c>
    </row>
    <row r="1859">
      <c r="A1859" t="inlineStr">
        <is>
          <t>PETRONET</t>
        </is>
      </c>
      <c r="B1859" t="inlineStr">
        <is>
          <t>Bear</t>
        </is>
      </c>
      <c r="C1859" t="n">
        <v>219</v>
      </c>
      <c r="D1859" s="22" t="n">
        <v>45156</v>
      </c>
      <c r="E1859" t="n">
        <v>244.9</v>
      </c>
      <c r="F1859" s="22" t="n">
        <v>45175</v>
      </c>
      <c r="G1859" t="n">
        <v>-11.82648401826484</v>
      </c>
    </row>
    <row r="1860">
      <c r="A1860" t="inlineStr">
        <is>
          <t>PETRONET</t>
        </is>
      </c>
      <c r="B1860" t="inlineStr">
        <is>
          <t>Bull</t>
        </is>
      </c>
      <c r="C1860" t="n">
        <v>233.15</v>
      </c>
      <c r="D1860" s="22" t="n">
        <v>45139</v>
      </c>
      <c r="E1860" t="n">
        <v>224.75</v>
      </c>
      <c r="F1860" s="22" t="n">
        <v>45154</v>
      </c>
      <c r="G1860" t="n">
        <v>-3.602830795625136</v>
      </c>
    </row>
    <row r="1861">
      <c r="A1861" t="inlineStr">
        <is>
          <t>PETRONET</t>
        </is>
      </c>
      <c r="B1861" t="inlineStr">
        <is>
          <t>Bear</t>
        </is>
      </c>
      <c r="C1861" t="n">
        <v>225.8</v>
      </c>
      <c r="D1861" s="22" t="n">
        <v>45132</v>
      </c>
      <c r="E1861" t="n">
        <v>228.5</v>
      </c>
      <c r="F1861" s="22" t="n">
        <v>45135</v>
      </c>
      <c r="G1861" t="n">
        <v>-1.195748449955708</v>
      </c>
    </row>
    <row r="1862">
      <c r="A1862" t="inlineStr">
        <is>
          <t>PETRONET</t>
        </is>
      </c>
      <c r="B1862" t="inlineStr">
        <is>
          <t>Bull</t>
        </is>
      </c>
      <c r="C1862" t="n">
        <v>224.35</v>
      </c>
      <c r="D1862" s="22" t="n">
        <v>45120</v>
      </c>
      <c r="E1862" t="n">
        <v>223.5</v>
      </c>
      <c r="F1862" s="22" t="n">
        <v>45128</v>
      </c>
      <c r="G1862" t="n">
        <v>-0.3788722977490503</v>
      </c>
    </row>
    <row r="1863">
      <c r="A1863" t="inlineStr">
        <is>
          <t>PETRONET</t>
        </is>
      </c>
      <c r="B1863" t="inlineStr">
        <is>
          <t>Bear</t>
        </is>
      </c>
      <c r="C1863" t="n">
        <v>225.15</v>
      </c>
      <c r="D1863" s="22" t="n">
        <v>45070</v>
      </c>
      <c r="E1863" t="n">
        <v>230.15</v>
      </c>
      <c r="F1863" s="22" t="n">
        <v>45118</v>
      </c>
      <c r="G1863" t="n">
        <v>-2.220741727737064</v>
      </c>
    </row>
    <row r="1864">
      <c r="A1864" t="inlineStr">
        <is>
          <t>PETRONET</t>
        </is>
      </c>
      <c r="B1864" t="inlineStr">
        <is>
          <t>Bull</t>
        </is>
      </c>
      <c r="C1864" t="n">
        <v>213.9</v>
      </c>
      <c r="D1864" s="22" t="n">
        <v>44880</v>
      </c>
      <c r="E1864" t="n">
        <v>226.05</v>
      </c>
      <c r="F1864" s="22" t="n">
        <v>45068</v>
      </c>
      <c r="G1864" t="n">
        <v>5.680224403927071</v>
      </c>
    </row>
    <row r="1865">
      <c r="A1865" t="inlineStr">
        <is>
          <t>PFIZER</t>
        </is>
      </c>
      <c r="B1865" t="inlineStr">
        <is>
          <t>Bear</t>
        </is>
      </c>
      <c r="C1865" t="n">
        <v>5360.7</v>
      </c>
      <c r="D1865" s="22" t="n">
        <v>45589</v>
      </c>
      <c r="E1865" t="n">
        <v>5223.35</v>
      </c>
      <c r="F1865" s="22" t="n">
        <v>45660</v>
      </c>
      <c r="G1865" t="n">
        <v>2.562165388848461</v>
      </c>
    </row>
    <row r="1866">
      <c r="A1866" t="inlineStr">
        <is>
          <t>PFIZER</t>
        </is>
      </c>
      <c r="B1866" t="inlineStr">
        <is>
          <t>Bull</t>
        </is>
      </c>
      <c r="C1866" t="n">
        <v>4382.55</v>
      </c>
      <c r="D1866" s="22" t="n">
        <v>45433</v>
      </c>
      <c r="E1866" t="n">
        <v>5503.6</v>
      </c>
      <c r="F1866" s="22" t="n">
        <v>45587</v>
      </c>
      <c r="G1866" t="n">
        <v>25.57985647625241</v>
      </c>
    </row>
    <row r="1867">
      <c r="A1867" t="inlineStr">
        <is>
          <t>PFIZER</t>
        </is>
      </c>
      <c r="B1867" t="inlineStr">
        <is>
          <t>Bear</t>
        </is>
      </c>
      <c r="C1867" t="n">
        <v>4204.35</v>
      </c>
      <c r="D1867" s="22" t="n">
        <v>45378</v>
      </c>
      <c r="E1867" t="n">
        <v>4400.55</v>
      </c>
      <c r="F1867" s="22" t="n">
        <v>45429</v>
      </c>
      <c r="G1867" t="n">
        <v>-4.666595311998282</v>
      </c>
    </row>
    <row r="1868">
      <c r="A1868" t="inlineStr">
        <is>
          <t>PFIZER</t>
        </is>
      </c>
      <c r="B1868" t="inlineStr">
        <is>
          <t>Bull</t>
        </is>
      </c>
      <c r="C1868" t="n">
        <v>3989.1</v>
      </c>
      <c r="D1868" s="22" t="n">
        <v>45205</v>
      </c>
      <c r="E1868" t="n">
        <v>4348.9</v>
      </c>
      <c r="F1868" s="22" t="n">
        <v>45373</v>
      </c>
      <c r="G1868" t="n">
        <v>9.019578351006487</v>
      </c>
    </row>
    <row r="1869">
      <c r="A1869" t="inlineStr">
        <is>
          <t>PFIZER</t>
        </is>
      </c>
      <c r="B1869" t="inlineStr">
        <is>
          <t>Bear</t>
        </is>
      </c>
      <c r="C1869" t="n">
        <v>3857.85</v>
      </c>
      <c r="D1869" s="22" t="n">
        <v>45173</v>
      </c>
      <c r="E1869" t="n">
        <v>3920</v>
      </c>
      <c r="F1869" s="22" t="n">
        <v>45203</v>
      </c>
      <c r="G1869" t="n">
        <v>-1.611000946122843</v>
      </c>
    </row>
    <row r="1870">
      <c r="A1870" t="inlineStr">
        <is>
          <t>PFIZER</t>
        </is>
      </c>
      <c r="B1870" t="inlineStr">
        <is>
          <t>Bull</t>
        </is>
      </c>
      <c r="C1870" t="n">
        <v>3895.05</v>
      </c>
      <c r="D1870" s="22" t="n">
        <v>45127</v>
      </c>
      <c r="E1870" t="n">
        <v>3823</v>
      </c>
      <c r="F1870" s="22" t="n">
        <v>45169</v>
      </c>
      <c r="G1870" t="n">
        <v>-1.84978369982414</v>
      </c>
    </row>
    <row r="1871">
      <c r="A1871" t="inlineStr">
        <is>
          <t>PFIZER</t>
        </is>
      </c>
      <c r="B1871" t="inlineStr">
        <is>
          <t>Bear</t>
        </is>
      </c>
      <c r="C1871" t="n">
        <v>3800</v>
      </c>
      <c r="D1871" s="22" t="n">
        <v>45114</v>
      </c>
      <c r="E1871" t="n">
        <v>3852</v>
      </c>
      <c r="F1871" s="22" t="n">
        <v>45125</v>
      </c>
      <c r="G1871" t="n">
        <v>-1.368421052631579</v>
      </c>
    </row>
    <row r="1872">
      <c r="A1872" t="inlineStr">
        <is>
          <t>PFIZER</t>
        </is>
      </c>
      <c r="B1872" t="inlineStr">
        <is>
          <t>Bull</t>
        </is>
      </c>
      <c r="C1872" t="n">
        <v>3817.35</v>
      </c>
      <c r="D1872" s="22" t="n">
        <v>45062</v>
      </c>
      <c r="E1872" t="n">
        <v>3787</v>
      </c>
      <c r="F1872" s="22" t="n">
        <v>45112</v>
      </c>
      <c r="G1872" t="n">
        <v>-0.795054160608797</v>
      </c>
    </row>
    <row r="1873">
      <c r="A1873" t="inlineStr">
        <is>
          <t>PGEL</t>
        </is>
      </c>
      <c r="B1873" t="inlineStr">
        <is>
          <t>Bull</t>
        </is>
      </c>
      <c r="C1873" t="n">
        <v>200.46</v>
      </c>
      <c r="D1873" s="22" t="n">
        <v>45406</v>
      </c>
      <c r="E1873" t="n">
        <v>1016.65</v>
      </c>
      <c r="F1873" s="22" t="n">
        <v>45660</v>
      </c>
      <c r="G1873" t="n">
        <v>407.1585353686521</v>
      </c>
    </row>
    <row r="1874">
      <c r="A1874" t="inlineStr">
        <is>
          <t>PGEL</t>
        </is>
      </c>
      <c r="B1874" t="inlineStr">
        <is>
          <t>Bear</t>
        </is>
      </c>
      <c r="C1874" t="n">
        <v>209.95</v>
      </c>
      <c r="D1874" s="22" t="n">
        <v>45309</v>
      </c>
      <c r="E1874" t="n">
        <v>193.37</v>
      </c>
      <c r="F1874" s="22" t="n">
        <v>45404</v>
      </c>
      <c r="G1874" t="n">
        <v>7.897118361514639</v>
      </c>
    </row>
    <row r="1875">
      <c r="A1875" t="inlineStr">
        <is>
          <t>PGEL</t>
        </is>
      </c>
      <c r="B1875" t="inlineStr">
        <is>
          <t>Bull</t>
        </is>
      </c>
      <c r="C1875" t="n">
        <v>167.2</v>
      </c>
      <c r="D1875" s="22" t="n">
        <v>45148</v>
      </c>
      <c r="E1875" t="n">
        <v>207.03</v>
      </c>
      <c r="F1875" s="22" t="n">
        <v>45307</v>
      </c>
      <c r="G1875" t="n">
        <v>23.82177033492824</v>
      </c>
    </row>
    <row r="1876">
      <c r="A1876" t="inlineStr">
        <is>
          <t>PGEL</t>
        </is>
      </c>
      <c r="B1876" t="inlineStr">
        <is>
          <t>Bear</t>
        </is>
      </c>
      <c r="C1876" t="n">
        <v>146.5</v>
      </c>
      <c r="D1876" s="22" t="n">
        <v>45133</v>
      </c>
      <c r="E1876" t="n">
        <v>165.5</v>
      </c>
      <c r="F1876" s="22" t="n">
        <v>45146</v>
      </c>
      <c r="G1876" t="n">
        <v>-12.96928327645051</v>
      </c>
    </row>
    <row r="1877">
      <c r="A1877" t="inlineStr">
        <is>
          <t>PGEL</t>
        </is>
      </c>
      <c r="B1877" t="inlineStr">
        <is>
          <t>Bull</t>
        </is>
      </c>
      <c r="C1877" t="n">
        <v>105.79</v>
      </c>
      <c r="D1877" s="22" t="n">
        <v>44908</v>
      </c>
      <c r="E1877" t="n">
        <v>148.72</v>
      </c>
      <c r="F1877" s="22" t="n">
        <v>45131</v>
      </c>
      <c r="G1877" t="n">
        <v>40.58039512241231</v>
      </c>
    </row>
    <row r="1878">
      <c r="A1878" t="inlineStr">
        <is>
          <t>PHOENIXLTD</t>
        </is>
      </c>
      <c r="B1878" t="inlineStr">
        <is>
          <t>Bull</t>
        </is>
      </c>
      <c r="C1878" t="n">
        <v>1805</v>
      </c>
      <c r="D1878" s="22" t="n">
        <v>45631</v>
      </c>
      <c r="E1878" t="n">
        <v>1574.4</v>
      </c>
      <c r="F1878" s="22" t="n">
        <v>45660</v>
      </c>
      <c r="G1878" t="n">
        <v>-12.77562326869806</v>
      </c>
    </row>
    <row r="1879">
      <c r="A1879" t="inlineStr">
        <is>
          <t>PHOENIXLTD</t>
        </is>
      </c>
      <c r="B1879" t="inlineStr">
        <is>
          <t>Bear</t>
        </is>
      </c>
      <c r="C1879" t="n">
        <v>1673.75</v>
      </c>
      <c r="D1879" s="22" t="n">
        <v>45572</v>
      </c>
      <c r="E1879" t="n">
        <v>1745.5</v>
      </c>
      <c r="F1879" s="22" t="n">
        <v>45629</v>
      </c>
      <c r="G1879" t="n">
        <v>-4.286781179985064</v>
      </c>
    </row>
    <row r="1880">
      <c r="A1880" t="inlineStr">
        <is>
          <t>PHOENIXLTD</t>
        </is>
      </c>
      <c r="B1880" t="inlineStr">
        <is>
          <t>Bull</t>
        </is>
      </c>
      <c r="C1880" t="n">
        <v>1813.1</v>
      </c>
      <c r="D1880" s="22" t="n">
        <v>45561</v>
      </c>
      <c r="E1880" t="n">
        <v>1658.55</v>
      </c>
      <c r="F1880" s="22" t="n">
        <v>45568</v>
      </c>
      <c r="G1880" t="n">
        <v>-8.524074789035351</v>
      </c>
    </row>
    <row r="1881">
      <c r="A1881" t="inlineStr">
        <is>
          <t>PHOENIXLTD</t>
        </is>
      </c>
      <c r="B1881" t="inlineStr">
        <is>
          <t>Bear</t>
        </is>
      </c>
      <c r="C1881" t="n">
        <v>1766.13</v>
      </c>
      <c r="D1881" s="22" t="n">
        <v>45551</v>
      </c>
      <c r="E1881" t="n">
        <v>1820.35</v>
      </c>
      <c r="F1881" s="22" t="n">
        <v>45559</v>
      </c>
      <c r="G1881" t="n">
        <v>-3.069989185394042</v>
      </c>
    </row>
    <row r="1882">
      <c r="A1882" t="inlineStr">
        <is>
          <t>PHOENIXLTD</t>
        </is>
      </c>
      <c r="B1882" t="inlineStr">
        <is>
          <t>Bull</t>
        </is>
      </c>
      <c r="C1882" t="n">
        <v>1884.7</v>
      </c>
      <c r="D1882" s="22" t="n">
        <v>45534</v>
      </c>
      <c r="E1882" t="n">
        <v>1682.1</v>
      </c>
      <c r="F1882" s="22" t="n">
        <v>45547</v>
      </c>
      <c r="G1882" t="n">
        <v>-10.74972144107816</v>
      </c>
    </row>
    <row r="1883">
      <c r="A1883" t="inlineStr">
        <is>
          <t>PHOENIXLTD</t>
        </is>
      </c>
      <c r="B1883" t="inlineStr">
        <is>
          <t>Bear</t>
        </is>
      </c>
      <c r="C1883" t="n">
        <v>1714.35</v>
      </c>
      <c r="D1883" s="22" t="n">
        <v>45517</v>
      </c>
      <c r="E1883" t="n">
        <v>1839.08</v>
      </c>
      <c r="F1883" s="22" t="n">
        <v>45532</v>
      </c>
      <c r="G1883" t="n">
        <v>-7.275643830023042</v>
      </c>
    </row>
    <row r="1884">
      <c r="A1884" t="inlineStr">
        <is>
          <t>PHOENIXLTD</t>
        </is>
      </c>
      <c r="B1884" t="inlineStr">
        <is>
          <t>Bull</t>
        </is>
      </c>
      <c r="C1884" t="n">
        <v>706.53</v>
      </c>
      <c r="D1884" s="22" t="n">
        <v>45043</v>
      </c>
      <c r="E1884" t="n">
        <v>1681.45</v>
      </c>
      <c r="F1884" s="22" t="n">
        <v>45513</v>
      </c>
      <c r="G1884" t="n">
        <v>137.9870635358725</v>
      </c>
    </row>
    <row r="1885">
      <c r="A1885" t="inlineStr">
        <is>
          <t>PIXTRANS</t>
        </is>
      </c>
      <c r="B1885" t="inlineStr">
        <is>
          <t>Bull</t>
        </is>
      </c>
      <c r="C1885" t="n">
        <v>1617.5</v>
      </c>
      <c r="D1885" s="22" t="n">
        <v>45601</v>
      </c>
      <c r="E1885" t="n">
        <v>2518.95</v>
      </c>
      <c r="F1885" s="22" t="n">
        <v>45660</v>
      </c>
      <c r="G1885" t="n">
        <v>55.73106646058732</v>
      </c>
    </row>
    <row r="1886">
      <c r="A1886" t="inlineStr">
        <is>
          <t>PIXTRANS</t>
        </is>
      </c>
      <c r="B1886" t="inlineStr">
        <is>
          <t>Bear</t>
        </is>
      </c>
      <c r="C1886" t="n">
        <v>1418.15</v>
      </c>
      <c r="D1886" s="22" t="n">
        <v>45590</v>
      </c>
      <c r="E1886" t="n">
        <v>1613.45</v>
      </c>
      <c r="F1886" s="22" t="n">
        <v>45597</v>
      </c>
      <c r="G1886" t="n">
        <v>-13.77146282128124</v>
      </c>
    </row>
    <row r="1887">
      <c r="A1887" t="inlineStr">
        <is>
          <t>PIXTRANS</t>
        </is>
      </c>
      <c r="B1887" t="inlineStr">
        <is>
          <t>Bull</t>
        </is>
      </c>
      <c r="C1887" t="n">
        <v>1403.4</v>
      </c>
      <c r="D1887" s="22" t="n">
        <v>45469</v>
      </c>
      <c r="E1887" t="n">
        <v>1470.05</v>
      </c>
      <c r="F1887" s="22" t="n">
        <v>45588</v>
      </c>
      <c r="G1887" t="n">
        <v>4.749180561493506</v>
      </c>
    </row>
    <row r="1888">
      <c r="A1888" t="inlineStr">
        <is>
          <t>PIXTRANS</t>
        </is>
      </c>
      <c r="B1888" t="inlineStr">
        <is>
          <t>Bear</t>
        </is>
      </c>
      <c r="C1888" t="n">
        <v>1272.85</v>
      </c>
      <c r="D1888" s="22" t="n">
        <v>45441</v>
      </c>
      <c r="E1888" t="n">
        <v>1353.45</v>
      </c>
      <c r="F1888" s="22" t="n">
        <v>45467</v>
      </c>
      <c r="G1888" t="n">
        <v>-6.332246533370007</v>
      </c>
    </row>
    <row r="1889">
      <c r="A1889" t="inlineStr">
        <is>
          <t>PIXTRANS</t>
        </is>
      </c>
      <c r="B1889" t="inlineStr">
        <is>
          <t>Bull</t>
        </is>
      </c>
      <c r="C1889" t="n">
        <v>1382.3</v>
      </c>
      <c r="D1889" s="22" t="n">
        <v>45436</v>
      </c>
      <c r="E1889" t="n">
        <v>1294.8</v>
      </c>
      <c r="F1889" s="22" t="n">
        <v>45439</v>
      </c>
      <c r="G1889" t="n">
        <v>-6.330029660710411</v>
      </c>
    </row>
    <row r="1890">
      <c r="A1890" t="inlineStr">
        <is>
          <t>PIXTRANS</t>
        </is>
      </c>
      <c r="B1890" t="inlineStr">
        <is>
          <t>Bear</t>
        </is>
      </c>
      <c r="C1890" t="n">
        <v>1296.55</v>
      </c>
      <c r="D1890" s="22" t="n">
        <v>45425</v>
      </c>
      <c r="E1890" t="n">
        <v>1434.1</v>
      </c>
      <c r="F1890" s="22" t="n">
        <v>45434</v>
      </c>
      <c r="G1890" t="n">
        <v>-10.60892368207936</v>
      </c>
    </row>
    <row r="1891">
      <c r="A1891" t="inlineStr">
        <is>
          <t>PIXTRANS</t>
        </is>
      </c>
      <c r="B1891" t="inlineStr">
        <is>
          <t>Bull</t>
        </is>
      </c>
      <c r="C1891" t="n">
        <v>1449.75</v>
      </c>
      <c r="D1891" s="22" t="n">
        <v>45348</v>
      </c>
      <c r="E1891" t="n">
        <v>1302.25</v>
      </c>
      <c r="F1891" s="22" t="n">
        <v>45421</v>
      </c>
      <c r="G1891" t="n">
        <v>-10.1741679599931</v>
      </c>
    </row>
    <row r="1892">
      <c r="A1892" t="inlineStr">
        <is>
          <t>PIXTRANS</t>
        </is>
      </c>
      <c r="B1892" t="inlineStr">
        <is>
          <t>Bear</t>
        </is>
      </c>
      <c r="C1892" t="n">
        <v>1275.85</v>
      </c>
      <c r="D1892" s="22" t="n">
        <v>45311</v>
      </c>
      <c r="E1892" t="n">
        <v>1284.85</v>
      </c>
      <c r="F1892" s="22" t="n">
        <v>45344</v>
      </c>
      <c r="G1892" t="n">
        <v>-0.7054120782223616</v>
      </c>
    </row>
    <row r="1893">
      <c r="A1893" t="inlineStr">
        <is>
          <t>PIXTRANS</t>
        </is>
      </c>
      <c r="B1893" t="inlineStr">
        <is>
          <t>Bull</t>
        </is>
      </c>
      <c r="C1893" t="n">
        <v>1280.95</v>
      </c>
      <c r="D1893" s="22" t="n">
        <v>45246</v>
      </c>
      <c r="E1893" t="n">
        <v>1271.5</v>
      </c>
      <c r="F1893" s="22" t="n">
        <v>45309</v>
      </c>
      <c r="G1893" t="n">
        <v>-0.7377337132596936</v>
      </c>
    </row>
    <row r="1894">
      <c r="A1894" t="inlineStr">
        <is>
          <t>PIXTRANS</t>
        </is>
      </c>
      <c r="B1894" t="inlineStr">
        <is>
          <t>Bear</t>
        </is>
      </c>
      <c r="C1894" t="n">
        <v>1128.35</v>
      </c>
      <c r="D1894" s="22" t="n">
        <v>45231</v>
      </c>
      <c r="E1894" t="n">
        <v>1312.75</v>
      </c>
      <c r="F1894" s="22" t="n">
        <v>45243</v>
      </c>
      <c r="G1894" t="n">
        <v>-16.34244693579121</v>
      </c>
    </row>
    <row r="1895">
      <c r="A1895" t="inlineStr">
        <is>
          <t>PIXTRANS</t>
        </is>
      </c>
      <c r="B1895" t="inlineStr">
        <is>
          <t>Bull</t>
        </is>
      </c>
      <c r="C1895" t="n">
        <v>1221.35</v>
      </c>
      <c r="D1895" s="22" t="n">
        <v>45211</v>
      </c>
      <c r="E1895" t="n">
        <v>1096.55</v>
      </c>
      <c r="F1895" s="22" t="n">
        <v>45229</v>
      </c>
      <c r="G1895" t="n">
        <v>-10.21820117083555</v>
      </c>
    </row>
    <row r="1896">
      <c r="A1896" t="inlineStr">
        <is>
          <t>PIXTRANS</t>
        </is>
      </c>
      <c r="B1896" t="inlineStr">
        <is>
          <t>Bear</t>
        </is>
      </c>
      <c r="C1896" t="n">
        <v>1107.7</v>
      </c>
      <c r="D1896" s="22" t="n">
        <v>45184</v>
      </c>
      <c r="E1896" t="n">
        <v>1210.3</v>
      </c>
      <c r="F1896" s="22" t="n">
        <v>45209</v>
      </c>
      <c r="G1896" t="n">
        <v>-9.262435677530007</v>
      </c>
    </row>
    <row r="1897">
      <c r="A1897" t="inlineStr">
        <is>
          <t>PIXTRANS</t>
        </is>
      </c>
      <c r="B1897" t="inlineStr">
        <is>
          <t>Bull</t>
        </is>
      </c>
      <c r="C1897" t="n">
        <v>821.2</v>
      </c>
      <c r="D1897" s="22" t="n">
        <v>45028</v>
      </c>
      <c r="E1897" t="n">
        <v>1105.85</v>
      </c>
      <c r="F1897" s="22" t="n">
        <v>45182</v>
      </c>
      <c r="G1897" t="n">
        <v>34.66268874817339</v>
      </c>
    </row>
    <row r="1898">
      <c r="A1898" t="inlineStr">
        <is>
          <t>PNBHOUSING</t>
        </is>
      </c>
      <c r="B1898" t="inlineStr">
        <is>
          <t>Bear</t>
        </is>
      </c>
      <c r="C1898" t="n">
        <v>865.15</v>
      </c>
      <c r="D1898" s="22" t="n">
        <v>45615</v>
      </c>
      <c r="E1898" t="n">
        <v>926.65</v>
      </c>
      <c r="F1898" s="22" t="n">
        <v>45660</v>
      </c>
      <c r="G1898" t="n">
        <v>-7.108593885453391</v>
      </c>
    </row>
    <row r="1899">
      <c r="A1899" t="inlineStr">
        <is>
          <t>PNBHOUSING</t>
        </is>
      </c>
      <c r="B1899" t="inlineStr">
        <is>
          <t>Bull</t>
        </is>
      </c>
      <c r="C1899" t="n">
        <v>947.2</v>
      </c>
      <c r="D1899" s="22" t="n">
        <v>45604</v>
      </c>
      <c r="E1899" t="n">
        <v>904</v>
      </c>
      <c r="F1899" s="22" t="n">
        <v>45610</v>
      </c>
      <c r="G1899" t="n">
        <v>-4.560810810810816</v>
      </c>
    </row>
    <row r="1900">
      <c r="A1900" t="inlineStr">
        <is>
          <t>PNBHOUSING</t>
        </is>
      </c>
      <c r="B1900" t="inlineStr">
        <is>
          <t>Bear</t>
        </is>
      </c>
      <c r="C1900" t="n">
        <v>967.05</v>
      </c>
      <c r="D1900" s="22" t="n">
        <v>45596</v>
      </c>
      <c r="E1900" t="n">
        <v>999.25</v>
      </c>
      <c r="F1900" s="22" t="n">
        <v>45602</v>
      </c>
      <c r="G1900" t="n">
        <v>-3.329714078899752</v>
      </c>
    </row>
    <row r="1901">
      <c r="A1901" t="inlineStr">
        <is>
          <t>PNBHOUSING</t>
        </is>
      </c>
      <c r="B1901" t="inlineStr">
        <is>
          <t>Bull</t>
        </is>
      </c>
      <c r="C1901" t="n">
        <v>816.75</v>
      </c>
      <c r="D1901" s="22" t="n">
        <v>45455</v>
      </c>
      <c r="E1901" t="n">
        <v>921.4</v>
      </c>
      <c r="F1901" s="22" t="n">
        <v>45594</v>
      </c>
      <c r="G1901" t="n">
        <v>12.81297826752372</v>
      </c>
    </row>
    <row r="1902">
      <c r="A1902" t="inlineStr">
        <is>
          <t>PNBHOUSING</t>
        </is>
      </c>
      <c r="B1902" t="inlineStr">
        <is>
          <t>Bear</t>
        </is>
      </c>
      <c r="C1902" t="n">
        <v>713.1</v>
      </c>
      <c r="D1902" s="22" t="n">
        <v>45448</v>
      </c>
      <c r="E1902" t="n">
        <v>764.1</v>
      </c>
      <c r="F1902" s="22" t="n">
        <v>45453</v>
      </c>
      <c r="G1902" t="n">
        <v>-7.15187210769878</v>
      </c>
    </row>
    <row r="1903">
      <c r="A1903" t="inlineStr">
        <is>
          <t>PNBHOUSING</t>
        </is>
      </c>
      <c r="B1903" t="inlineStr">
        <is>
          <t>Bull</t>
        </is>
      </c>
      <c r="C1903" t="n">
        <v>752.1</v>
      </c>
      <c r="D1903" s="22" t="n">
        <v>45400</v>
      </c>
      <c r="E1903" t="n">
        <v>729.15</v>
      </c>
      <c r="F1903" s="22" t="n">
        <v>45446</v>
      </c>
      <c r="G1903" t="n">
        <v>-3.051455923414446</v>
      </c>
    </row>
    <row r="1904">
      <c r="A1904" t="inlineStr">
        <is>
          <t>PNBHOUSING</t>
        </is>
      </c>
      <c r="B1904" t="inlineStr">
        <is>
          <t>Bear</t>
        </is>
      </c>
      <c r="C1904" t="n">
        <v>742.7</v>
      </c>
      <c r="D1904" s="22" t="n">
        <v>45342</v>
      </c>
      <c r="E1904" t="n">
        <v>738.15</v>
      </c>
      <c r="F1904" s="22" t="n">
        <v>45397</v>
      </c>
      <c r="G1904" t="n">
        <v>0.6126295947219695</v>
      </c>
    </row>
    <row r="1905">
      <c r="A1905" t="inlineStr">
        <is>
          <t>PNBHOUSING</t>
        </is>
      </c>
      <c r="B1905" t="inlineStr">
        <is>
          <t>Bull</t>
        </is>
      </c>
      <c r="C1905" t="n">
        <v>476.95</v>
      </c>
      <c r="D1905" s="22" t="n">
        <v>45051</v>
      </c>
      <c r="E1905" t="n">
        <v>768.8</v>
      </c>
      <c r="F1905" s="22" t="n">
        <v>45338</v>
      </c>
      <c r="G1905" t="n">
        <v>61.19090051368067</v>
      </c>
    </row>
    <row r="1906">
      <c r="A1906" t="inlineStr">
        <is>
          <t>POKARNA</t>
        </is>
      </c>
      <c r="B1906" t="inlineStr">
        <is>
          <t>Bull</t>
        </is>
      </c>
      <c r="C1906" t="n">
        <v>525.45</v>
      </c>
      <c r="D1906" s="22" t="n">
        <v>45429</v>
      </c>
      <c r="E1906" t="n">
        <v>1215.45</v>
      </c>
      <c r="F1906" s="22" t="n">
        <v>45660</v>
      </c>
      <c r="G1906" t="n">
        <v>131.3160148444191</v>
      </c>
    </row>
    <row r="1907">
      <c r="A1907" t="inlineStr">
        <is>
          <t>POKARNA</t>
        </is>
      </c>
      <c r="B1907" t="inlineStr">
        <is>
          <t>Bear</t>
        </is>
      </c>
      <c r="C1907" t="n">
        <v>456.7</v>
      </c>
      <c r="D1907" s="22" t="n">
        <v>45362</v>
      </c>
      <c r="E1907" t="n">
        <v>499.35</v>
      </c>
      <c r="F1907" s="22" t="n">
        <v>45427</v>
      </c>
      <c r="G1907" t="n">
        <v>-9.33873439894899</v>
      </c>
    </row>
    <row r="1908">
      <c r="A1908" t="inlineStr">
        <is>
          <t>POKARNA</t>
        </is>
      </c>
      <c r="B1908" t="inlineStr">
        <is>
          <t>Bull</t>
        </is>
      </c>
      <c r="C1908" t="n">
        <v>506.45</v>
      </c>
      <c r="D1908" s="22" t="n">
        <v>45343</v>
      </c>
      <c r="E1908" t="n">
        <v>473.45</v>
      </c>
      <c r="F1908" s="22" t="n">
        <v>45357</v>
      </c>
      <c r="G1908" t="n">
        <v>-6.515944318294007</v>
      </c>
    </row>
    <row r="1909">
      <c r="A1909" t="inlineStr">
        <is>
          <t>POKARNA</t>
        </is>
      </c>
      <c r="B1909" t="inlineStr">
        <is>
          <t>Bear</t>
        </is>
      </c>
      <c r="C1909" t="n">
        <v>492.9</v>
      </c>
      <c r="D1909" s="22" t="n">
        <v>45278</v>
      </c>
      <c r="E1909" t="n">
        <v>513.75</v>
      </c>
      <c r="F1909" s="22" t="n">
        <v>45341</v>
      </c>
      <c r="G1909" t="n">
        <v>-4.230066950699944</v>
      </c>
    </row>
    <row r="1910">
      <c r="A1910" t="inlineStr">
        <is>
          <t>POKARNA</t>
        </is>
      </c>
      <c r="B1910" t="inlineStr">
        <is>
          <t>Bull</t>
        </is>
      </c>
      <c r="C1910" t="n">
        <v>354.85</v>
      </c>
      <c r="D1910" s="22" t="n">
        <v>45041</v>
      </c>
      <c r="E1910" t="n">
        <v>495.2</v>
      </c>
      <c r="F1910" s="22" t="n">
        <v>45274</v>
      </c>
      <c r="G1910" t="n">
        <v>39.55192334789346</v>
      </c>
    </row>
    <row r="1911">
      <c r="A1911" t="inlineStr">
        <is>
          <t>POLYMED</t>
        </is>
      </c>
      <c r="B1911" t="inlineStr">
        <is>
          <t>Bull</t>
        </is>
      </c>
      <c r="C1911" t="n">
        <v>1575.7</v>
      </c>
      <c r="D1911" s="22" t="n">
        <v>45383</v>
      </c>
      <c r="E1911" t="n">
        <v>2775.3</v>
      </c>
      <c r="F1911" s="22" t="n">
        <v>45660</v>
      </c>
      <c r="G1911" t="n">
        <v>76.13124325696516</v>
      </c>
    </row>
    <row r="1912">
      <c r="A1912" t="inlineStr">
        <is>
          <t>POLYMED</t>
        </is>
      </c>
      <c r="B1912" t="inlineStr">
        <is>
          <t>Bear</t>
        </is>
      </c>
      <c r="C1912" t="n">
        <v>1495.6</v>
      </c>
      <c r="D1912" s="22" t="n">
        <v>45369</v>
      </c>
      <c r="E1912" t="n">
        <v>1584.65</v>
      </c>
      <c r="F1912" s="22" t="n">
        <v>45378</v>
      </c>
      <c r="G1912" t="n">
        <v>-5.954132120887951</v>
      </c>
    </row>
    <row r="1913">
      <c r="A1913" t="inlineStr">
        <is>
          <t>POLYMED</t>
        </is>
      </c>
      <c r="B1913" t="inlineStr">
        <is>
          <t>Bull</t>
        </is>
      </c>
      <c r="C1913" t="n">
        <v>1564.05</v>
      </c>
      <c r="D1913" s="22" t="n">
        <v>45330</v>
      </c>
      <c r="E1913" t="n">
        <v>1418.15</v>
      </c>
      <c r="F1913" s="22" t="n">
        <v>45365</v>
      </c>
      <c r="G1913" t="n">
        <v>-9.328346280489745</v>
      </c>
    </row>
    <row r="1914">
      <c r="A1914" t="inlineStr">
        <is>
          <t>POLYMED</t>
        </is>
      </c>
      <c r="B1914" t="inlineStr">
        <is>
          <t>Bear</t>
        </is>
      </c>
      <c r="C1914" t="n">
        <v>1469.55</v>
      </c>
      <c r="D1914" s="22" t="n">
        <v>45307</v>
      </c>
      <c r="E1914" t="n">
        <v>1584.9</v>
      </c>
      <c r="F1914" s="22" t="n">
        <v>45328</v>
      </c>
      <c r="G1914" t="n">
        <v>-7.849341635194457</v>
      </c>
    </row>
    <row r="1915">
      <c r="A1915" t="inlineStr">
        <is>
          <t>POLYMED</t>
        </is>
      </c>
      <c r="B1915" t="inlineStr">
        <is>
          <t>Bull</t>
        </is>
      </c>
      <c r="C1915" t="n">
        <v>959</v>
      </c>
      <c r="D1915" s="22" t="n">
        <v>44980</v>
      </c>
      <c r="E1915" t="n">
        <v>1462.45</v>
      </c>
      <c r="F1915" s="22" t="n">
        <v>45303</v>
      </c>
      <c r="G1915" t="n">
        <v>52.49739311783108</v>
      </c>
    </row>
    <row r="1916">
      <c r="A1916" t="inlineStr">
        <is>
          <t>POLYCAB</t>
        </is>
      </c>
      <c r="B1916" t="inlineStr">
        <is>
          <t>Bull</t>
        </is>
      </c>
      <c r="C1916" t="n">
        <v>7351.95</v>
      </c>
      <c r="D1916" s="22" t="n">
        <v>45628</v>
      </c>
      <c r="E1916" t="n">
        <v>7208</v>
      </c>
      <c r="F1916" s="22" t="n">
        <v>45660</v>
      </c>
      <c r="G1916" t="n">
        <v>-1.957983936234602</v>
      </c>
    </row>
    <row r="1917">
      <c r="A1917" t="inlineStr">
        <is>
          <t>POLYCAB</t>
        </is>
      </c>
      <c r="B1917" t="inlineStr">
        <is>
          <t>Bear</t>
        </is>
      </c>
      <c r="C1917" t="n">
        <v>6394.35</v>
      </c>
      <c r="D1917" s="22" t="n">
        <v>45595</v>
      </c>
      <c r="E1917" t="n">
        <v>7149.2</v>
      </c>
      <c r="F1917" s="22" t="n">
        <v>45624</v>
      </c>
      <c r="G1917" t="n">
        <v>-11.80495280990248</v>
      </c>
    </row>
    <row r="1918">
      <c r="A1918" t="inlineStr">
        <is>
          <t>POLYCAB</t>
        </is>
      </c>
      <c r="B1918" t="inlineStr">
        <is>
          <t>Bull</t>
        </is>
      </c>
      <c r="C1918" t="n">
        <v>4933.9</v>
      </c>
      <c r="D1918" s="22" t="n">
        <v>45362</v>
      </c>
      <c r="E1918" t="n">
        <v>6369.25</v>
      </c>
      <c r="F1918" s="22" t="n">
        <v>45593</v>
      </c>
      <c r="G1918" t="n">
        <v>29.09159083078296</v>
      </c>
    </row>
    <row r="1919">
      <c r="A1919" t="inlineStr">
        <is>
          <t>POLYCAB</t>
        </is>
      </c>
      <c r="B1919" t="inlineStr">
        <is>
          <t>Bear</t>
        </is>
      </c>
      <c r="C1919" t="n">
        <v>3980.9</v>
      </c>
      <c r="D1919" s="22" t="n">
        <v>45303</v>
      </c>
      <c r="E1919" t="n">
        <v>4880.3</v>
      </c>
      <c r="F1919" s="22" t="n">
        <v>45357</v>
      </c>
      <c r="G1919" t="n">
        <v>-22.59288100680751</v>
      </c>
    </row>
    <row r="1920">
      <c r="A1920" t="inlineStr">
        <is>
          <t>POLYCAB</t>
        </is>
      </c>
      <c r="B1920" t="inlineStr">
        <is>
          <t>Bull</t>
        </is>
      </c>
      <c r="C1920" t="n">
        <v>3084.25</v>
      </c>
      <c r="D1920" s="22" t="n">
        <v>45029</v>
      </c>
      <c r="E1920" t="n">
        <v>4911.85</v>
      </c>
      <c r="F1920" s="22" t="n">
        <v>45301</v>
      </c>
      <c r="G1920" t="n">
        <v>59.25589689551756</v>
      </c>
    </row>
    <row r="1921">
      <c r="A1921" t="inlineStr">
        <is>
          <t>POWERGRID</t>
        </is>
      </c>
      <c r="B1921" t="inlineStr">
        <is>
          <t>Bear</t>
        </is>
      </c>
      <c r="C1921" t="n">
        <v>315.3</v>
      </c>
      <c r="D1921" s="22" t="n">
        <v>45649</v>
      </c>
      <c r="E1921" t="n">
        <v>316.05</v>
      </c>
      <c r="F1921" s="22" t="n">
        <v>45660</v>
      </c>
      <c r="G1921" t="n">
        <v>-0.2378686964795433</v>
      </c>
    </row>
    <row r="1922">
      <c r="A1922" t="inlineStr">
        <is>
          <t>POWERGRID</t>
        </is>
      </c>
      <c r="B1922" t="inlineStr">
        <is>
          <t>Bull</t>
        </is>
      </c>
      <c r="C1922" t="n">
        <v>335</v>
      </c>
      <c r="D1922" s="22" t="n">
        <v>45642</v>
      </c>
      <c r="E1922" t="n">
        <v>321.65</v>
      </c>
      <c r="F1922" s="22" t="n">
        <v>45645</v>
      </c>
      <c r="G1922" t="n">
        <v>-3.985074626865678</v>
      </c>
    </row>
    <row r="1923">
      <c r="A1923" t="inlineStr">
        <is>
          <t>POWERGRID</t>
        </is>
      </c>
      <c r="B1923" t="inlineStr">
        <is>
          <t>Bear</t>
        </is>
      </c>
      <c r="C1923" t="n">
        <v>329.85</v>
      </c>
      <c r="D1923" s="22" t="n">
        <v>45580</v>
      </c>
      <c r="E1923" t="n">
        <v>329.2</v>
      </c>
      <c r="F1923" s="22" t="n">
        <v>45638</v>
      </c>
      <c r="G1923" t="n">
        <v>0.1970592693648731</v>
      </c>
    </row>
    <row r="1924">
      <c r="A1924" t="inlineStr">
        <is>
          <t>POWERGRID</t>
        </is>
      </c>
      <c r="B1924" t="inlineStr">
        <is>
          <t>Bull</t>
        </is>
      </c>
      <c r="C1924" t="n">
        <v>166.69</v>
      </c>
      <c r="D1924" s="22" t="n">
        <v>44985</v>
      </c>
      <c r="E1924" t="n">
        <v>330.05</v>
      </c>
      <c r="F1924" s="22" t="n">
        <v>45576</v>
      </c>
      <c r="G1924" t="n">
        <v>98.00227968084469</v>
      </c>
    </row>
    <row r="1925">
      <c r="A1925" t="inlineStr">
        <is>
          <t>PRAKASH</t>
        </is>
      </c>
      <c r="B1925" t="inlineStr">
        <is>
          <t>Bear</t>
        </is>
      </c>
      <c r="C1925" t="n">
        <v>182.91</v>
      </c>
      <c r="D1925" s="22" t="n">
        <v>45559</v>
      </c>
      <c r="E1925" t="n">
        <v>162.06</v>
      </c>
      <c r="F1925" s="22" t="n">
        <v>45660</v>
      </c>
      <c r="G1925" t="n">
        <v>11.39904871248154</v>
      </c>
    </row>
    <row r="1926">
      <c r="A1926" t="inlineStr">
        <is>
          <t>PRAKASH</t>
        </is>
      </c>
      <c r="B1926" t="inlineStr">
        <is>
          <t>Bull</t>
        </is>
      </c>
      <c r="C1926" t="n">
        <v>189.38</v>
      </c>
      <c r="D1926" s="22" t="n">
        <v>45461</v>
      </c>
      <c r="E1926" t="n">
        <v>178.78</v>
      </c>
      <c r="F1926" s="22" t="n">
        <v>45555</v>
      </c>
      <c r="G1926" t="n">
        <v>-5.59721195479987</v>
      </c>
    </row>
    <row r="1927">
      <c r="A1927" t="inlineStr">
        <is>
          <t>PRAKASH</t>
        </is>
      </c>
      <c r="B1927" t="inlineStr">
        <is>
          <t>Bear</t>
        </is>
      </c>
      <c r="C1927" t="n">
        <v>181.4</v>
      </c>
      <c r="D1927" s="22" t="n">
        <v>45353</v>
      </c>
      <c r="E1927" t="n">
        <v>173.71</v>
      </c>
      <c r="F1927" s="22" t="n">
        <v>45456</v>
      </c>
      <c r="G1927" t="n">
        <v>4.239250275633957</v>
      </c>
    </row>
    <row r="1928">
      <c r="A1928" t="inlineStr">
        <is>
          <t>PRAKASH</t>
        </is>
      </c>
      <c r="B1928" t="inlineStr">
        <is>
          <t>Bull</t>
        </is>
      </c>
      <c r="C1928" t="n">
        <v>59.9</v>
      </c>
      <c r="D1928" s="22" t="n">
        <v>45062</v>
      </c>
      <c r="E1928" t="n">
        <v>172.6</v>
      </c>
      <c r="F1928" s="22" t="n">
        <v>45351</v>
      </c>
      <c r="G1928" t="n">
        <v>188.1469115191987</v>
      </c>
    </row>
    <row r="1929">
      <c r="A1929" t="inlineStr">
        <is>
          <t>PSPPROJECT</t>
        </is>
      </c>
      <c r="B1929" t="inlineStr">
        <is>
          <t>Bull</t>
        </is>
      </c>
      <c r="C1929" t="n">
        <v>673.7</v>
      </c>
      <c r="D1929" s="22" t="n">
        <v>45635</v>
      </c>
      <c r="E1929" t="n">
        <v>679.5</v>
      </c>
      <c r="F1929" s="22" t="n">
        <v>45660</v>
      </c>
      <c r="G1929" t="n">
        <v>0.860917322250253</v>
      </c>
    </row>
    <row r="1930">
      <c r="A1930" t="inlineStr">
        <is>
          <t>PSPPROJECT</t>
        </is>
      </c>
      <c r="B1930" t="inlineStr">
        <is>
          <t>Bear</t>
        </is>
      </c>
      <c r="C1930" t="n">
        <v>688.5</v>
      </c>
      <c r="D1930" s="22" t="n">
        <v>45558</v>
      </c>
      <c r="E1930" t="n">
        <v>654.45</v>
      </c>
      <c r="F1930" s="22" t="n">
        <v>45631</v>
      </c>
      <c r="G1930" t="n">
        <v>4.945533769063174</v>
      </c>
    </row>
    <row r="1931">
      <c r="A1931" t="inlineStr">
        <is>
          <t>PSPPROJECT</t>
        </is>
      </c>
      <c r="B1931" t="inlineStr">
        <is>
          <t>Bull</t>
        </is>
      </c>
      <c r="C1931" t="n">
        <v>681.45</v>
      </c>
      <c r="D1931" s="22" t="n">
        <v>45553</v>
      </c>
      <c r="E1931" t="n">
        <v>672.3</v>
      </c>
      <c r="F1931" s="22" t="n">
        <v>45554</v>
      </c>
      <c r="G1931" t="n">
        <v>-1.342725071538644</v>
      </c>
    </row>
    <row r="1932">
      <c r="A1932" t="inlineStr">
        <is>
          <t>PSPPROJECT</t>
        </is>
      </c>
      <c r="B1932" t="inlineStr">
        <is>
          <t>Bear</t>
        </is>
      </c>
      <c r="C1932" t="n">
        <v>676.95</v>
      </c>
      <c r="D1932" s="22" t="n">
        <v>45541</v>
      </c>
      <c r="E1932" t="n">
        <v>695.8</v>
      </c>
      <c r="F1932" s="22" t="n">
        <v>45551</v>
      </c>
      <c r="G1932" t="n">
        <v>-2.7845483418273</v>
      </c>
    </row>
    <row r="1933">
      <c r="A1933" t="inlineStr">
        <is>
          <t>PSPPROJECT</t>
        </is>
      </c>
      <c r="B1933" t="inlineStr">
        <is>
          <t>Bull</t>
        </is>
      </c>
      <c r="C1933" t="n">
        <v>680.6</v>
      </c>
      <c r="D1933" s="22" t="n">
        <v>45476</v>
      </c>
      <c r="E1933" t="n">
        <v>671.5</v>
      </c>
      <c r="F1933" s="22" t="n">
        <v>45539</v>
      </c>
      <c r="G1933" t="n">
        <v>-1.337055539230094</v>
      </c>
    </row>
    <row r="1934">
      <c r="A1934" t="inlineStr">
        <is>
          <t>PSPPROJECT</t>
        </is>
      </c>
      <c r="B1934" t="inlineStr">
        <is>
          <t>Bear</t>
        </is>
      </c>
      <c r="C1934" t="n">
        <v>706.4</v>
      </c>
      <c r="D1934" s="22" t="n">
        <v>45335</v>
      </c>
      <c r="E1934" t="n">
        <v>691.25</v>
      </c>
      <c r="F1934" s="22" t="n">
        <v>45474</v>
      </c>
      <c r="G1934" t="n">
        <v>2.144677236693088</v>
      </c>
    </row>
    <row r="1935">
      <c r="A1935" t="inlineStr">
        <is>
          <t>PSPPROJECT</t>
        </is>
      </c>
      <c r="B1935" t="inlineStr">
        <is>
          <t>Bull</t>
        </is>
      </c>
      <c r="C1935" t="n">
        <v>736.85</v>
      </c>
      <c r="D1935" s="22" t="n">
        <v>45331</v>
      </c>
      <c r="E1935" t="n">
        <v>736.85</v>
      </c>
      <c r="F1935" s="22" t="n">
        <v>45331</v>
      </c>
      <c r="G1935" t="n">
        <v>0</v>
      </c>
    </row>
    <row r="1936">
      <c r="A1936" t="inlineStr">
        <is>
          <t>PSPPROJECT</t>
        </is>
      </c>
      <c r="B1936" t="inlineStr">
        <is>
          <t>Bear</t>
        </is>
      </c>
      <c r="C1936" t="n">
        <v>764.5</v>
      </c>
      <c r="D1936" s="22" t="n">
        <v>45215</v>
      </c>
      <c r="E1936" t="n">
        <v>777.75</v>
      </c>
      <c r="F1936" s="22" t="n">
        <v>45329</v>
      </c>
      <c r="G1936" t="n">
        <v>-1.733158927403532</v>
      </c>
    </row>
    <row r="1937">
      <c r="A1937" t="inlineStr">
        <is>
          <t>PSPPROJECT</t>
        </is>
      </c>
      <c r="B1937" t="inlineStr">
        <is>
          <t>Bull</t>
        </is>
      </c>
      <c r="C1937" t="n">
        <v>792.5</v>
      </c>
      <c r="D1937" s="22" t="n">
        <v>45138</v>
      </c>
      <c r="E1937" t="n">
        <v>770.2</v>
      </c>
      <c r="F1937" s="22" t="n">
        <v>45211</v>
      </c>
      <c r="G1937" t="n">
        <v>-2.813880126182959</v>
      </c>
    </row>
    <row r="1938">
      <c r="A1938" t="inlineStr">
        <is>
          <t>PSPPROJECT</t>
        </is>
      </c>
      <c r="B1938" t="inlineStr">
        <is>
          <t>Bear</t>
        </is>
      </c>
      <c r="C1938" t="n">
        <v>717</v>
      </c>
      <c r="D1938" s="22" t="n">
        <v>45126</v>
      </c>
      <c r="E1938" t="n">
        <v>737.5</v>
      </c>
      <c r="F1938" s="22" t="n">
        <v>45134</v>
      </c>
      <c r="G1938" t="n">
        <v>-2.859135285913529</v>
      </c>
    </row>
    <row r="1939">
      <c r="A1939" t="inlineStr">
        <is>
          <t>PSPPROJECT</t>
        </is>
      </c>
      <c r="B1939" t="inlineStr">
        <is>
          <t>Bull</t>
        </is>
      </c>
      <c r="C1939" t="n">
        <v>728.25</v>
      </c>
      <c r="D1939" s="22" t="n">
        <v>45049</v>
      </c>
      <c r="E1939" t="n">
        <v>716.55</v>
      </c>
      <c r="F1939" s="22" t="n">
        <v>45124</v>
      </c>
      <c r="G1939" t="n">
        <v>-1.606591143151397</v>
      </c>
    </row>
    <row r="1940">
      <c r="A1940" t="inlineStr">
        <is>
          <t>PUNJABCHEM</t>
        </is>
      </c>
      <c r="B1940" t="inlineStr">
        <is>
          <t>Bear</t>
        </is>
      </c>
      <c r="C1940" t="n">
        <v>1211.05</v>
      </c>
      <c r="D1940" s="22" t="n">
        <v>45548</v>
      </c>
      <c r="E1940" t="n">
        <v>1037.45</v>
      </c>
      <c r="F1940" s="22" t="n">
        <v>45660</v>
      </c>
      <c r="G1940" t="n">
        <v>14.33466826307749</v>
      </c>
    </row>
    <row r="1941">
      <c r="A1941" t="inlineStr">
        <is>
          <t>PUNJABCHEM</t>
        </is>
      </c>
      <c r="B1941" t="inlineStr">
        <is>
          <t>Bull</t>
        </is>
      </c>
      <c r="C1941" t="n">
        <v>1272.8</v>
      </c>
      <c r="D1941" s="22" t="n">
        <v>45540</v>
      </c>
      <c r="E1941" t="n">
        <v>1258.7</v>
      </c>
      <c r="F1941" s="22" t="n">
        <v>45546</v>
      </c>
      <c r="G1941" t="n">
        <v>-1.107793840351973</v>
      </c>
    </row>
    <row r="1942">
      <c r="A1942" t="inlineStr">
        <is>
          <t>PUNJABCHEM</t>
        </is>
      </c>
      <c r="B1942" t="inlineStr">
        <is>
          <t>Bear</t>
        </is>
      </c>
      <c r="C1942" t="n">
        <v>1204.95</v>
      </c>
      <c r="D1942" s="22" t="n">
        <v>45523</v>
      </c>
      <c r="E1942" t="n">
        <v>1300.7</v>
      </c>
      <c r="F1942" s="22" t="n">
        <v>45538</v>
      </c>
      <c r="G1942" t="n">
        <v>-7.946387816921864</v>
      </c>
    </row>
    <row r="1943">
      <c r="A1943" t="inlineStr">
        <is>
          <t>PUNJABCHEM</t>
        </is>
      </c>
      <c r="B1943" t="inlineStr">
        <is>
          <t>Bull</t>
        </is>
      </c>
      <c r="C1943" t="n">
        <v>1099.85</v>
      </c>
      <c r="D1943" s="22" t="n">
        <v>45446</v>
      </c>
      <c r="E1943" t="n">
        <v>1185.55</v>
      </c>
      <c r="F1943" s="22" t="n">
        <v>45518</v>
      </c>
      <c r="G1943" t="n">
        <v>7.791971632495345</v>
      </c>
    </row>
    <row r="1944">
      <c r="A1944" t="inlineStr">
        <is>
          <t>PUNJABCHEM</t>
        </is>
      </c>
      <c r="B1944" t="inlineStr">
        <is>
          <t>Bear</t>
        </is>
      </c>
      <c r="C1944" t="n">
        <v>1028.8</v>
      </c>
      <c r="D1944" s="22" t="n">
        <v>45429</v>
      </c>
      <c r="E1944" t="n">
        <v>1108.45</v>
      </c>
      <c r="F1944" s="22" t="n">
        <v>45442</v>
      </c>
      <c r="G1944" t="n">
        <v>-7.742029548989122</v>
      </c>
    </row>
    <row r="1945">
      <c r="A1945" t="inlineStr">
        <is>
          <t>PUNJABCHEM</t>
        </is>
      </c>
      <c r="B1945" t="inlineStr">
        <is>
          <t>Bull</t>
        </is>
      </c>
      <c r="C1945" t="n">
        <v>1100.1</v>
      </c>
      <c r="D1945" s="22" t="n">
        <v>45405</v>
      </c>
      <c r="E1945" t="n">
        <v>1036.65</v>
      </c>
      <c r="F1945" s="22" t="n">
        <v>45427</v>
      </c>
      <c r="G1945" t="n">
        <v>-5.767657485683104</v>
      </c>
    </row>
    <row r="1946">
      <c r="A1946" t="inlineStr">
        <is>
          <t>PUNJABCHEM</t>
        </is>
      </c>
      <c r="B1946" t="inlineStr">
        <is>
          <t>Bear</t>
        </is>
      </c>
      <c r="C1946" t="n">
        <v>1125</v>
      </c>
      <c r="D1946" s="22" t="n">
        <v>45320</v>
      </c>
      <c r="E1946" t="n">
        <v>1103.35</v>
      </c>
      <c r="F1946" s="22" t="n">
        <v>45401</v>
      </c>
      <c r="G1946" t="n">
        <v>1.924444444444453</v>
      </c>
    </row>
    <row r="1947">
      <c r="A1947" t="inlineStr">
        <is>
          <t>PUNJABCHEM</t>
        </is>
      </c>
      <c r="B1947" t="inlineStr">
        <is>
          <t>Bull</t>
        </is>
      </c>
      <c r="C1947" t="n">
        <v>904.45</v>
      </c>
      <c r="D1947" s="22" t="n">
        <v>45092</v>
      </c>
      <c r="E1947" t="n">
        <v>1190.95</v>
      </c>
      <c r="F1947" s="22" t="n">
        <v>45315</v>
      </c>
      <c r="G1947" t="n">
        <v>31.67670960252087</v>
      </c>
    </row>
    <row r="1948">
      <c r="A1948" t="inlineStr">
        <is>
          <t>PUNJABCHEM</t>
        </is>
      </c>
      <c r="B1948" t="inlineStr">
        <is>
          <t>Bear</t>
        </is>
      </c>
      <c r="C1948" t="n">
        <v>1228.15</v>
      </c>
      <c r="D1948" s="22" t="n">
        <v>44830</v>
      </c>
      <c r="E1948" t="n">
        <v>925.8</v>
      </c>
      <c r="F1948" s="22" t="n">
        <v>45090</v>
      </c>
      <c r="G1948" t="n">
        <v>24.61832838008388</v>
      </c>
    </row>
    <row r="1949">
      <c r="A1949" t="inlineStr">
        <is>
          <t>RAILTEL</t>
        </is>
      </c>
      <c r="B1949" t="inlineStr">
        <is>
          <t>Bear</t>
        </is>
      </c>
      <c r="C1949" t="n">
        <v>392.9</v>
      </c>
      <c r="D1949" s="22" t="n">
        <v>45656</v>
      </c>
      <c r="E1949" t="n">
        <v>422.55</v>
      </c>
      <c r="F1949" s="22" t="n">
        <v>45660</v>
      </c>
      <c r="G1949" t="n">
        <v>-7.546449478238746</v>
      </c>
    </row>
    <row r="1950">
      <c r="A1950" t="inlineStr">
        <is>
          <t>RAILTEL</t>
        </is>
      </c>
      <c r="B1950" t="inlineStr">
        <is>
          <t>Bull</t>
        </is>
      </c>
      <c r="C1950" t="n">
        <v>440.85</v>
      </c>
      <c r="D1950" s="22" t="n">
        <v>45639</v>
      </c>
      <c r="E1950" t="n">
        <v>401.45</v>
      </c>
      <c r="F1950" s="22" t="n">
        <v>45652</v>
      </c>
      <c r="G1950" t="n">
        <v>-8.937280254054675</v>
      </c>
    </row>
    <row r="1951">
      <c r="A1951" t="inlineStr">
        <is>
          <t>RAILTEL</t>
        </is>
      </c>
      <c r="B1951" t="inlineStr">
        <is>
          <t>Bear</t>
        </is>
      </c>
      <c r="C1951" t="n">
        <v>450.9</v>
      </c>
      <c r="D1951" s="22" t="n">
        <v>45554</v>
      </c>
      <c r="E1951" t="n">
        <v>451.5</v>
      </c>
      <c r="F1951" s="22" t="n">
        <v>45637</v>
      </c>
      <c r="G1951" t="n">
        <v>-0.1330671989354675</v>
      </c>
    </row>
    <row r="1952">
      <c r="A1952" t="inlineStr">
        <is>
          <t>RAILTEL</t>
        </is>
      </c>
      <c r="B1952" t="inlineStr">
        <is>
          <t>Bull</t>
        </is>
      </c>
      <c r="C1952" t="n">
        <v>412</v>
      </c>
      <c r="D1952" s="22" t="n">
        <v>45430</v>
      </c>
      <c r="E1952" t="n">
        <v>473.5</v>
      </c>
      <c r="F1952" s="22" t="n">
        <v>45552</v>
      </c>
      <c r="G1952" t="n">
        <v>14.92718446601942</v>
      </c>
    </row>
    <row r="1953">
      <c r="A1953" t="inlineStr">
        <is>
          <t>RAILTEL</t>
        </is>
      </c>
      <c r="B1953" t="inlineStr">
        <is>
          <t>Bear</t>
        </is>
      </c>
      <c r="C1953" t="n">
        <v>361.45</v>
      </c>
      <c r="D1953" s="22" t="n">
        <v>45422</v>
      </c>
      <c r="E1953" t="n">
        <v>401.7</v>
      </c>
      <c r="F1953" s="22" t="n">
        <v>45428</v>
      </c>
      <c r="G1953" t="n">
        <v>-11.13570341679347</v>
      </c>
    </row>
    <row r="1954">
      <c r="A1954" t="inlineStr">
        <is>
          <t>RAILTEL</t>
        </is>
      </c>
      <c r="B1954" t="inlineStr">
        <is>
          <t>Bull</t>
        </is>
      </c>
      <c r="C1954" t="n">
        <v>399.15</v>
      </c>
      <c r="D1954" s="22" t="n">
        <v>45411</v>
      </c>
      <c r="E1954" t="n">
        <v>373.2</v>
      </c>
      <c r="F1954" s="22" t="n">
        <v>45420</v>
      </c>
      <c r="G1954" t="n">
        <v>-6.501315295001876</v>
      </c>
    </row>
    <row r="1955">
      <c r="A1955" t="inlineStr">
        <is>
          <t>RAILTEL</t>
        </is>
      </c>
      <c r="B1955" t="inlineStr">
        <is>
          <t>Bear</t>
        </is>
      </c>
      <c r="C1955" t="n">
        <v>360.25</v>
      </c>
      <c r="D1955" s="22" t="n">
        <v>45373</v>
      </c>
      <c r="E1955" t="n">
        <v>395.75</v>
      </c>
      <c r="F1955" s="22" t="n">
        <v>45407</v>
      </c>
      <c r="G1955" t="n">
        <v>-9.854267869535045</v>
      </c>
    </row>
    <row r="1956">
      <c r="A1956" t="inlineStr">
        <is>
          <t>RAILTEL</t>
        </is>
      </c>
      <c r="B1956" t="inlineStr">
        <is>
          <t>Bull</t>
        </is>
      </c>
      <c r="C1956" t="n">
        <v>121.85</v>
      </c>
      <c r="D1956" s="22" t="n">
        <v>45049</v>
      </c>
      <c r="E1956" t="n">
        <v>349.9</v>
      </c>
      <c r="F1956" s="22" t="n">
        <v>45371</v>
      </c>
      <c r="G1956" t="n">
        <v>187.1563397620025</v>
      </c>
    </row>
    <row r="1957">
      <c r="A1957" t="inlineStr">
        <is>
          <t>RAINBOW</t>
        </is>
      </c>
      <c r="B1957" t="inlineStr">
        <is>
          <t>Bull</t>
        </is>
      </c>
      <c r="C1957" t="n">
        <v>1263.65</v>
      </c>
      <c r="D1957" s="22" t="n">
        <v>45539</v>
      </c>
      <c r="E1957" t="n">
        <v>1557.8</v>
      </c>
      <c r="F1957" s="22" t="n">
        <v>45660</v>
      </c>
      <c r="G1957" t="n">
        <v>23.27780635460767</v>
      </c>
    </row>
    <row r="1958">
      <c r="A1958" t="inlineStr">
        <is>
          <t>RAINBOW</t>
        </is>
      </c>
      <c r="B1958" t="inlineStr">
        <is>
          <t>Bear</t>
        </is>
      </c>
      <c r="C1958" t="n">
        <v>1230.95</v>
      </c>
      <c r="D1958" s="22" t="n">
        <v>45442</v>
      </c>
      <c r="E1958" t="n">
        <v>1278.2</v>
      </c>
      <c r="F1958" s="22" t="n">
        <v>45537</v>
      </c>
      <c r="G1958" t="n">
        <v>-3.838498720500426</v>
      </c>
    </row>
    <row r="1959">
      <c r="A1959" t="inlineStr">
        <is>
          <t>RAINBOW</t>
        </is>
      </c>
      <c r="B1959" t="inlineStr">
        <is>
          <t>Bull</t>
        </is>
      </c>
      <c r="C1959" t="n">
        <v>1360.15</v>
      </c>
      <c r="D1959" s="22" t="n">
        <v>45384</v>
      </c>
      <c r="E1959" t="n">
        <v>1268.3</v>
      </c>
      <c r="F1959" s="22" t="n">
        <v>45440</v>
      </c>
      <c r="G1959" t="n">
        <v>-6.752931661949059</v>
      </c>
    </row>
    <row r="1960">
      <c r="A1960" t="inlineStr">
        <is>
          <t>RAINBOW</t>
        </is>
      </c>
      <c r="B1960" t="inlineStr">
        <is>
          <t>Bear</t>
        </is>
      </c>
      <c r="C1960" t="n">
        <v>1104.4</v>
      </c>
      <c r="D1960" s="22" t="n">
        <v>45364</v>
      </c>
      <c r="E1960" t="n">
        <v>1297.55</v>
      </c>
      <c r="F1960" s="22" t="n">
        <v>45379</v>
      </c>
      <c r="G1960" t="n">
        <v>-17.48913437160448</v>
      </c>
    </row>
    <row r="1961">
      <c r="A1961" t="inlineStr">
        <is>
          <t>RAINBOW</t>
        </is>
      </c>
      <c r="B1961" t="inlineStr">
        <is>
          <t>Bull</t>
        </is>
      </c>
      <c r="C1961" t="n">
        <v>1131.3</v>
      </c>
      <c r="D1961" s="22" t="n">
        <v>45252</v>
      </c>
      <c r="E1961" t="n">
        <v>1133.6</v>
      </c>
      <c r="F1961" s="22" t="n">
        <v>45362</v>
      </c>
      <c r="G1961" t="n">
        <v>0.2033059312295549</v>
      </c>
    </row>
    <row r="1962">
      <c r="A1962" t="inlineStr">
        <is>
          <t>RAINBOW</t>
        </is>
      </c>
      <c r="B1962" t="inlineStr">
        <is>
          <t>Bear</t>
        </is>
      </c>
      <c r="C1962" t="n">
        <v>1021.5</v>
      </c>
      <c r="D1962" s="22" t="n">
        <v>45240</v>
      </c>
      <c r="E1962" t="n">
        <v>1113.4</v>
      </c>
      <c r="F1962" s="22" t="n">
        <v>45250</v>
      </c>
      <c r="G1962" t="n">
        <v>-8.996573666177198</v>
      </c>
    </row>
    <row r="1963">
      <c r="A1963" t="inlineStr">
        <is>
          <t>RAINBOW</t>
        </is>
      </c>
      <c r="B1963" t="inlineStr">
        <is>
          <t>Bull</t>
        </is>
      </c>
      <c r="C1963" t="n">
        <v>1080.1</v>
      </c>
      <c r="D1963" s="22" t="n">
        <v>45212</v>
      </c>
      <c r="E1963" t="n">
        <v>1019.25</v>
      </c>
      <c r="F1963" s="22" t="n">
        <v>45238</v>
      </c>
      <c r="G1963" t="n">
        <v>-5.633737616887317</v>
      </c>
    </row>
    <row r="1964">
      <c r="A1964" t="inlineStr">
        <is>
          <t>RAINBOW</t>
        </is>
      </c>
      <c r="B1964" t="inlineStr">
        <is>
          <t>Bear</t>
        </is>
      </c>
      <c r="C1964" t="n">
        <v>1035.85</v>
      </c>
      <c r="D1964" s="22" t="n">
        <v>45197</v>
      </c>
      <c r="E1964" t="n">
        <v>1049.15</v>
      </c>
      <c r="F1964" s="22" t="n">
        <v>45210</v>
      </c>
      <c r="G1964" t="n">
        <v>-1.283969686730722</v>
      </c>
    </row>
    <row r="1965">
      <c r="A1965" t="inlineStr">
        <is>
          <t>RAINBOW</t>
        </is>
      </c>
      <c r="B1965" t="inlineStr">
        <is>
          <t>Bull</t>
        </is>
      </c>
      <c r="C1965" t="n">
        <v>800.05</v>
      </c>
      <c r="D1965" s="22" t="n">
        <v>45034</v>
      </c>
      <c r="E1965" t="n">
        <v>1035.75</v>
      </c>
      <c r="F1965" s="22" t="n">
        <v>45195</v>
      </c>
      <c r="G1965" t="n">
        <v>29.46065870883071</v>
      </c>
    </row>
    <row r="1966">
      <c r="A1966" t="inlineStr">
        <is>
          <t>RKFORGE</t>
        </is>
      </c>
      <c r="B1966" t="inlineStr">
        <is>
          <t>Bear</t>
        </is>
      </c>
      <c r="C1966" t="n">
        <v>906.1</v>
      </c>
      <c r="D1966" s="22" t="n">
        <v>45645</v>
      </c>
      <c r="E1966" t="n">
        <v>917.4</v>
      </c>
      <c r="F1966" s="22" t="n">
        <v>45660</v>
      </c>
      <c r="G1966" t="n">
        <v>-1.247102968767239</v>
      </c>
    </row>
    <row r="1967">
      <c r="A1967" t="inlineStr">
        <is>
          <t>RKFORGE</t>
        </is>
      </c>
      <c r="B1967" t="inlineStr">
        <is>
          <t>Bull</t>
        </is>
      </c>
      <c r="C1967" t="n">
        <v>966.2</v>
      </c>
      <c r="D1967" s="22" t="n">
        <v>45625</v>
      </c>
      <c r="E1967" t="n">
        <v>921.95</v>
      </c>
      <c r="F1967" s="22" t="n">
        <v>45643</v>
      </c>
      <c r="G1967" t="n">
        <v>-4.579797143448562</v>
      </c>
    </row>
    <row r="1968">
      <c r="A1968" t="inlineStr">
        <is>
          <t>RKFORGE</t>
        </is>
      </c>
      <c r="B1968" t="inlineStr">
        <is>
          <t>Bear</t>
        </is>
      </c>
      <c r="C1968" t="n">
        <v>909.25</v>
      </c>
      <c r="D1968" s="22" t="n">
        <v>45595</v>
      </c>
      <c r="E1968" t="n">
        <v>975.35</v>
      </c>
      <c r="F1968" s="22" t="n">
        <v>45623</v>
      </c>
      <c r="G1968" t="n">
        <v>-7.269727797635417</v>
      </c>
    </row>
    <row r="1969">
      <c r="A1969" t="inlineStr">
        <is>
          <t>RKFORGE</t>
        </is>
      </c>
      <c r="B1969" t="inlineStr">
        <is>
          <t>Bull</t>
        </is>
      </c>
      <c r="C1969" t="n">
        <v>844.3</v>
      </c>
      <c r="D1969" s="22" t="n">
        <v>45462</v>
      </c>
      <c r="E1969" t="n">
        <v>881.35</v>
      </c>
      <c r="F1969" s="22" t="n">
        <v>45593</v>
      </c>
      <c r="G1969" t="n">
        <v>4.388250621816898</v>
      </c>
    </row>
    <row r="1970">
      <c r="A1970" t="inlineStr">
        <is>
          <t>RKFORGE</t>
        </is>
      </c>
      <c r="B1970" t="inlineStr">
        <is>
          <t>Bear</t>
        </is>
      </c>
      <c r="C1970" t="n">
        <v>698.15</v>
      </c>
      <c r="D1970" s="22" t="n">
        <v>45439</v>
      </c>
      <c r="E1970" t="n">
        <v>745.15</v>
      </c>
      <c r="F1970" s="22" t="n">
        <v>45457</v>
      </c>
      <c r="G1970" t="n">
        <v>-6.73207763374633</v>
      </c>
    </row>
    <row r="1971">
      <c r="A1971" t="inlineStr">
        <is>
          <t>RKFORGE</t>
        </is>
      </c>
      <c r="B1971" t="inlineStr">
        <is>
          <t>Bull</t>
        </is>
      </c>
      <c r="C1971" t="n">
        <v>726.3</v>
      </c>
      <c r="D1971" s="22" t="n">
        <v>45434</v>
      </c>
      <c r="E1971" t="n">
        <v>715.35</v>
      </c>
      <c r="F1971" s="22" t="n">
        <v>45435</v>
      </c>
      <c r="G1971" t="n">
        <v>-1.50764147046674</v>
      </c>
    </row>
    <row r="1972">
      <c r="A1972" t="inlineStr">
        <is>
          <t>RKFORGE</t>
        </is>
      </c>
      <c r="B1972" t="inlineStr">
        <is>
          <t>Bear</t>
        </is>
      </c>
      <c r="C1972" t="n">
        <v>704.85</v>
      </c>
      <c r="D1972" s="22" t="n">
        <v>45426</v>
      </c>
      <c r="E1972" t="n">
        <v>739.5</v>
      </c>
      <c r="F1972" s="22" t="n">
        <v>45430</v>
      </c>
      <c r="G1972" t="n">
        <v>-4.915939561608849</v>
      </c>
    </row>
    <row r="1973">
      <c r="A1973" t="inlineStr">
        <is>
          <t>RKFORGE</t>
        </is>
      </c>
      <c r="B1973" t="inlineStr">
        <is>
          <t>Bull</t>
        </is>
      </c>
      <c r="C1973" t="n">
        <v>768.3</v>
      </c>
      <c r="D1973" s="22" t="n">
        <v>45406</v>
      </c>
      <c r="E1973" t="n">
        <v>693.65</v>
      </c>
      <c r="F1973" s="22" t="n">
        <v>45422</v>
      </c>
      <c r="G1973" t="n">
        <v>-9.71625667057139</v>
      </c>
    </row>
    <row r="1974">
      <c r="A1974" t="inlineStr">
        <is>
          <t>RKFORGE</t>
        </is>
      </c>
      <c r="B1974" t="inlineStr">
        <is>
          <t>Bear</t>
        </is>
      </c>
      <c r="C1974" t="n">
        <v>626.85</v>
      </c>
      <c r="D1974" s="22" t="n">
        <v>45364</v>
      </c>
      <c r="E1974" t="n">
        <v>747.45</v>
      </c>
      <c r="F1974" s="22" t="n">
        <v>45404</v>
      </c>
      <c r="G1974" t="n">
        <v>-19.23905240488155</v>
      </c>
    </row>
    <row r="1975">
      <c r="A1975" t="inlineStr">
        <is>
          <t>RKFORGE</t>
        </is>
      </c>
      <c r="B1975" t="inlineStr">
        <is>
          <t>Bull</t>
        </is>
      </c>
      <c r="C1975" t="n">
        <v>774.05</v>
      </c>
      <c r="D1975" s="22" t="n">
        <v>45349</v>
      </c>
      <c r="E1975" t="n">
        <v>729.75</v>
      </c>
      <c r="F1975" s="22" t="n">
        <v>45362</v>
      </c>
      <c r="G1975" t="n">
        <v>-5.723144499709316</v>
      </c>
    </row>
    <row r="1976">
      <c r="A1976" t="inlineStr">
        <is>
          <t>RKFORGE</t>
        </is>
      </c>
      <c r="B1976" t="inlineStr">
        <is>
          <t>Bear</t>
        </is>
      </c>
      <c r="C1976" t="n">
        <v>746.25</v>
      </c>
      <c r="D1976" s="22" t="n">
        <v>45341</v>
      </c>
      <c r="E1976" t="n">
        <v>751.1</v>
      </c>
      <c r="F1976" s="22" t="n">
        <v>45345</v>
      </c>
      <c r="G1976" t="n">
        <v>-0.6499162479062007</v>
      </c>
    </row>
    <row r="1977">
      <c r="A1977" t="inlineStr">
        <is>
          <t>RKFORGE</t>
        </is>
      </c>
      <c r="B1977" t="inlineStr">
        <is>
          <t>Bull</t>
        </is>
      </c>
      <c r="C1977" t="n">
        <v>180.85</v>
      </c>
      <c r="D1977" s="22" t="n">
        <v>44767</v>
      </c>
      <c r="E1977" t="n">
        <v>739.3</v>
      </c>
      <c r="F1977" s="22" t="n">
        <v>45337</v>
      </c>
      <c r="G1977" t="n">
        <v>308.7918164224495</v>
      </c>
    </row>
    <row r="1978">
      <c r="A1978" t="inlineStr">
        <is>
          <t>RAMKY</t>
        </is>
      </c>
      <c r="B1978" t="inlineStr">
        <is>
          <t>Bull</t>
        </is>
      </c>
      <c r="C1978" t="n">
        <v>667.55</v>
      </c>
      <c r="D1978" s="22" t="n">
        <v>45637</v>
      </c>
      <c r="E1978" t="n">
        <v>629.8</v>
      </c>
      <c r="F1978" s="22" t="n">
        <v>45660</v>
      </c>
      <c r="G1978" t="n">
        <v>-5.655007115571867</v>
      </c>
    </row>
    <row r="1979">
      <c r="A1979" t="inlineStr">
        <is>
          <t>RAMKY</t>
        </is>
      </c>
      <c r="B1979" t="inlineStr">
        <is>
          <t>Bear</t>
        </is>
      </c>
      <c r="C1979" t="n">
        <v>613.5</v>
      </c>
      <c r="D1979" s="22" t="n">
        <v>45572</v>
      </c>
      <c r="E1979" t="n">
        <v>657</v>
      </c>
      <c r="F1979" s="22" t="n">
        <v>45635</v>
      </c>
      <c r="G1979" t="n">
        <v>-7.090464547677261</v>
      </c>
    </row>
    <row r="1980">
      <c r="A1980" t="inlineStr">
        <is>
          <t>RAMKY</t>
        </is>
      </c>
      <c r="B1980" t="inlineStr">
        <is>
          <t>Bull</t>
        </is>
      </c>
      <c r="C1980" t="n">
        <v>563.1</v>
      </c>
      <c r="D1980" s="22" t="n">
        <v>45469</v>
      </c>
      <c r="E1980" t="n">
        <v>659.15</v>
      </c>
      <c r="F1980" s="22" t="n">
        <v>45568</v>
      </c>
      <c r="G1980" t="n">
        <v>17.05736103711596</v>
      </c>
    </row>
    <row r="1981">
      <c r="A1981" t="inlineStr">
        <is>
          <t>RAMKY</t>
        </is>
      </c>
      <c r="B1981" t="inlineStr">
        <is>
          <t>Bear</t>
        </is>
      </c>
      <c r="C1981" t="n">
        <v>626.25</v>
      </c>
      <c r="D1981" s="22" t="n">
        <v>45336</v>
      </c>
      <c r="E1981" t="n">
        <v>580.6</v>
      </c>
      <c r="F1981" s="22" t="n">
        <v>45467</v>
      </c>
      <c r="G1981" t="n">
        <v>7.289421157684626</v>
      </c>
    </row>
    <row r="1982">
      <c r="A1982" t="inlineStr">
        <is>
          <t>RAMKY</t>
        </is>
      </c>
      <c r="B1982" t="inlineStr">
        <is>
          <t>Bull</t>
        </is>
      </c>
      <c r="C1982" t="n">
        <v>310.3</v>
      </c>
      <c r="D1982" s="22" t="n">
        <v>45021</v>
      </c>
      <c r="E1982" t="n">
        <v>582.55</v>
      </c>
      <c r="F1982" s="22" t="n">
        <v>45334</v>
      </c>
      <c r="G1982" t="n">
        <v>87.73767321946502</v>
      </c>
    </row>
    <row r="1983">
      <c r="A1983" t="inlineStr">
        <is>
          <t>RATNAMANI</t>
        </is>
      </c>
      <c r="B1983" t="inlineStr">
        <is>
          <t>Bear</t>
        </is>
      </c>
      <c r="C1983" t="n">
        <v>3519.4</v>
      </c>
      <c r="D1983" s="22" t="n">
        <v>45610</v>
      </c>
      <c r="E1983" t="n">
        <v>3200.35</v>
      </c>
      <c r="F1983" s="22" t="n">
        <v>45660</v>
      </c>
      <c r="G1983" t="n">
        <v>9.065465704381435</v>
      </c>
    </row>
    <row r="1984">
      <c r="A1984" t="inlineStr">
        <is>
          <t>RATNAMANI</t>
        </is>
      </c>
      <c r="B1984" t="inlineStr">
        <is>
          <t>Bull</t>
        </is>
      </c>
      <c r="C1984" t="n">
        <v>3618.25</v>
      </c>
      <c r="D1984" s="22" t="n">
        <v>45604</v>
      </c>
      <c r="E1984" t="n">
        <v>3540.45</v>
      </c>
      <c r="F1984" s="22" t="n">
        <v>45608</v>
      </c>
      <c r="G1984" t="n">
        <v>-2.150210737234856</v>
      </c>
    </row>
    <row r="1985">
      <c r="A1985" t="inlineStr">
        <is>
          <t>RATNAMANI</t>
        </is>
      </c>
      <c r="B1985" t="inlineStr">
        <is>
          <t>Bear</t>
        </is>
      </c>
      <c r="C1985" t="n">
        <v>3607.95</v>
      </c>
      <c r="D1985" s="22" t="n">
        <v>45579</v>
      </c>
      <c r="E1985" t="n">
        <v>3681.55</v>
      </c>
      <c r="F1985" s="22" t="n">
        <v>45602</v>
      </c>
      <c r="G1985" t="n">
        <v>-2.039939577876644</v>
      </c>
    </row>
    <row r="1986">
      <c r="A1986" t="inlineStr">
        <is>
          <t>RATNAMANI</t>
        </is>
      </c>
      <c r="B1986" t="inlineStr">
        <is>
          <t>Bull</t>
        </is>
      </c>
      <c r="C1986" t="n">
        <v>3199</v>
      </c>
      <c r="D1986" s="22" t="n">
        <v>45415</v>
      </c>
      <c r="E1986" t="n">
        <v>3540.5</v>
      </c>
      <c r="F1986" s="22" t="n">
        <v>45575</v>
      </c>
      <c r="G1986" t="n">
        <v>10.67521100343857</v>
      </c>
    </row>
    <row r="1987">
      <c r="A1987" t="inlineStr">
        <is>
          <t>RATNAMANI</t>
        </is>
      </c>
      <c r="B1987" t="inlineStr">
        <is>
          <t>Bear</t>
        </is>
      </c>
      <c r="C1987" t="n">
        <v>3022.35</v>
      </c>
      <c r="D1987" s="22" t="n">
        <v>45335</v>
      </c>
      <c r="E1987" t="n">
        <v>3159.65</v>
      </c>
      <c r="F1987" s="22" t="n">
        <v>45412</v>
      </c>
      <c r="G1987" t="n">
        <v>-4.542822638013472</v>
      </c>
    </row>
    <row r="1988">
      <c r="A1988" t="inlineStr">
        <is>
          <t>RATNAMANI</t>
        </is>
      </c>
      <c r="B1988" t="inlineStr">
        <is>
          <t>Bull</t>
        </is>
      </c>
      <c r="C1988" t="n">
        <v>3187.45</v>
      </c>
      <c r="D1988" s="22" t="n">
        <v>45331</v>
      </c>
      <c r="E1988" t="n">
        <v>3187.45</v>
      </c>
      <c r="F1988" s="22" t="n">
        <v>45331</v>
      </c>
      <c r="G1988" t="n">
        <v>0</v>
      </c>
    </row>
    <row r="1989">
      <c r="A1989" t="inlineStr">
        <is>
          <t>RATNAMANI</t>
        </is>
      </c>
      <c r="B1989" t="inlineStr">
        <is>
          <t>Bear</t>
        </is>
      </c>
      <c r="C1989" t="n">
        <v>3232</v>
      </c>
      <c r="D1989" s="22" t="n">
        <v>45321</v>
      </c>
      <c r="E1989" t="n">
        <v>3476.5</v>
      </c>
      <c r="F1989" s="22" t="n">
        <v>45329</v>
      </c>
      <c r="G1989" t="n">
        <v>-7.564975247524752</v>
      </c>
    </row>
    <row r="1990">
      <c r="A1990" t="inlineStr">
        <is>
          <t>RATNAMANI</t>
        </is>
      </c>
      <c r="B1990" t="inlineStr">
        <is>
          <t>Bull</t>
        </is>
      </c>
      <c r="C1990" t="n">
        <v>2155.05</v>
      </c>
      <c r="D1990" s="22" t="n">
        <v>45040</v>
      </c>
      <c r="E1990" t="n">
        <v>3186.9</v>
      </c>
      <c r="F1990" s="22" t="n">
        <v>45316</v>
      </c>
      <c r="G1990" t="n">
        <v>47.88055961578617</v>
      </c>
    </row>
    <row r="1991">
      <c r="A1991" t="inlineStr">
        <is>
          <t>RELIANCE</t>
        </is>
      </c>
      <c r="B1991" t="inlineStr">
        <is>
          <t>Bear</t>
        </is>
      </c>
      <c r="C1991" t="n">
        <v>1462.45</v>
      </c>
      <c r="D1991" s="22" t="n">
        <v>45544</v>
      </c>
      <c r="E1991" t="n">
        <v>1251.15</v>
      </c>
      <c r="F1991" s="22" t="n">
        <v>45660</v>
      </c>
      <c r="G1991" t="n">
        <v>14.44835720879346</v>
      </c>
    </row>
    <row r="1992">
      <c r="A1992" t="inlineStr">
        <is>
          <t>RELIANCE</t>
        </is>
      </c>
      <c r="B1992" t="inlineStr">
        <is>
          <t>Bull</t>
        </is>
      </c>
      <c r="C1992" t="n">
        <v>1514.55</v>
      </c>
      <c r="D1992" s="22" t="n">
        <v>45539</v>
      </c>
      <c r="E1992" t="n">
        <v>1492.98</v>
      </c>
      <c r="F1992" s="22" t="n">
        <v>45540</v>
      </c>
      <c r="G1992" t="n">
        <v>-1.424185401604433</v>
      </c>
    </row>
    <row r="1993">
      <c r="A1993" t="inlineStr">
        <is>
          <t>RELIANCE</t>
        </is>
      </c>
      <c r="B1993" t="inlineStr">
        <is>
          <t>Bear</t>
        </is>
      </c>
      <c r="C1993" t="n">
        <v>1474.3</v>
      </c>
      <c r="D1993" s="22" t="n">
        <v>45513</v>
      </c>
      <c r="E1993" t="n">
        <v>1516.25</v>
      </c>
      <c r="F1993" s="22" t="n">
        <v>45537</v>
      </c>
      <c r="G1993" t="n">
        <v>-2.845418164552672</v>
      </c>
    </row>
    <row r="1994">
      <c r="A1994" t="inlineStr">
        <is>
          <t>RELIANCE</t>
        </is>
      </c>
      <c r="B1994" t="inlineStr">
        <is>
          <t>Bull</t>
        </is>
      </c>
      <c r="C1994" t="n">
        <v>1456.68</v>
      </c>
      <c r="D1994" s="22" t="n">
        <v>45454</v>
      </c>
      <c r="E1994" t="n">
        <v>1464.83</v>
      </c>
      <c r="F1994" s="22" t="n">
        <v>45511</v>
      </c>
      <c r="G1994" t="n">
        <v>0.5594914463025416</v>
      </c>
    </row>
    <row r="1995">
      <c r="A1995" t="inlineStr">
        <is>
          <t>RELIANCE</t>
        </is>
      </c>
      <c r="B1995" t="inlineStr">
        <is>
          <t>Bear</t>
        </is>
      </c>
      <c r="C1995" t="n">
        <v>1431.6</v>
      </c>
      <c r="D1995" s="22" t="n">
        <v>45449</v>
      </c>
      <c r="E1995" t="n">
        <v>1469.95</v>
      </c>
      <c r="F1995" s="22" t="n">
        <v>45450</v>
      </c>
      <c r="G1995" t="n">
        <v>-2.678820899692661</v>
      </c>
    </row>
    <row r="1996">
      <c r="A1996" t="inlineStr">
        <is>
          <t>RELIANCE</t>
        </is>
      </c>
      <c r="B1996" t="inlineStr">
        <is>
          <t>Bull</t>
        </is>
      </c>
      <c r="C1996" t="n">
        <v>1397.28</v>
      </c>
      <c r="D1996" s="22" t="n">
        <v>45447</v>
      </c>
      <c r="E1996" t="n">
        <v>1397.28</v>
      </c>
      <c r="F1996" s="22" t="n">
        <v>45447</v>
      </c>
      <c r="G1996" t="n">
        <v>0</v>
      </c>
    </row>
    <row r="1997">
      <c r="A1997" t="inlineStr">
        <is>
          <t>RELIANCE</t>
        </is>
      </c>
      <c r="B1997" t="inlineStr">
        <is>
          <t>Bear</t>
        </is>
      </c>
      <c r="C1997" t="n">
        <v>1183.22</v>
      </c>
      <c r="D1997" s="22" t="n">
        <v>44795</v>
      </c>
      <c r="E1997" t="n">
        <v>1430.4</v>
      </c>
      <c r="F1997" s="22" t="n">
        <v>45443</v>
      </c>
      <c r="G1997" t="n">
        <v>-20.89045147986005</v>
      </c>
    </row>
    <row r="1998">
      <c r="A1998" t="inlineStr">
        <is>
          <t>RELIANCE</t>
        </is>
      </c>
      <c r="B1998" t="inlineStr">
        <is>
          <t>Bull</t>
        </is>
      </c>
      <c r="C1998" t="n">
        <v>1440.78</v>
      </c>
      <c r="D1998" s="22" t="n">
        <v>45441</v>
      </c>
      <c r="E1998" t="n">
        <v>1424.85</v>
      </c>
      <c r="F1998" s="22" t="n">
        <v>45442</v>
      </c>
      <c r="G1998" t="n">
        <v>-1.10565110565111</v>
      </c>
    </row>
    <row r="1999">
      <c r="A1999" t="inlineStr">
        <is>
          <t>RELIANCE</t>
        </is>
      </c>
      <c r="B1999" t="inlineStr">
        <is>
          <t>Bear</t>
        </is>
      </c>
      <c r="C1999" t="n">
        <v>1407.43</v>
      </c>
      <c r="D1999" s="22" t="n">
        <v>45422</v>
      </c>
      <c r="E1999" t="n">
        <v>1466.25</v>
      </c>
      <c r="F1999" s="22" t="n">
        <v>45439</v>
      </c>
      <c r="G1999" t="n">
        <v>-4.179248701533997</v>
      </c>
    </row>
    <row r="2000">
      <c r="A2000" t="inlineStr">
        <is>
          <t>RELIANCE</t>
        </is>
      </c>
      <c r="B2000" t="inlineStr">
        <is>
          <t>Bull</t>
        </is>
      </c>
      <c r="C2000" t="n">
        <v>1200.35</v>
      </c>
      <c r="D2000" s="22" t="n">
        <v>45259</v>
      </c>
      <c r="E2000" t="n">
        <v>1418.55</v>
      </c>
      <c r="F2000" s="22" t="n">
        <v>45420</v>
      </c>
      <c r="G2000" t="n">
        <v>18.17803140750615</v>
      </c>
    </row>
    <row r="2001">
      <c r="A2001" t="inlineStr">
        <is>
          <t>RELIANCE</t>
        </is>
      </c>
      <c r="B2001" t="inlineStr">
        <is>
          <t>Bear</t>
        </is>
      </c>
      <c r="C2001" t="n">
        <v>1182.4</v>
      </c>
      <c r="D2001" s="22" t="n">
        <v>45190</v>
      </c>
      <c r="E2001" t="n">
        <v>1196.95</v>
      </c>
      <c r="F2001" s="22" t="n">
        <v>45254</v>
      </c>
      <c r="G2001" t="n">
        <v>-1.230548037889035</v>
      </c>
    </row>
    <row r="2002">
      <c r="A2002" t="inlineStr">
        <is>
          <t>RELIANCE</t>
        </is>
      </c>
      <c r="B2002" t="inlineStr">
        <is>
          <t>Bull</t>
        </is>
      </c>
      <c r="C2002" t="n">
        <v>1108.07</v>
      </c>
      <c r="D2002" s="22" t="n">
        <v>45048</v>
      </c>
      <c r="E2002" t="n">
        <v>1218.23</v>
      </c>
      <c r="F2002" s="22" t="n">
        <v>45187</v>
      </c>
      <c r="G2002" t="n">
        <v>9.941610187082052</v>
      </c>
    </row>
    <row r="2003">
      <c r="A2003" t="inlineStr">
        <is>
          <t>REPCOHOME</t>
        </is>
      </c>
      <c r="B2003" t="inlineStr">
        <is>
          <t>Bear</t>
        </is>
      </c>
      <c r="C2003" t="n">
        <v>497.55</v>
      </c>
      <c r="D2003" s="22" t="n">
        <v>45576</v>
      </c>
      <c r="E2003" t="n">
        <v>435.8</v>
      </c>
      <c r="F2003" s="22" t="n">
        <v>45660</v>
      </c>
      <c r="G2003" t="n">
        <v>12.41081298361974</v>
      </c>
    </row>
    <row r="2004">
      <c r="A2004" t="inlineStr">
        <is>
          <t>REPCOHOME</t>
        </is>
      </c>
      <c r="B2004" t="inlineStr">
        <is>
          <t>Bull</t>
        </is>
      </c>
      <c r="C2004" t="n">
        <v>533.65</v>
      </c>
      <c r="D2004" s="22" t="n">
        <v>45544</v>
      </c>
      <c r="E2004" t="n">
        <v>500.6</v>
      </c>
      <c r="F2004" s="22" t="n">
        <v>45574</v>
      </c>
      <c r="G2004" t="n">
        <v>-6.193197788812884</v>
      </c>
    </row>
    <row r="2005">
      <c r="A2005" t="inlineStr">
        <is>
          <t>REPCOHOME</t>
        </is>
      </c>
      <c r="B2005" t="inlineStr">
        <is>
          <t>Bear</t>
        </is>
      </c>
      <c r="C2005" t="n">
        <v>452.05</v>
      </c>
      <c r="D2005" s="22" t="n">
        <v>45512</v>
      </c>
      <c r="E2005" t="n">
        <v>535.25</v>
      </c>
      <c r="F2005" s="22" t="n">
        <v>45540</v>
      </c>
      <c r="G2005" t="n">
        <v>-18.40504368985732</v>
      </c>
    </row>
    <row r="2006">
      <c r="A2006" t="inlineStr">
        <is>
          <t>REPCOHOME</t>
        </is>
      </c>
      <c r="B2006" t="inlineStr">
        <is>
          <t>Bull</t>
        </is>
      </c>
      <c r="C2006" t="n">
        <v>438.7</v>
      </c>
      <c r="D2006" s="22" t="n">
        <v>45391</v>
      </c>
      <c r="E2006" t="n">
        <v>466.2</v>
      </c>
      <c r="F2006" s="22" t="n">
        <v>45510</v>
      </c>
      <c r="G2006" t="n">
        <v>6.268520629131526</v>
      </c>
    </row>
    <row r="2007">
      <c r="A2007" t="inlineStr">
        <is>
          <t>REPCOHOME</t>
        </is>
      </c>
      <c r="B2007" t="inlineStr">
        <is>
          <t>Bear</t>
        </is>
      </c>
      <c r="C2007" t="n">
        <v>405.85</v>
      </c>
      <c r="D2007" s="22" t="n">
        <v>45365</v>
      </c>
      <c r="E2007" t="n">
        <v>441.3</v>
      </c>
      <c r="F2007" s="22" t="n">
        <v>45387</v>
      </c>
      <c r="G2007" t="n">
        <v>-8.734754219539235</v>
      </c>
    </row>
    <row r="2008">
      <c r="A2008" t="inlineStr">
        <is>
          <t>REPCOHOME</t>
        </is>
      </c>
      <c r="B2008" t="inlineStr">
        <is>
          <t>Bull</t>
        </is>
      </c>
      <c r="C2008" t="n">
        <v>415</v>
      </c>
      <c r="D2008" s="22" t="n">
        <v>45296</v>
      </c>
      <c r="E2008" t="n">
        <v>404.45</v>
      </c>
      <c r="F2008" s="22" t="n">
        <v>45363</v>
      </c>
      <c r="G2008" t="n">
        <v>-2.542168674698798</v>
      </c>
    </row>
    <row r="2009">
      <c r="A2009" t="inlineStr">
        <is>
          <t>REPCOHOME</t>
        </is>
      </c>
      <c r="B2009" t="inlineStr">
        <is>
          <t>Bear</t>
        </is>
      </c>
      <c r="C2009" t="n">
        <v>397</v>
      </c>
      <c r="D2009" s="22" t="n">
        <v>45281</v>
      </c>
      <c r="E2009" t="n">
        <v>412.35</v>
      </c>
      <c r="F2009" s="22" t="n">
        <v>45294</v>
      </c>
      <c r="G2009" t="n">
        <v>-3.866498740554162</v>
      </c>
    </row>
    <row r="2010">
      <c r="A2010" t="inlineStr">
        <is>
          <t>REPCOHOME</t>
        </is>
      </c>
      <c r="B2010" t="inlineStr">
        <is>
          <t>Bull</t>
        </is>
      </c>
      <c r="C2010" t="n">
        <v>209</v>
      </c>
      <c r="D2010" s="22" t="n">
        <v>45061</v>
      </c>
      <c r="E2010" t="n">
        <v>399.45</v>
      </c>
      <c r="F2010" s="22" t="n">
        <v>45279</v>
      </c>
      <c r="G2010" t="n">
        <v>91.1244019138756</v>
      </c>
    </row>
    <row r="2011">
      <c r="A2011" t="inlineStr">
        <is>
          <t>RESPONIND</t>
        </is>
      </c>
      <c r="B2011" t="inlineStr">
        <is>
          <t>Bear</t>
        </is>
      </c>
      <c r="C2011" t="n">
        <v>249.2</v>
      </c>
      <c r="D2011" s="22" t="n">
        <v>45649</v>
      </c>
      <c r="E2011" t="n">
        <v>267.06</v>
      </c>
      <c r="F2011" s="22" t="n">
        <v>45660</v>
      </c>
      <c r="G2011" t="n">
        <v>-7.166934189406106</v>
      </c>
    </row>
    <row r="2012">
      <c r="A2012" t="inlineStr">
        <is>
          <t>RESPONIND</t>
        </is>
      </c>
      <c r="B2012" t="inlineStr">
        <is>
          <t>Bull</t>
        </is>
      </c>
      <c r="C2012" t="n">
        <v>270.1</v>
      </c>
      <c r="D2012" s="22" t="n">
        <v>45642</v>
      </c>
      <c r="E2012" t="n">
        <v>263</v>
      </c>
      <c r="F2012" s="22" t="n">
        <v>45645</v>
      </c>
      <c r="G2012" t="n">
        <v>-2.628656053313596</v>
      </c>
    </row>
    <row r="2013">
      <c r="A2013" t="inlineStr">
        <is>
          <t>RESPONIND</t>
        </is>
      </c>
      <c r="B2013" t="inlineStr">
        <is>
          <t>Bear</t>
        </is>
      </c>
      <c r="C2013" t="n">
        <v>280.7</v>
      </c>
      <c r="D2013" s="22" t="n">
        <v>45489</v>
      </c>
      <c r="E2013" t="n">
        <v>281.8</v>
      </c>
      <c r="F2013" s="22" t="n">
        <v>45638</v>
      </c>
      <c r="G2013" t="n">
        <v>-0.3918774492340659</v>
      </c>
    </row>
    <row r="2014">
      <c r="A2014" t="inlineStr">
        <is>
          <t>RESPONIND</t>
        </is>
      </c>
      <c r="B2014" t="inlineStr">
        <is>
          <t>Bull</t>
        </is>
      </c>
      <c r="C2014" t="n">
        <v>313.7</v>
      </c>
      <c r="D2014" s="22" t="n">
        <v>45436</v>
      </c>
      <c r="E2014" t="n">
        <v>285.4</v>
      </c>
      <c r="F2014" s="22" t="n">
        <v>45485</v>
      </c>
      <c r="G2014" t="n">
        <v>-9.021357985336312</v>
      </c>
    </row>
    <row r="2015">
      <c r="A2015" t="inlineStr">
        <is>
          <t>RESPONIND</t>
        </is>
      </c>
      <c r="B2015" t="inlineStr">
        <is>
          <t>Bear</t>
        </is>
      </c>
      <c r="C2015" t="n">
        <v>310</v>
      </c>
      <c r="D2015" s="22" t="n">
        <v>45287</v>
      </c>
      <c r="E2015" t="n">
        <v>302.75</v>
      </c>
      <c r="F2015" s="22" t="n">
        <v>45434</v>
      </c>
      <c r="G2015" t="n">
        <v>2.338709677419355</v>
      </c>
    </row>
    <row r="2016">
      <c r="A2016" t="inlineStr">
        <is>
          <t>RESPONIND</t>
        </is>
      </c>
      <c r="B2016" t="inlineStr">
        <is>
          <t>Bull</t>
        </is>
      </c>
      <c r="C2016" t="n">
        <v>132.85</v>
      </c>
      <c r="D2016" s="22" t="n">
        <v>45027</v>
      </c>
      <c r="E2016" t="n">
        <v>307.15</v>
      </c>
      <c r="F2016" s="22" t="n">
        <v>45282</v>
      </c>
      <c r="G2016" t="n">
        <v>131.2006021829131</v>
      </c>
    </row>
    <row r="2017">
      <c r="A2017" t="inlineStr">
        <is>
          <t>RITES</t>
        </is>
      </c>
      <c r="B2017" t="inlineStr">
        <is>
          <t>Bear</t>
        </is>
      </c>
      <c r="C2017" t="n">
        <v>295.85</v>
      </c>
      <c r="D2017" s="22" t="n">
        <v>45572</v>
      </c>
      <c r="E2017" t="n">
        <v>295.2</v>
      </c>
      <c r="F2017" s="22" t="n">
        <v>45660</v>
      </c>
      <c r="G2017" t="n">
        <v>0.2197059320601771</v>
      </c>
    </row>
    <row r="2018">
      <c r="A2018" t="inlineStr">
        <is>
          <t>RITES</t>
        </is>
      </c>
      <c r="B2018" t="inlineStr">
        <is>
          <t>Bull</t>
        </is>
      </c>
      <c r="C2018" t="n">
        <v>363.8</v>
      </c>
      <c r="D2018" s="22" t="n">
        <v>45558</v>
      </c>
      <c r="E2018" t="n">
        <v>320.85</v>
      </c>
      <c r="F2018" s="22" t="n">
        <v>45568</v>
      </c>
      <c r="G2018" t="n">
        <v>-11.8059373282023</v>
      </c>
    </row>
    <row r="2019">
      <c r="A2019" t="inlineStr">
        <is>
          <t>RITES</t>
        </is>
      </c>
      <c r="B2019" t="inlineStr">
        <is>
          <t>Bear</t>
        </is>
      </c>
      <c r="C2019" t="n">
        <v>334.4</v>
      </c>
      <c r="D2019" s="22" t="n">
        <v>45517</v>
      </c>
      <c r="E2019" t="n">
        <v>341.73</v>
      </c>
      <c r="F2019" s="22" t="n">
        <v>45554</v>
      </c>
      <c r="G2019" t="n">
        <v>-2.191985645933026</v>
      </c>
    </row>
    <row r="2020">
      <c r="A2020" t="inlineStr">
        <is>
          <t>RITES</t>
        </is>
      </c>
      <c r="B2020" t="inlineStr">
        <is>
          <t>Bull</t>
        </is>
      </c>
      <c r="C2020" t="n">
        <v>354.4</v>
      </c>
      <c r="D2020" s="22" t="n">
        <v>45464</v>
      </c>
      <c r="E2020" t="n">
        <v>342.58</v>
      </c>
      <c r="F2020" s="22" t="n">
        <v>45513</v>
      </c>
      <c r="G2020" t="n">
        <v>-3.335214446952594</v>
      </c>
    </row>
    <row r="2021">
      <c r="A2021" t="inlineStr">
        <is>
          <t>RITES</t>
        </is>
      </c>
      <c r="B2021" t="inlineStr">
        <is>
          <t>Bear</t>
        </is>
      </c>
      <c r="C2021" t="n">
        <v>325.4</v>
      </c>
      <c r="D2021" s="22" t="n">
        <v>45450</v>
      </c>
      <c r="E2021" t="n">
        <v>346.03</v>
      </c>
      <c r="F2021" s="22" t="n">
        <v>45462</v>
      </c>
      <c r="G2021" t="n">
        <v>-6.339889366933004</v>
      </c>
    </row>
    <row r="2022">
      <c r="A2022" t="inlineStr">
        <is>
          <t>RITES</t>
        </is>
      </c>
      <c r="B2022" t="inlineStr">
        <is>
          <t>Bull</t>
        </is>
      </c>
      <c r="C2022" t="n">
        <v>366.15</v>
      </c>
      <c r="D2022" s="22" t="n">
        <v>45434</v>
      </c>
      <c r="E2022" t="n">
        <v>303.73</v>
      </c>
      <c r="F2022" s="22" t="n">
        <v>45448</v>
      </c>
      <c r="G2022" t="n">
        <v>-17.04765806363511</v>
      </c>
    </row>
    <row r="2023">
      <c r="A2023" t="inlineStr">
        <is>
          <t>RITES</t>
        </is>
      </c>
      <c r="B2023" t="inlineStr">
        <is>
          <t>Bear</t>
        </is>
      </c>
      <c r="C2023" t="n">
        <v>332.2</v>
      </c>
      <c r="D2023" s="22" t="n">
        <v>45404</v>
      </c>
      <c r="E2023" t="n">
        <v>357.95</v>
      </c>
      <c r="F2023" s="22" t="n">
        <v>45430</v>
      </c>
      <c r="G2023" t="n">
        <v>-7.751354605659241</v>
      </c>
    </row>
    <row r="2024">
      <c r="A2024" t="inlineStr">
        <is>
          <t>RITES</t>
        </is>
      </c>
      <c r="B2024" t="inlineStr">
        <is>
          <t>Bull</t>
        </is>
      </c>
      <c r="C2024" t="n">
        <v>238.03</v>
      </c>
      <c r="D2024" s="22" t="n">
        <v>45268</v>
      </c>
      <c r="E2024" t="n">
        <v>326</v>
      </c>
      <c r="F2024" s="22" t="n">
        <v>45400</v>
      </c>
      <c r="G2024" t="n">
        <v>36.95752636222325</v>
      </c>
    </row>
    <row r="2025">
      <c r="A2025" t="inlineStr">
        <is>
          <t>RITES</t>
        </is>
      </c>
      <c r="B2025" t="inlineStr">
        <is>
          <t>Bear</t>
        </is>
      </c>
      <c r="C2025" t="n">
        <v>225.78</v>
      </c>
      <c r="D2025" s="22" t="n">
        <v>45230</v>
      </c>
      <c r="E2025" t="n">
        <v>238.33</v>
      </c>
      <c r="F2025" s="22" t="n">
        <v>45266</v>
      </c>
      <c r="G2025" t="n">
        <v>-5.5585082823988</v>
      </c>
    </row>
    <row r="2026">
      <c r="A2026" t="inlineStr">
        <is>
          <t>RITES</t>
        </is>
      </c>
      <c r="B2026" t="inlineStr">
        <is>
          <t>Bull</t>
        </is>
      </c>
      <c r="C2026" t="n">
        <v>195.13</v>
      </c>
      <c r="D2026" s="22" t="n">
        <v>45121</v>
      </c>
      <c r="E2026" t="n">
        <v>230.2</v>
      </c>
      <c r="F2026" s="22" t="n">
        <v>45226</v>
      </c>
      <c r="G2026" t="n">
        <v>17.97263362886281</v>
      </c>
    </row>
    <row r="2027">
      <c r="A2027" t="inlineStr">
        <is>
          <t>RITES</t>
        </is>
      </c>
      <c r="B2027" t="inlineStr">
        <is>
          <t>Bear</t>
        </is>
      </c>
      <c r="C2027" t="n">
        <v>191</v>
      </c>
      <c r="D2027" s="22" t="n">
        <v>45118</v>
      </c>
      <c r="E2027" t="n">
        <v>197.85</v>
      </c>
      <c r="F2027" s="22" t="n">
        <v>45119</v>
      </c>
      <c r="G2027" t="n">
        <v>-3.586387434554971</v>
      </c>
    </row>
    <row r="2028">
      <c r="A2028" t="inlineStr">
        <is>
          <t>RITES</t>
        </is>
      </c>
      <c r="B2028" t="inlineStr">
        <is>
          <t>Bull</t>
        </is>
      </c>
      <c r="C2028" t="n">
        <v>183.08</v>
      </c>
      <c r="D2028" s="22" t="n">
        <v>44995</v>
      </c>
      <c r="E2028" t="n">
        <v>188.75</v>
      </c>
      <c r="F2028" s="22" t="n">
        <v>45114</v>
      </c>
      <c r="G2028" t="n">
        <v>3.097006772995405</v>
      </c>
    </row>
    <row r="2029">
      <c r="A2029" t="inlineStr">
        <is>
          <t>ROSSARI</t>
        </is>
      </c>
      <c r="B2029" t="inlineStr">
        <is>
          <t>Bear</t>
        </is>
      </c>
      <c r="C2029" t="n">
        <v>873.85</v>
      </c>
      <c r="D2029" s="22" t="n">
        <v>45581</v>
      </c>
      <c r="E2029" t="n">
        <v>799.5</v>
      </c>
      <c r="F2029" s="22" t="n">
        <v>45660</v>
      </c>
      <c r="G2029" t="n">
        <v>8.508325227441784</v>
      </c>
    </row>
    <row r="2030">
      <c r="A2030" t="inlineStr">
        <is>
          <t>ROSSARI</t>
        </is>
      </c>
      <c r="B2030" t="inlineStr">
        <is>
          <t>Bull</t>
        </is>
      </c>
      <c r="C2030" t="n">
        <v>764.4</v>
      </c>
      <c r="D2030" s="22" t="n">
        <v>45462</v>
      </c>
      <c r="E2030" t="n">
        <v>862.45</v>
      </c>
      <c r="F2030" s="22" t="n">
        <v>45579</v>
      </c>
      <c r="G2030" t="n">
        <v>12.82705389848248</v>
      </c>
    </row>
    <row r="2031">
      <c r="A2031" t="inlineStr">
        <is>
          <t>ROSSARI</t>
        </is>
      </c>
      <c r="B2031" t="inlineStr">
        <is>
          <t>Bear</t>
        </is>
      </c>
      <c r="C2031" t="n">
        <v>699.95</v>
      </c>
      <c r="D2031" s="22" t="n">
        <v>45426</v>
      </c>
      <c r="E2031" t="n">
        <v>769.25</v>
      </c>
      <c r="F2031" s="22" t="n">
        <v>45457</v>
      </c>
      <c r="G2031" t="n">
        <v>-9.900707193370947</v>
      </c>
    </row>
    <row r="2032">
      <c r="A2032" t="inlineStr">
        <is>
          <t>ROSSARI</t>
        </is>
      </c>
      <c r="B2032" t="inlineStr">
        <is>
          <t>Bull</t>
        </is>
      </c>
      <c r="C2032" t="n">
        <v>780.3</v>
      </c>
      <c r="D2032" s="22" t="n">
        <v>45411</v>
      </c>
      <c r="E2032" t="n">
        <v>709.9</v>
      </c>
      <c r="F2032" s="22" t="n">
        <v>45422</v>
      </c>
      <c r="G2032" t="n">
        <v>-9.02217095988722</v>
      </c>
    </row>
    <row r="2033">
      <c r="A2033" t="inlineStr">
        <is>
          <t>ROSSARI</t>
        </is>
      </c>
      <c r="B2033" t="inlineStr">
        <is>
          <t>Bear</t>
        </is>
      </c>
      <c r="C2033" t="n">
        <v>778.55</v>
      </c>
      <c r="D2033" s="22" t="n">
        <v>45328</v>
      </c>
      <c r="E2033" t="n">
        <v>761.6</v>
      </c>
      <c r="F2033" s="22" t="n">
        <v>45407</v>
      </c>
      <c r="G2033" t="n">
        <v>2.177124141031396</v>
      </c>
    </row>
    <row r="2034">
      <c r="A2034" t="inlineStr">
        <is>
          <t>ROSSARI</t>
        </is>
      </c>
      <c r="B2034" t="inlineStr">
        <is>
          <t>Bull</t>
        </is>
      </c>
      <c r="C2034" t="n">
        <v>819.8</v>
      </c>
      <c r="D2034" s="22" t="n">
        <v>45273</v>
      </c>
      <c r="E2034" t="n">
        <v>782</v>
      </c>
      <c r="F2034" s="22" t="n">
        <v>45324</v>
      </c>
      <c r="G2034" t="n">
        <v>-4.610880702610388</v>
      </c>
    </row>
    <row r="2035">
      <c r="A2035" t="inlineStr">
        <is>
          <t>ROSSARI</t>
        </is>
      </c>
      <c r="B2035" t="inlineStr">
        <is>
          <t>Bear</t>
        </is>
      </c>
      <c r="C2035" t="n">
        <v>829.95</v>
      </c>
      <c r="D2035" s="22" t="n">
        <v>45196</v>
      </c>
      <c r="E2035" t="n">
        <v>816.55</v>
      </c>
      <c r="F2035" s="22" t="n">
        <v>45271</v>
      </c>
      <c r="G2035" t="n">
        <v>1.614555093680353</v>
      </c>
    </row>
    <row r="2036">
      <c r="A2036" t="inlineStr">
        <is>
          <t>ROSSARI</t>
        </is>
      </c>
      <c r="B2036" t="inlineStr">
        <is>
          <t>Bull</t>
        </is>
      </c>
      <c r="C2036" t="n">
        <v>864.35</v>
      </c>
      <c r="D2036" s="22" t="n">
        <v>45176</v>
      </c>
      <c r="E2036" t="n">
        <v>816</v>
      </c>
      <c r="F2036" s="22" t="n">
        <v>45194</v>
      </c>
      <c r="G2036" t="n">
        <v>-5.593798808353101</v>
      </c>
    </row>
    <row r="2037">
      <c r="A2037" t="inlineStr">
        <is>
          <t>ROSSARI</t>
        </is>
      </c>
      <c r="B2037" t="inlineStr">
        <is>
          <t>Bear</t>
        </is>
      </c>
      <c r="C2037" t="n">
        <v>822</v>
      </c>
      <c r="D2037" s="22" t="n">
        <v>45163</v>
      </c>
      <c r="E2037" t="n">
        <v>855</v>
      </c>
      <c r="F2037" s="22" t="n">
        <v>45174</v>
      </c>
      <c r="G2037" t="n">
        <v>-4.014598540145985</v>
      </c>
    </row>
    <row r="2038">
      <c r="A2038" t="inlineStr">
        <is>
          <t>ROSSARI</t>
        </is>
      </c>
      <c r="B2038" t="inlineStr">
        <is>
          <t>Bull</t>
        </is>
      </c>
      <c r="C2038" t="n">
        <v>686.5</v>
      </c>
      <c r="D2038" s="22" t="n">
        <v>45037</v>
      </c>
      <c r="E2038" t="n">
        <v>805.5</v>
      </c>
      <c r="F2038" s="22" t="n">
        <v>45161</v>
      </c>
      <c r="G2038" t="n">
        <v>17.33430444282593</v>
      </c>
    </row>
    <row r="2039">
      <c r="A2039" t="inlineStr">
        <is>
          <t>ROTO</t>
        </is>
      </c>
      <c r="B2039" t="inlineStr">
        <is>
          <t>Bull</t>
        </is>
      </c>
      <c r="C2039" t="n">
        <v>316.35</v>
      </c>
      <c r="D2039" s="22" t="n">
        <v>45637</v>
      </c>
      <c r="E2039" t="n">
        <v>310.6</v>
      </c>
      <c r="F2039" s="22" t="n">
        <v>45660</v>
      </c>
      <c r="G2039" t="n">
        <v>-1.817607080764976</v>
      </c>
    </row>
    <row r="2040">
      <c r="A2040" t="inlineStr">
        <is>
          <t>ROTO</t>
        </is>
      </c>
      <c r="B2040" t="inlineStr">
        <is>
          <t>Bear</t>
        </is>
      </c>
      <c r="C2040" t="n">
        <v>278.88</v>
      </c>
      <c r="D2040" s="22" t="n">
        <v>45544</v>
      </c>
      <c r="E2040" t="n">
        <v>304.35</v>
      </c>
      <c r="F2040" s="22" t="n">
        <v>45635</v>
      </c>
      <c r="G2040" t="n">
        <v>-9.132960413080905</v>
      </c>
    </row>
    <row r="2041">
      <c r="A2041" t="inlineStr">
        <is>
          <t>ROTO</t>
        </is>
      </c>
      <c r="B2041" t="inlineStr">
        <is>
          <t>Bull</t>
        </is>
      </c>
      <c r="C2041" t="n">
        <v>217.03</v>
      </c>
      <c r="D2041" s="22" t="n">
        <v>45404</v>
      </c>
      <c r="E2041" t="n">
        <v>288.18</v>
      </c>
      <c r="F2041" s="22" t="n">
        <v>45540</v>
      </c>
      <c r="G2041" t="n">
        <v>32.78348615398793</v>
      </c>
    </row>
    <row r="2042">
      <c r="A2042" t="inlineStr">
        <is>
          <t>ROTO</t>
        </is>
      </c>
      <c r="B2042" t="inlineStr">
        <is>
          <t>Bear</t>
        </is>
      </c>
      <c r="C2042" t="n">
        <v>188.73</v>
      </c>
      <c r="D2042" s="22" t="n">
        <v>45349</v>
      </c>
      <c r="E2042" t="n">
        <v>198.25</v>
      </c>
      <c r="F2042" s="22" t="n">
        <v>45400</v>
      </c>
      <c r="G2042" t="n">
        <v>-5.04424309860648</v>
      </c>
    </row>
    <row r="2043">
      <c r="A2043" t="inlineStr">
        <is>
          <t>ROTO</t>
        </is>
      </c>
      <c r="B2043" t="inlineStr">
        <is>
          <t>Bull</t>
        </is>
      </c>
      <c r="C2043" t="n">
        <v>194.1</v>
      </c>
      <c r="D2043" s="22" t="n">
        <v>45219</v>
      </c>
      <c r="E2043" t="n">
        <v>196.63</v>
      </c>
      <c r="F2043" s="22" t="n">
        <v>45345</v>
      </c>
      <c r="G2043" t="n">
        <v>1.303451828954148</v>
      </c>
    </row>
    <row r="2044">
      <c r="A2044" t="inlineStr">
        <is>
          <t>ROTO</t>
        </is>
      </c>
      <c r="B2044" t="inlineStr">
        <is>
          <t>Bear</t>
        </is>
      </c>
      <c r="C2044" t="n">
        <v>174.88</v>
      </c>
      <c r="D2044" s="22" t="n">
        <v>45209</v>
      </c>
      <c r="E2044" t="n">
        <v>178</v>
      </c>
      <c r="F2044" s="22" t="n">
        <v>45217</v>
      </c>
      <c r="G2044" t="n">
        <v>-1.784080512351329</v>
      </c>
    </row>
    <row r="2045">
      <c r="A2045" t="inlineStr">
        <is>
          <t>ROTO</t>
        </is>
      </c>
      <c r="B2045" t="inlineStr">
        <is>
          <t>Bull</t>
        </is>
      </c>
      <c r="C2045" t="n">
        <v>178</v>
      </c>
      <c r="D2045" s="22" t="n">
        <v>45169</v>
      </c>
      <c r="E2045" t="n">
        <v>175.43</v>
      </c>
      <c r="F2045" s="22" t="n">
        <v>45205</v>
      </c>
      <c r="G2045" t="n">
        <v>-1.443820224719097</v>
      </c>
    </row>
    <row r="2046">
      <c r="A2046" t="inlineStr">
        <is>
          <t>ROTO</t>
        </is>
      </c>
      <c r="B2046" t="inlineStr">
        <is>
          <t>Bear</t>
        </is>
      </c>
      <c r="C2046" t="n">
        <v>167.83</v>
      </c>
      <c r="D2046" s="22" t="n">
        <v>45138</v>
      </c>
      <c r="E2046" t="n">
        <v>174.03</v>
      </c>
      <c r="F2046" s="22" t="n">
        <v>45167</v>
      </c>
      <c r="G2046" t="n">
        <v>-3.694214383602448</v>
      </c>
    </row>
    <row r="2047">
      <c r="A2047" t="inlineStr">
        <is>
          <t>ROTO</t>
        </is>
      </c>
      <c r="B2047" t="inlineStr">
        <is>
          <t>Bull</t>
        </is>
      </c>
      <c r="C2047" t="n">
        <v>116.4</v>
      </c>
      <c r="D2047" s="22" t="n">
        <v>44896</v>
      </c>
      <c r="E2047" t="n">
        <v>162.5</v>
      </c>
      <c r="F2047" s="22" t="n">
        <v>45134</v>
      </c>
      <c r="G2047" t="n">
        <v>39.60481099656356</v>
      </c>
    </row>
    <row r="2048">
      <c r="A2048" t="inlineStr">
        <is>
          <t>ROHLTD</t>
        </is>
      </c>
      <c r="B2048" t="inlineStr">
        <is>
          <t>Bull</t>
        </is>
      </c>
      <c r="C2048" t="n">
        <v>360.75</v>
      </c>
      <c r="D2048" s="22" t="n">
        <v>45639</v>
      </c>
      <c r="E2048" t="n">
        <v>381.8</v>
      </c>
      <c r="F2048" s="22" t="n">
        <v>45660</v>
      </c>
      <c r="G2048" t="n">
        <v>5.835065835065838</v>
      </c>
    </row>
    <row r="2049">
      <c r="A2049" t="inlineStr">
        <is>
          <t>ROHLTD</t>
        </is>
      </c>
      <c r="B2049" t="inlineStr">
        <is>
          <t>Bear</t>
        </is>
      </c>
      <c r="C2049" t="n">
        <v>352.4</v>
      </c>
      <c r="D2049" s="22" t="n">
        <v>45573</v>
      </c>
      <c r="E2049" t="n">
        <v>360.85</v>
      </c>
      <c r="F2049" s="22" t="n">
        <v>45637</v>
      </c>
      <c r="G2049" t="n">
        <v>-2.397843359818401</v>
      </c>
    </row>
    <row r="2050">
      <c r="A2050" t="inlineStr">
        <is>
          <t>ROHLTD</t>
        </is>
      </c>
      <c r="B2050" t="inlineStr">
        <is>
          <t>Bull</t>
        </is>
      </c>
      <c r="C2050" t="n">
        <v>366.65</v>
      </c>
      <c r="D2050" s="22" t="n">
        <v>45537</v>
      </c>
      <c r="E2050" t="n">
        <v>348.55</v>
      </c>
      <c r="F2050" s="22" t="n">
        <v>45569</v>
      </c>
      <c r="G2050" t="n">
        <v>-4.936588026728479</v>
      </c>
    </row>
    <row r="2051">
      <c r="A2051" t="inlineStr">
        <is>
          <t>ROHLTD</t>
        </is>
      </c>
      <c r="B2051" t="inlineStr">
        <is>
          <t>Bear</t>
        </is>
      </c>
      <c r="C2051" t="n">
        <v>365.4</v>
      </c>
      <c r="D2051" s="22" t="n">
        <v>45426</v>
      </c>
      <c r="E2051" t="n">
        <v>362.8</v>
      </c>
      <c r="F2051" s="22" t="n">
        <v>45533</v>
      </c>
      <c r="G2051" t="n">
        <v>0.7115489874110471</v>
      </c>
    </row>
    <row r="2052">
      <c r="A2052" t="inlineStr">
        <is>
          <t>ROHLTD</t>
        </is>
      </c>
      <c r="B2052" t="inlineStr">
        <is>
          <t>Bull</t>
        </is>
      </c>
      <c r="C2052" t="n">
        <v>421.7</v>
      </c>
      <c r="D2052" s="22" t="n">
        <v>45387</v>
      </c>
      <c r="E2052" t="n">
        <v>379.55</v>
      </c>
      <c r="F2052" s="22" t="n">
        <v>45422</v>
      </c>
      <c r="G2052" t="n">
        <v>-9.995257291913678</v>
      </c>
    </row>
    <row r="2053">
      <c r="A2053" t="inlineStr">
        <is>
          <t>ROHLTD</t>
        </is>
      </c>
      <c r="B2053" t="inlineStr">
        <is>
          <t>Bear</t>
        </is>
      </c>
      <c r="C2053" t="n">
        <v>349</v>
      </c>
      <c r="D2053" s="22" t="n">
        <v>45372</v>
      </c>
      <c r="E2053" t="n">
        <v>421.15</v>
      </c>
      <c r="F2053" s="22" t="n">
        <v>45385</v>
      </c>
      <c r="G2053" t="n">
        <v>-20.67335243553008</v>
      </c>
    </row>
    <row r="2054">
      <c r="A2054" t="inlineStr">
        <is>
          <t>ROHLTD</t>
        </is>
      </c>
      <c r="B2054" t="inlineStr">
        <is>
          <t>Bull</t>
        </is>
      </c>
      <c r="C2054" t="n">
        <v>347.2</v>
      </c>
      <c r="D2054" s="22" t="n">
        <v>45267</v>
      </c>
      <c r="E2054" t="n">
        <v>340.3</v>
      </c>
      <c r="F2054" s="22" t="n">
        <v>45370</v>
      </c>
      <c r="G2054" t="n">
        <v>-1.987327188940086</v>
      </c>
    </row>
    <row r="2055">
      <c r="A2055" t="inlineStr">
        <is>
          <t>ROHLTD</t>
        </is>
      </c>
      <c r="B2055" t="inlineStr">
        <is>
          <t>Bear</t>
        </is>
      </c>
      <c r="C2055" t="n">
        <v>295</v>
      </c>
      <c r="D2055" s="22" t="n">
        <v>45230</v>
      </c>
      <c r="E2055" t="n">
        <v>306.35</v>
      </c>
      <c r="F2055" s="22" t="n">
        <v>45265</v>
      </c>
      <c r="G2055" t="n">
        <v>-3.847457627118652</v>
      </c>
    </row>
    <row r="2056">
      <c r="A2056" t="inlineStr">
        <is>
          <t>ROHLTD</t>
        </is>
      </c>
      <c r="B2056" t="inlineStr">
        <is>
          <t>Bull</t>
        </is>
      </c>
      <c r="C2056" t="n">
        <v>318.3</v>
      </c>
      <c r="D2056" s="22" t="n">
        <v>45212</v>
      </c>
      <c r="E2056" t="n">
        <v>297</v>
      </c>
      <c r="F2056" s="22" t="n">
        <v>45226</v>
      </c>
      <c r="G2056" t="n">
        <v>-6.691800188501418</v>
      </c>
    </row>
    <row r="2057">
      <c r="A2057" t="inlineStr">
        <is>
          <t>ROHLTD</t>
        </is>
      </c>
      <c r="B2057" t="inlineStr">
        <is>
          <t>Bear</t>
        </is>
      </c>
      <c r="C2057" t="n">
        <v>306</v>
      </c>
      <c r="D2057" s="22" t="n">
        <v>45149</v>
      </c>
      <c r="E2057" t="n">
        <v>325.25</v>
      </c>
      <c r="F2057" s="22" t="n">
        <v>45210</v>
      </c>
      <c r="G2057" t="n">
        <v>-6.290849673202614</v>
      </c>
    </row>
    <row r="2058">
      <c r="A2058" t="inlineStr">
        <is>
          <t>ROHLTD</t>
        </is>
      </c>
      <c r="B2058" t="inlineStr">
        <is>
          <t>Bull</t>
        </is>
      </c>
      <c r="C2058" t="n">
        <v>337.75</v>
      </c>
      <c r="D2058" s="22" t="n">
        <v>45132</v>
      </c>
      <c r="E2058" t="n">
        <v>296.75</v>
      </c>
      <c r="F2058" s="22" t="n">
        <v>45147</v>
      </c>
      <c r="G2058" t="n">
        <v>-12.13915618060696</v>
      </c>
    </row>
    <row r="2059">
      <c r="A2059" t="inlineStr">
        <is>
          <t>ROHLTD</t>
        </is>
      </c>
      <c r="B2059" t="inlineStr">
        <is>
          <t>Bear</t>
        </is>
      </c>
      <c r="C2059" t="n">
        <v>319</v>
      </c>
      <c r="D2059" s="22" t="n">
        <v>45120</v>
      </c>
      <c r="E2059" t="n">
        <v>351.5</v>
      </c>
      <c r="F2059" s="22" t="n">
        <v>45128</v>
      </c>
      <c r="G2059" t="n">
        <v>-10.18808777429467</v>
      </c>
    </row>
    <row r="2060">
      <c r="A2060" t="inlineStr">
        <is>
          <t>ROHLTD</t>
        </is>
      </c>
      <c r="B2060" t="inlineStr">
        <is>
          <t>Bull</t>
        </is>
      </c>
      <c r="C2060" t="n">
        <v>261.75</v>
      </c>
      <c r="D2060" s="22" t="n">
        <v>45027</v>
      </c>
      <c r="E2060" t="n">
        <v>322.25</v>
      </c>
      <c r="F2060" s="22" t="n">
        <v>45118</v>
      </c>
      <c r="G2060" t="n">
        <v>23.11365807067813</v>
      </c>
    </row>
    <row r="2061">
      <c r="A2061" t="inlineStr">
        <is>
          <t>SCI</t>
        </is>
      </c>
      <c r="B2061" t="inlineStr">
        <is>
          <t>Bear</t>
        </is>
      </c>
      <c r="C2061" t="n">
        <v>256.5</v>
      </c>
      <c r="D2061" s="22" t="n">
        <v>45541</v>
      </c>
      <c r="E2061" t="n">
        <v>214.45</v>
      </c>
      <c r="F2061" s="22" t="n">
        <v>45660</v>
      </c>
      <c r="G2061" t="n">
        <v>16.39376218323587</v>
      </c>
    </row>
    <row r="2062">
      <c r="A2062" t="inlineStr">
        <is>
          <t>SCI</t>
        </is>
      </c>
      <c r="B2062" t="inlineStr">
        <is>
          <t>Bull</t>
        </is>
      </c>
      <c r="C2062" t="n">
        <v>234.7</v>
      </c>
      <c r="D2062" s="22" t="n">
        <v>45429</v>
      </c>
      <c r="E2062" t="n">
        <v>268.75</v>
      </c>
      <c r="F2062" s="22" t="n">
        <v>45539</v>
      </c>
      <c r="G2062" t="n">
        <v>14.50788240306775</v>
      </c>
    </row>
    <row r="2063">
      <c r="A2063" t="inlineStr">
        <is>
          <t>SCI</t>
        </is>
      </c>
      <c r="B2063" t="inlineStr">
        <is>
          <t>Bear</t>
        </is>
      </c>
      <c r="C2063" t="n">
        <v>224.5</v>
      </c>
      <c r="D2063" s="22" t="n">
        <v>45427</v>
      </c>
      <c r="E2063" t="n">
        <v>224.5</v>
      </c>
      <c r="F2063" s="22" t="n">
        <v>45427</v>
      </c>
      <c r="G2063" t="n">
        <v>0</v>
      </c>
    </row>
    <row r="2064">
      <c r="A2064" t="inlineStr">
        <is>
          <t>SCI</t>
        </is>
      </c>
      <c r="B2064" t="inlineStr">
        <is>
          <t>Bull</t>
        </is>
      </c>
      <c r="C2064" t="n">
        <v>217.1</v>
      </c>
      <c r="D2064" s="22" t="n">
        <v>45391</v>
      </c>
      <c r="E2064" t="n">
        <v>202.85</v>
      </c>
      <c r="F2064" s="22" t="n">
        <v>45425</v>
      </c>
      <c r="G2064" t="n">
        <v>-6.563795485951175</v>
      </c>
    </row>
    <row r="2065">
      <c r="A2065" t="inlineStr">
        <is>
          <t>SCI</t>
        </is>
      </c>
      <c r="B2065" t="inlineStr">
        <is>
          <t>Bear</t>
        </is>
      </c>
      <c r="C2065" t="n">
        <v>201.95</v>
      </c>
      <c r="D2065" s="22" t="n">
        <v>45378</v>
      </c>
      <c r="E2065" t="n">
        <v>230.1</v>
      </c>
      <c r="F2065" s="22" t="n">
        <v>45387</v>
      </c>
      <c r="G2065" t="n">
        <v>-13.93909383510771</v>
      </c>
    </row>
    <row r="2066">
      <c r="A2066" t="inlineStr">
        <is>
          <t>SCI</t>
        </is>
      </c>
      <c r="B2066" t="inlineStr">
        <is>
          <t>Bull</t>
        </is>
      </c>
      <c r="C2066" t="n">
        <v>154.6</v>
      </c>
      <c r="D2066" s="22" t="n">
        <v>45265</v>
      </c>
      <c r="E2066" t="n">
        <v>196.95</v>
      </c>
      <c r="F2066" s="22" t="n">
        <v>45373</v>
      </c>
      <c r="G2066" t="n">
        <v>27.39327296248383</v>
      </c>
    </row>
    <row r="2067">
      <c r="A2067" t="inlineStr">
        <is>
          <t>SCI</t>
        </is>
      </c>
      <c r="B2067" t="inlineStr">
        <is>
          <t>Bear</t>
        </is>
      </c>
      <c r="C2067" t="n">
        <v>134.9</v>
      </c>
      <c r="D2067" s="22" t="n">
        <v>45251</v>
      </c>
      <c r="E2067" t="n">
        <v>146.75</v>
      </c>
      <c r="F2067" s="22" t="n">
        <v>45261</v>
      </c>
      <c r="G2067" t="n">
        <v>-8.784284655300217</v>
      </c>
    </row>
    <row r="2068">
      <c r="A2068" t="inlineStr">
        <is>
          <t>SCI</t>
        </is>
      </c>
      <c r="B2068" t="inlineStr">
        <is>
          <t>Bull</t>
        </is>
      </c>
      <c r="C2068" t="n">
        <v>102.75</v>
      </c>
      <c r="D2068" s="22" t="n">
        <v>45142</v>
      </c>
      <c r="E2068" t="n">
        <v>134.4</v>
      </c>
      <c r="F2068" s="22" t="n">
        <v>45247</v>
      </c>
      <c r="G2068" t="n">
        <v>30.8029197080292</v>
      </c>
    </row>
    <row r="2069">
      <c r="A2069" t="inlineStr">
        <is>
          <t>SCI</t>
        </is>
      </c>
      <c r="B2069" t="inlineStr">
        <is>
          <t>Bear</t>
        </is>
      </c>
      <c r="C2069" t="n">
        <v>98</v>
      </c>
      <c r="D2069" s="22" t="n">
        <v>45133</v>
      </c>
      <c r="E2069" t="n">
        <v>100.75</v>
      </c>
      <c r="F2069" s="22" t="n">
        <v>45140</v>
      </c>
      <c r="G2069" t="n">
        <v>-2.806122448979592</v>
      </c>
    </row>
    <row r="2070">
      <c r="A2070" t="inlineStr">
        <is>
          <t>SCI</t>
        </is>
      </c>
      <c r="B2070" t="inlineStr">
        <is>
          <t>Bull</t>
        </is>
      </c>
      <c r="C2070" t="n">
        <v>105.35</v>
      </c>
      <c r="D2070" s="22" t="n">
        <v>45084</v>
      </c>
      <c r="E2070" t="n">
        <v>98.3</v>
      </c>
      <c r="F2070" s="22" t="n">
        <v>45131</v>
      </c>
      <c r="G2070" t="n">
        <v>-6.691979117228285</v>
      </c>
    </row>
    <row r="2071">
      <c r="A2071" t="inlineStr">
        <is>
          <t>SCI</t>
        </is>
      </c>
      <c r="B2071" t="inlineStr">
        <is>
          <t>Bear</t>
        </is>
      </c>
      <c r="C2071" t="n">
        <v>97.75</v>
      </c>
      <c r="D2071" s="22" t="n">
        <v>44959</v>
      </c>
      <c r="E2071" t="n">
        <v>103.3</v>
      </c>
      <c r="F2071" s="22" t="n">
        <v>45082</v>
      </c>
      <c r="G2071" t="n">
        <v>-5.677749360613808</v>
      </c>
    </row>
    <row r="2072">
      <c r="A2072" t="inlineStr">
        <is>
          <t>SPAL</t>
        </is>
      </c>
      <c r="B2072" t="inlineStr">
        <is>
          <t>Bull</t>
        </is>
      </c>
      <c r="C2072" t="n">
        <v>942.55</v>
      </c>
      <c r="D2072" s="22" t="n">
        <v>45635</v>
      </c>
      <c r="E2072" t="n">
        <v>908.2</v>
      </c>
      <c r="F2072" s="22" t="n">
        <v>45660</v>
      </c>
      <c r="G2072" t="n">
        <v>-3.644368998992086</v>
      </c>
    </row>
    <row r="2073">
      <c r="A2073" t="inlineStr">
        <is>
          <t>SPAL</t>
        </is>
      </c>
      <c r="B2073" t="inlineStr">
        <is>
          <t>Bear</t>
        </is>
      </c>
      <c r="C2073" t="n">
        <v>820.35</v>
      </c>
      <c r="D2073" s="22" t="n">
        <v>45610</v>
      </c>
      <c r="E2073" t="n">
        <v>932.1</v>
      </c>
      <c r="F2073" s="22" t="n">
        <v>45631</v>
      </c>
      <c r="G2073" t="n">
        <v>-13.62223441214116</v>
      </c>
    </row>
    <row r="2074">
      <c r="A2074" t="inlineStr">
        <is>
          <t>SPAL</t>
        </is>
      </c>
      <c r="B2074" t="inlineStr">
        <is>
          <t>Bull</t>
        </is>
      </c>
      <c r="C2074" t="n">
        <v>942.65</v>
      </c>
      <c r="D2074" s="22" t="n">
        <v>45603</v>
      </c>
      <c r="E2074" t="n">
        <v>865.45</v>
      </c>
      <c r="F2074" s="22" t="n">
        <v>45608</v>
      </c>
      <c r="G2074" t="n">
        <v>-8.189678035325935</v>
      </c>
    </row>
    <row r="2075">
      <c r="A2075" t="inlineStr">
        <is>
          <t>SPAL</t>
        </is>
      </c>
      <c r="B2075" t="inlineStr">
        <is>
          <t>Bear</t>
        </is>
      </c>
      <c r="C2075" t="n">
        <v>886.85</v>
      </c>
      <c r="D2075" s="22" t="n">
        <v>45588</v>
      </c>
      <c r="E2075" t="n">
        <v>941.9</v>
      </c>
      <c r="F2075" s="22" t="n">
        <v>45601</v>
      </c>
      <c r="G2075" t="n">
        <v>-6.207363139200536</v>
      </c>
    </row>
    <row r="2076">
      <c r="A2076" t="inlineStr">
        <is>
          <t>SPAL</t>
        </is>
      </c>
      <c r="B2076" t="inlineStr">
        <is>
          <t>Bull</t>
        </is>
      </c>
      <c r="C2076" t="n">
        <v>615.85</v>
      </c>
      <c r="D2076" s="22" t="n">
        <v>45457</v>
      </c>
      <c r="E2076" t="n">
        <v>861.75</v>
      </c>
      <c r="F2076" s="22" t="n">
        <v>45586</v>
      </c>
      <c r="G2076" t="n">
        <v>39.92855403101404</v>
      </c>
    </row>
    <row r="2077">
      <c r="A2077" t="inlineStr">
        <is>
          <t>SPAL</t>
        </is>
      </c>
      <c r="B2077" t="inlineStr">
        <is>
          <t>Bear</t>
        </is>
      </c>
      <c r="C2077" t="n">
        <v>573.6</v>
      </c>
      <c r="D2077" s="22" t="n">
        <v>45446</v>
      </c>
      <c r="E2077" t="n">
        <v>593.85</v>
      </c>
      <c r="F2077" s="22" t="n">
        <v>45455</v>
      </c>
      <c r="G2077" t="n">
        <v>-3.530334728033472</v>
      </c>
    </row>
    <row r="2078">
      <c r="A2078" t="inlineStr">
        <is>
          <t>SPAL</t>
        </is>
      </c>
      <c r="B2078" t="inlineStr">
        <is>
          <t>Bull</t>
        </is>
      </c>
      <c r="C2078" t="n">
        <v>597.05</v>
      </c>
      <c r="D2078" s="22" t="n">
        <v>45435</v>
      </c>
      <c r="E2078" t="n">
        <v>581.05</v>
      </c>
      <c r="F2078" s="22" t="n">
        <v>45442</v>
      </c>
      <c r="G2078" t="n">
        <v>-2.679842559249644</v>
      </c>
    </row>
    <row r="2079">
      <c r="A2079" t="inlineStr">
        <is>
          <t>SPAL</t>
        </is>
      </c>
      <c r="B2079" t="inlineStr">
        <is>
          <t>Bear</t>
        </is>
      </c>
      <c r="C2079" t="n">
        <v>588.2</v>
      </c>
      <c r="D2079" s="22" t="n">
        <v>45404</v>
      </c>
      <c r="E2079" t="n">
        <v>600.25</v>
      </c>
      <c r="F2079" s="22" t="n">
        <v>45433</v>
      </c>
      <c r="G2079" t="n">
        <v>-2.048622917375035</v>
      </c>
    </row>
    <row r="2080">
      <c r="A2080" t="inlineStr">
        <is>
          <t>SPAL</t>
        </is>
      </c>
      <c r="B2080" t="inlineStr">
        <is>
          <t>Bull</t>
        </is>
      </c>
      <c r="C2080" t="n">
        <v>592.5</v>
      </c>
      <c r="D2080" s="22" t="n">
        <v>45397</v>
      </c>
      <c r="E2080" t="n">
        <v>577.1</v>
      </c>
      <c r="F2080" s="22" t="n">
        <v>45400</v>
      </c>
      <c r="G2080" t="n">
        <v>-2.599156118143456</v>
      </c>
    </row>
    <row r="2081">
      <c r="A2081" t="inlineStr">
        <is>
          <t>SPAL</t>
        </is>
      </c>
      <c r="B2081" t="inlineStr">
        <is>
          <t>Bear</t>
        </is>
      </c>
      <c r="C2081" t="n">
        <v>556</v>
      </c>
      <c r="D2081" s="22" t="n">
        <v>45364</v>
      </c>
      <c r="E2081" t="n">
        <v>604.75</v>
      </c>
      <c r="F2081" s="22" t="n">
        <v>45392</v>
      </c>
      <c r="G2081" t="n">
        <v>-8.767985611510792</v>
      </c>
    </row>
    <row r="2082">
      <c r="A2082" t="inlineStr">
        <is>
          <t>SPAL</t>
        </is>
      </c>
      <c r="B2082" t="inlineStr">
        <is>
          <t>Bull</t>
        </is>
      </c>
      <c r="C2082" t="n">
        <v>630.15</v>
      </c>
      <c r="D2082" s="22" t="n">
        <v>45348</v>
      </c>
      <c r="E2082" t="n">
        <v>563.85</v>
      </c>
      <c r="F2082" s="22" t="n">
        <v>45362</v>
      </c>
      <c r="G2082" t="n">
        <v>-10.52130445132111</v>
      </c>
    </row>
    <row r="2083">
      <c r="A2083" t="inlineStr">
        <is>
          <t>SPAL</t>
        </is>
      </c>
      <c r="B2083" t="inlineStr">
        <is>
          <t>Bear</t>
        </is>
      </c>
      <c r="C2083" t="n">
        <v>547.75</v>
      </c>
      <c r="D2083" s="22" t="n">
        <v>45336</v>
      </c>
      <c r="E2083" t="n">
        <v>630.1</v>
      </c>
      <c r="F2083" s="22" t="n">
        <v>45344</v>
      </c>
      <c r="G2083" t="n">
        <v>-15.03423094477408</v>
      </c>
    </row>
    <row r="2084">
      <c r="A2084" t="inlineStr">
        <is>
          <t>SPAL</t>
        </is>
      </c>
      <c r="B2084" t="inlineStr">
        <is>
          <t>Bull</t>
        </is>
      </c>
      <c r="C2084" t="n">
        <v>346</v>
      </c>
      <c r="D2084" s="22" t="n">
        <v>44995</v>
      </c>
      <c r="E2084" t="n">
        <v>562.65</v>
      </c>
      <c r="F2084" s="22" t="n">
        <v>45334</v>
      </c>
      <c r="G2084" t="n">
        <v>62.61560693641618</v>
      </c>
    </row>
    <row r="2085">
      <c r="A2085" t="inlineStr">
        <is>
          <t>SAFARI</t>
        </is>
      </c>
      <c r="B2085" t="inlineStr">
        <is>
          <t>Bull</t>
        </is>
      </c>
      <c r="C2085" t="n">
        <v>2507.15</v>
      </c>
      <c r="D2085" s="22" t="n">
        <v>45622</v>
      </c>
      <c r="E2085" t="n">
        <v>2651.8</v>
      </c>
      <c r="F2085" s="22" t="n">
        <v>45660</v>
      </c>
      <c r="G2085" t="n">
        <v>5.769499232195923</v>
      </c>
    </row>
    <row r="2086">
      <c r="A2086" t="inlineStr">
        <is>
          <t>SAFARI</t>
        </is>
      </c>
      <c r="B2086" t="inlineStr">
        <is>
          <t>Bear</t>
        </is>
      </c>
      <c r="C2086" t="n">
        <v>2179.35</v>
      </c>
      <c r="D2086" s="22" t="n">
        <v>45594</v>
      </c>
      <c r="E2086" t="n">
        <v>2499.25</v>
      </c>
      <c r="F2086" s="22" t="n">
        <v>45618</v>
      </c>
      <c r="G2086" t="n">
        <v>-14.67868859981188</v>
      </c>
    </row>
    <row r="2087">
      <c r="A2087" t="inlineStr">
        <is>
          <t>SAFARI</t>
        </is>
      </c>
      <c r="B2087" t="inlineStr">
        <is>
          <t>Bull</t>
        </is>
      </c>
      <c r="C2087" t="n">
        <v>2050.85</v>
      </c>
      <c r="D2087" s="22" t="n">
        <v>45400</v>
      </c>
      <c r="E2087" t="n">
        <v>2222.45</v>
      </c>
      <c r="F2087" s="22" t="n">
        <v>45590</v>
      </c>
      <c r="G2087" t="n">
        <v>8.367262354633441</v>
      </c>
    </row>
    <row r="2088">
      <c r="A2088" t="inlineStr">
        <is>
          <t>SAFARI</t>
        </is>
      </c>
      <c r="B2088" t="inlineStr">
        <is>
          <t>Bear</t>
        </is>
      </c>
      <c r="C2088" t="n">
        <v>1817.65</v>
      </c>
      <c r="D2088" s="22" t="n">
        <v>45363</v>
      </c>
      <c r="E2088" t="n">
        <v>2033.05</v>
      </c>
      <c r="F2088" s="22" t="n">
        <v>45397</v>
      </c>
      <c r="G2088" t="n">
        <v>-11.85046626138145</v>
      </c>
    </row>
    <row r="2089">
      <c r="A2089" t="inlineStr">
        <is>
          <t>SAFARI</t>
        </is>
      </c>
      <c r="B2089" t="inlineStr">
        <is>
          <t>Bull</t>
        </is>
      </c>
      <c r="C2089" t="n">
        <v>2080.1</v>
      </c>
      <c r="D2089" s="22" t="n">
        <v>45335</v>
      </c>
      <c r="E2089" t="n">
        <v>1945</v>
      </c>
      <c r="F2089" s="22" t="n">
        <v>45358</v>
      </c>
      <c r="G2089" t="n">
        <v>-6.494880053843562</v>
      </c>
    </row>
    <row r="2090">
      <c r="A2090" t="inlineStr">
        <is>
          <t>SAFARI</t>
        </is>
      </c>
      <c r="B2090" t="inlineStr">
        <is>
          <t>Bear</t>
        </is>
      </c>
      <c r="C2090" t="n">
        <v>1889.05</v>
      </c>
      <c r="D2090" s="22" t="n">
        <v>45292</v>
      </c>
      <c r="E2090" t="n">
        <v>2088.4</v>
      </c>
      <c r="F2090" s="22" t="n">
        <v>45331</v>
      </c>
      <c r="G2090" t="n">
        <v>-10.55292342711946</v>
      </c>
    </row>
    <row r="2091">
      <c r="A2091" t="inlineStr">
        <is>
          <t>SAFARI</t>
        </is>
      </c>
      <c r="B2091" t="inlineStr">
        <is>
          <t>Bull</t>
        </is>
      </c>
      <c r="C2091" t="n">
        <v>937.3</v>
      </c>
      <c r="D2091" s="22" t="n">
        <v>44937</v>
      </c>
      <c r="E2091" t="n">
        <v>1939.4</v>
      </c>
      <c r="F2091" s="22" t="n">
        <v>45288</v>
      </c>
      <c r="G2091" t="n">
        <v>106.9134748746399</v>
      </c>
    </row>
    <row r="2092">
      <c r="A2092" t="inlineStr">
        <is>
          <t>SAMMAANCAP</t>
        </is>
      </c>
      <c r="B2092" t="inlineStr">
        <is>
          <t>Bull</t>
        </is>
      </c>
      <c r="C2092" t="n">
        <v>82.81</v>
      </c>
      <c r="D2092" s="22" t="n">
        <v>45012</v>
      </c>
      <c r="E2092" t="n">
        <v>163.23</v>
      </c>
      <c r="F2092" s="22" t="n">
        <v>45660</v>
      </c>
      <c r="G2092" t="n">
        <v>97.11387513585315</v>
      </c>
    </row>
    <row r="2093">
      <c r="A2093" t="inlineStr">
        <is>
          <t>SAMMAANCAP</t>
        </is>
      </c>
      <c r="B2093" t="inlineStr">
        <is>
          <t>Bear</t>
        </is>
      </c>
      <c r="C2093" t="n">
        <v>152.98</v>
      </c>
      <c r="D2093" s="22" t="n">
        <v>45658</v>
      </c>
      <c r="E2093" t="n">
        <v>162.79</v>
      </c>
      <c r="F2093" s="22" t="n">
        <v>45659</v>
      </c>
      <c r="G2093" t="n">
        <v>-6.412602954634594</v>
      </c>
    </row>
    <row r="2094">
      <c r="A2094" t="inlineStr">
        <is>
          <t>SAMMAANCAP</t>
        </is>
      </c>
      <c r="B2094" t="inlineStr">
        <is>
          <t>Bull</t>
        </is>
      </c>
      <c r="C2094" t="n">
        <v>167.87</v>
      </c>
      <c r="D2094" s="22" t="n">
        <v>45625</v>
      </c>
      <c r="E2094" t="n">
        <v>149.73</v>
      </c>
      <c r="F2094" s="22" t="n">
        <v>45656</v>
      </c>
      <c r="G2094" t="n">
        <v>-10.80598081849051</v>
      </c>
    </row>
    <row r="2095">
      <c r="A2095" t="inlineStr">
        <is>
          <t>SAMMAANCAP</t>
        </is>
      </c>
      <c r="B2095" t="inlineStr">
        <is>
          <t>Bear</t>
        </is>
      </c>
      <c r="C2095" t="n">
        <v>157.51</v>
      </c>
      <c r="D2095" s="22" t="n">
        <v>45569</v>
      </c>
      <c r="E2095" t="n">
        <v>164.37</v>
      </c>
      <c r="F2095" s="22" t="n">
        <v>45623</v>
      </c>
      <c r="G2095" t="n">
        <v>-4.355279029902872</v>
      </c>
    </row>
    <row r="2096">
      <c r="A2096" t="inlineStr">
        <is>
          <t>SAMMAANCAP</t>
        </is>
      </c>
      <c r="B2096" t="inlineStr">
        <is>
          <t>Bull</t>
        </is>
      </c>
      <c r="C2096" t="n">
        <v>166.87</v>
      </c>
      <c r="D2096" s="22" t="n">
        <v>45562</v>
      </c>
      <c r="E2096" t="n">
        <v>162.11</v>
      </c>
      <c r="F2096" s="22" t="n">
        <v>45566</v>
      </c>
      <c r="G2096" t="n">
        <v>-2.852519925690652</v>
      </c>
    </row>
    <row r="2097">
      <c r="A2097" t="inlineStr">
        <is>
          <t>SAMMAANCAP</t>
        </is>
      </c>
      <c r="B2097" t="inlineStr">
        <is>
          <t>Bear</t>
        </is>
      </c>
      <c r="C2097" t="n">
        <v>154.9</v>
      </c>
      <c r="D2097" s="22" t="n">
        <v>45510</v>
      </c>
      <c r="E2097" t="n">
        <v>171.53</v>
      </c>
      <c r="F2097" s="22" t="n">
        <v>45560</v>
      </c>
      <c r="G2097" t="n">
        <v>-10.7359586830213</v>
      </c>
    </row>
    <row r="2098">
      <c r="A2098" t="inlineStr">
        <is>
          <t>SAMMAANCAP</t>
        </is>
      </c>
      <c r="B2098" t="inlineStr">
        <is>
          <t>Bull</t>
        </is>
      </c>
      <c r="C2098" t="n">
        <v>174.27</v>
      </c>
      <c r="D2098" s="22" t="n">
        <v>45504</v>
      </c>
      <c r="E2098" t="n">
        <v>166.35</v>
      </c>
      <c r="F2098" s="22" t="n">
        <v>45506</v>
      </c>
      <c r="G2098" t="n">
        <v>-4.544672060595636</v>
      </c>
    </row>
    <row r="2099">
      <c r="A2099" t="inlineStr">
        <is>
          <t>SAMMAANCAP</t>
        </is>
      </c>
      <c r="B2099" t="inlineStr">
        <is>
          <t>Bear</t>
        </is>
      </c>
      <c r="C2099" t="n">
        <v>164.4</v>
      </c>
      <c r="D2099" s="22" t="n">
        <v>45498</v>
      </c>
      <c r="E2099" t="n">
        <v>169.17</v>
      </c>
      <c r="F2099" s="22" t="n">
        <v>45502</v>
      </c>
      <c r="G2099" t="n">
        <v>-2.901459854014588</v>
      </c>
    </row>
    <row r="2100">
      <c r="A2100" t="inlineStr">
        <is>
          <t>SAMMAANCAP</t>
        </is>
      </c>
      <c r="B2100" t="inlineStr">
        <is>
          <t>Bull</t>
        </is>
      </c>
      <c r="C2100" t="n">
        <v>177.55</v>
      </c>
      <c r="D2100" s="22" t="n">
        <v>45464</v>
      </c>
      <c r="E2100" t="n">
        <v>164.32</v>
      </c>
      <c r="F2100" s="22" t="n">
        <v>45496</v>
      </c>
      <c r="G2100" t="n">
        <v>-7.451422134609979</v>
      </c>
    </row>
    <row r="2101">
      <c r="A2101" t="inlineStr">
        <is>
          <t>SAMMAANCAP</t>
        </is>
      </c>
      <c r="B2101" t="inlineStr">
        <is>
          <t>Bear</t>
        </is>
      </c>
      <c r="C2101" t="n">
        <v>160</v>
      </c>
      <c r="D2101" s="22" t="n">
        <v>45364</v>
      </c>
      <c r="E2101" t="n">
        <v>173.72</v>
      </c>
      <c r="F2101" s="22" t="n">
        <v>45462</v>
      </c>
      <c r="G2101" t="n">
        <v>-8.574999999999999</v>
      </c>
    </row>
    <row r="2102">
      <c r="A2102" t="inlineStr">
        <is>
          <t>SAMMAANCAP</t>
        </is>
      </c>
      <c r="B2102" t="inlineStr">
        <is>
          <t>Bull</t>
        </is>
      </c>
      <c r="C2102" t="n">
        <v>171.19</v>
      </c>
      <c r="D2102" s="22" t="n">
        <v>45247</v>
      </c>
      <c r="E2102" t="n">
        <v>174.15</v>
      </c>
      <c r="F2102" s="22" t="n">
        <v>45362</v>
      </c>
      <c r="G2102" t="n">
        <v>1.729072959869156</v>
      </c>
    </row>
    <row r="2103">
      <c r="A2103" t="inlineStr">
        <is>
          <t>SAMMAANCAP</t>
        </is>
      </c>
      <c r="B2103" t="inlineStr">
        <is>
          <t>Bear</t>
        </is>
      </c>
      <c r="C2103" t="n">
        <v>143.33</v>
      </c>
      <c r="D2103" s="22" t="n">
        <v>45229</v>
      </c>
      <c r="E2103" t="n">
        <v>160.72</v>
      </c>
      <c r="F2103" s="22" t="n">
        <v>45245</v>
      </c>
      <c r="G2103" t="n">
        <v>-12.13284029861159</v>
      </c>
    </row>
    <row r="2104">
      <c r="A2104" t="inlineStr">
        <is>
          <t>SAMMAANCAP</t>
        </is>
      </c>
      <c r="B2104" t="inlineStr">
        <is>
          <t>Bull</t>
        </is>
      </c>
      <c r="C2104" t="n">
        <v>102.55</v>
      </c>
      <c r="D2104" s="22" t="n">
        <v>45056</v>
      </c>
      <c r="E2104" t="n">
        <v>138.12</v>
      </c>
      <c r="F2104" s="22" t="n">
        <v>45225</v>
      </c>
      <c r="G2104" t="n">
        <v>34.6855192588981</v>
      </c>
    </row>
    <row r="2105">
      <c r="A2105" t="inlineStr">
        <is>
          <t>SANDUMA</t>
        </is>
      </c>
      <c r="B2105" t="inlineStr">
        <is>
          <t>Bear</t>
        </is>
      </c>
      <c r="C2105" t="n">
        <v>403.85</v>
      </c>
      <c r="D2105" s="22" t="n">
        <v>45649</v>
      </c>
      <c r="E2105" t="n">
        <v>433.5</v>
      </c>
      <c r="F2105" s="22" t="n">
        <v>45660</v>
      </c>
      <c r="G2105" t="n">
        <v>-7.341834839668188</v>
      </c>
    </row>
    <row r="2106">
      <c r="A2106" t="inlineStr">
        <is>
          <t>SANDUMA</t>
        </is>
      </c>
      <c r="B2106" t="inlineStr">
        <is>
          <t>Bull</t>
        </is>
      </c>
      <c r="C2106" t="n">
        <v>538</v>
      </c>
      <c r="D2106" s="22" t="n">
        <v>45629</v>
      </c>
      <c r="E2106" t="n">
        <v>418.55</v>
      </c>
      <c r="F2106" s="22" t="n">
        <v>45645</v>
      </c>
      <c r="G2106" t="n">
        <v>-22.20260223048327</v>
      </c>
    </row>
    <row r="2107">
      <c r="A2107" t="inlineStr">
        <is>
          <t>SANDUMA</t>
        </is>
      </c>
      <c r="B2107" t="inlineStr">
        <is>
          <t>Bear</t>
        </is>
      </c>
      <c r="C2107" t="n">
        <v>514.45</v>
      </c>
      <c r="D2107" s="22" t="n">
        <v>45523</v>
      </c>
      <c r="E2107" t="n">
        <v>505.2</v>
      </c>
      <c r="F2107" s="22" t="n">
        <v>45625</v>
      </c>
      <c r="G2107" t="n">
        <v>1.798036738264177</v>
      </c>
    </row>
    <row r="2108">
      <c r="A2108" t="inlineStr">
        <is>
          <t>SANDUMA</t>
        </is>
      </c>
      <c r="B2108" t="inlineStr">
        <is>
          <t>Bull</t>
        </is>
      </c>
      <c r="C2108" t="n">
        <v>470.45</v>
      </c>
      <c r="D2108" s="22" t="n">
        <v>45401</v>
      </c>
      <c r="E2108" t="n">
        <v>507.65</v>
      </c>
      <c r="F2108" s="22" t="n">
        <v>45518</v>
      </c>
      <c r="G2108" t="n">
        <v>7.907322776065468</v>
      </c>
    </row>
    <row r="2109">
      <c r="A2109" t="inlineStr">
        <is>
          <t>SANGHVIMOV</t>
        </is>
      </c>
      <c r="B2109" t="inlineStr">
        <is>
          <t>Bear</t>
        </is>
      </c>
      <c r="C2109" t="n">
        <v>553.6</v>
      </c>
      <c r="D2109" s="22" t="n">
        <v>45441</v>
      </c>
      <c r="E2109" t="n">
        <v>307.45</v>
      </c>
      <c r="F2109" s="22" t="n">
        <v>45660</v>
      </c>
      <c r="G2109" t="n">
        <v>44.46351156069365</v>
      </c>
    </row>
    <row r="2110">
      <c r="A2110" t="inlineStr">
        <is>
          <t>SANGHVIMOV</t>
        </is>
      </c>
      <c r="B2110" t="inlineStr">
        <is>
          <t>Bull</t>
        </is>
      </c>
      <c r="C2110" t="n">
        <v>510.43</v>
      </c>
      <c r="D2110" s="22" t="n">
        <v>45329</v>
      </c>
      <c r="E2110" t="n">
        <v>566.4299999999999</v>
      </c>
      <c r="F2110" s="22" t="n">
        <v>45439</v>
      </c>
      <c r="G2110" t="n">
        <v>10.97114197833198</v>
      </c>
    </row>
    <row r="2111">
      <c r="A2111" t="inlineStr">
        <is>
          <t>SANGHVIMOV</t>
        </is>
      </c>
      <c r="B2111" t="inlineStr">
        <is>
          <t>Bear</t>
        </is>
      </c>
      <c r="C2111" t="n">
        <v>385.98</v>
      </c>
      <c r="D2111" s="22" t="n">
        <v>45322</v>
      </c>
      <c r="E2111" t="n">
        <v>418.58</v>
      </c>
      <c r="F2111" s="22" t="n">
        <v>45327</v>
      </c>
      <c r="G2111" t="n">
        <v>-8.446033473236945</v>
      </c>
    </row>
    <row r="2112">
      <c r="A2112" t="inlineStr">
        <is>
          <t>SANGHVIMOV</t>
        </is>
      </c>
      <c r="B2112" t="inlineStr">
        <is>
          <t>Bull</t>
        </is>
      </c>
      <c r="C2112" t="n">
        <v>186.95</v>
      </c>
      <c r="D2112" s="22" t="n">
        <v>45029</v>
      </c>
      <c r="E2112" t="n">
        <v>385.23</v>
      </c>
      <c r="F2112" s="22" t="n">
        <v>45320</v>
      </c>
      <c r="G2112" t="n">
        <v>106.0604439689757</v>
      </c>
    </row>
    <row r="2113">
      <c r="A2113" t="inlineStr">
        <is>
          <t>SANOFI</t>
        </is>
      </c>
      <c r="B2113" t="inlineStr">
        <is>
          <t>Bear</t>
        </is>
      </c>
      <c r="C2113" t="n">
        <v>6901.25</v>
      </c>
      <c r="D2113" s="22" t="n">
        <v>45574</v>
      </c>
      <c r="E2113" t="n">
        <v>6135.85</v>
      </c>
      <c r="F2113" s="22" t="n">
        <v>45660</v>
      </c>
      <c r="G2113" t="n">
        <v>11.09074443035681</v>
      </c>
    </row>
    <row r="2114">
      <c r="A2114" t="inlineStr">
        <is>
          <t>SANOFI</t>
        </is>
      </c>
      <c r="B2114" t="inlineStr">
        <is>
          <t>Bull</t>
        </is>
      </c>
      <c r="C2114" t="n">
        <v>7394.75</v>
      </c>
      <c r="D2114" s="22" t="n">
        <v>45545</v>
      </c>
      <c r="E2114" t="n">
        <v>6795.4</v>
      </c>
      <c r="F2114" s="22" t="n">
        <v>45572</v>
      </c>
      <c r="G2114" t="n">
        <v>-8.105074546130705</v>
      </c>
    </row>
    <row r="2115">
      <c r="A2115" t="inlineStr">
        <is>
          <t>SANOFI</t>
        </is>
      </c>
      <c r="B2115" t="inlineStr">
        <is>
          <t>Bear</t>
        </is>
      </c>
      <c r="C2115" t="n">
        <v>7190.75</v>
      </c>
      <c r="D2115" s="22" t="n">
        <v>45462</v>
      </c>
      <c r="E2115" t="n">
        <v>7351.45</v>
      </c>
      <c r="F2115" s="22" t="n">
        <v>45541</v>
      </c>
      <c r="G2115" t="n">
        <v>-2.234815561659074</v>
      </c>
    </row>
    <row r="2116">
      <c r="A2116" t="inlineStr">
        <is>
          <t>SANOFI</t>
        </is>
      </c>
      <c r="B2116" t="inlineStr">
        <is>
          <t>Bull</t>
        </is>
      </c>
      <c r="C2116" t="n">
        <v>8938.450000000001</v>
      </c>
      <c r="D2116" s="22" t="n">
        <v>45433</v>
      </c>
      <c r="E2116" t="n">
        <v>6838.7</v>
      </c>
      <c r="F2116" s="22" t="n">
        <v>45457</v>
      </c>
      <c r="G2116" t="n">
        <v>-23.49120932600172</v>
      </c>
    </row>
    <row r="2117">
      <c r="A2117" t="inlineStr">
        <is>
          <t>SANOFI</t>
        </is>
      </c>
      <c r="B2117" t="inlineStr">
        <is>
          <t>Bear</t>
        </is>
      </c>
      <c r="C2117" t="n">
        <v>7958.9</v>
      </c>
      <c r="D2117" s="22" t="n">
        <v>45422</v>
      </c>
      <c r="E2117" t="n">
        <v>8851.950000000001</v>
      </c>
      <c r="F2117" s="22" t="n">
        <v>45429</v>
      </c>
      <c r="G2117" t="n">
        <v>-11.2207717146842</v>
      </c>
    </row>
    <row r="2118">
      <c r="A2118" t="inlineStr">
        <is>
          <t>SANOFI</t>
        </is>
      </c>
      <c r="B2118" t="inlineStr">
        <is>
          <t>Bull</t>
        </is>
      </c>
      <c r="C2118" t="n">
        <v>8373.450000000001</v>
      </c>
      <c r="D2118" s="22" t="n">
        <v>45419</v>
      </c>
      <c r="E2118" t="n">
        <v>8246.25</v>
      </c>
      <c r="F2118" s="22" t="n">
        <v>45420</v>
      </c>
      <c r="G2118" t="n">
        <v>-1.519087114630179</v>
      </c>
    </row>
    <row r="2119">
      <c r="A2119" t="inlineStr">
        <is>
          <t>SANOFI</t>
        </is>
      </c>
      <c r="B2119" t="inlineStr">
        <is>
          <t>Bear</t>
        </is>
      </c>
      <c r="C2119" t="n">
        <v>7747.1</v>
      </c>
      <c r="D2119" s="22" t="n">
        <v>45366</v>
      </c>
      <c r="E2119" t="n">
        <v>8624.25</v>
      </c>
      <c r="F2119" s="22" t="n">
        <v>45415</v>
      </c>
      <c r="G2119" t="n">
        <v>-11.322301248209</v>
      </c>
    </row>
    <row r="2120">
      <c r="A2120" t="inlineStr">
        <is>
          <t>SANOFI</t>
        </is>
      </c>
      <c r="B2120" t="inlineStr">
        <is>
          <t>Bull</t>
        </is>
      </c>
      <c r="C2120" t="n">
        <v>6349.55</v>
      </c>
      <c r="D2120" s="22" t="n">
        <v>45061</v>
      </c>
      <c r="E2120" t="n">
        <v>8028.5</v>
      </c>
      <c r="F2120" s="22" t="n">
        <v>45364</v>
      </c>
      <c r="G2120" t="n">
        <v>26.44203132505453</v>
      </c>
    </row>
    <row r="2121">
      <c r="A2121" t="inlineStr">
        <is>
          <t>SARDAEN</t>
        </is>
      </c>
      <c r="B2121" t="inlineStr">
        <is>
          <t>Bull</t>
        </is>
      </c>
      <c r="C2121" t="n">
        <v>272.91</v>
      </c>
      <c r="D2121" s="22" t="n">
        <v>45483</v>
      </c>
      <c r="E2121" t="n">
        <v>481.15</v>
      </c>
      <c r="F2121" s="22" t="n">
        <v>45660</v>
      </c>
      <c r="G2121" t="n">
        <v>76.30354329266056</v>
      </c>
    </row>
    <row r="2122">
      <c r="A2122" t="inlineStr">
        <is>
          <t>SARDAEN</t>
        </is>
      </c>
      <c r="B2122" t="inlineStr">
        <is>
          <t>Bear</t>
        </is>
      </c>
      <c r="C2122" t="n">
        <v>220.75</v>
      </c>
      <c r="D2122" s="22" t="n">
        <v>45450</v>
      </c>
      <c r="E2122" t="n">
        <v>246.76</v>
      </c>
      <c r="F2122" s="22" t="n">
        <v>45481</v>
      </c>
      <c r="G2122" t="n">
        <v>-11.78255945639864</v>
      </c>
    </row>
    <row r="2123">
      <c r="A2123" t="inlineStr">
        <is>
          <t>SARDAEN</t>
        </is>
      </c>
      <c r="B2123" t="inlineStr">
        <is>
          <t>Bull</t>
        </is>
      </c>
      <c r="C2123" t="n">
        <v>224.25</v>
      </c>
      <c r="D2123" s="22" t="n">
        <v>45405</v>
      </c>
      <c r="E2123" t="n">
        <v>225.85</v>
      </c>
      <c r="F2123" s="22" t="n">
        <v>45448</v>
      </c>
      <c r="G2123" t="n">
        <v>0.7134894091415805</v>
      </c>
    </row>
    <row r="2124">
      <c r="A2124" t="inlineStr">
        <is>
          <t>SARDAEN</t>
        </is>
      </c>
      <c r="B2124" t="inlineStr">
        <is>
          <t>Bear</t>
        </is>
      </c>
      <c r="C2124" t="n">
        <v>220.65</v>
      </c>
      <c r="D2124" s="22" t="n">
        <v>45331</v>
      </c>
      <c r="E2124" t="n">
        <v>222.75</v>
      </c>
      <c r="F2124" s="22" t="n">
        <v>45401</v>
      </c>
      <c r="G2124" t="n">
        <v>-0.9517335146159051</v>
      </c>
    </row>
    <row r="2125">
      <c r="A2125" t="inlineStr">
        <is>
          <t>SARDAEN</t>
        </is>
      </c>
      <c r="B2125" t="inlineStr">
        <is>
          <t>Bull</t>
        </is>
      </c>
      <c r="C2125" t="n">
        <v>114.59</v>
      </c>
      <c r="D2125" s="22" t="n">
        <v>45029</v>
      </c>
      <c r="E2125" t="n">
        <v>232.85</v>
      </c>
      <c r="F2125" s="22" t="n">
        <v>45329</v>
      </c>
      <c r="G2125" t="n">
        <v>103.2027227506763</v>
      </c>
    </row>
    <row r="2126">
      <c r="A2126" t="inlineStr">
        <is>
          <t>SATINDLTD</t>
        </is>
      </c>
      <c r="B2126" t="inlineStr">
        <is>
          <t>Bear</t>
        </is>
      </c>
      <c r="C2126" t="n">
        <v>105.64</v>
      </c>
      <c r="D2126" s="22" t="n">
        <v>45609</v>
      </c>
      <c r="E2126" t="n">
        <v>114.85</v>
      </c>
      <c r="F2126" s="22" t="n">
        <v>45660</v>
      </c>
      <c r="G2126" t="n">
        <v>-8.718288527073073</v>
      </c>
    </row>
    <row r="2127">
      <c r="A2127" t="inlineStr">
        <is>
          <t>SATINDLTD</t>
        </is>
      </c>
      <c r="B2127" t="inlineStr">
        <is>
          <t>Bull</t>
        </is>
      </c>
      <c r="C2127" t="n">
        <v>105.17</v>
      </c>
      <c r="D2127" s="22" t="n">
        <v>45503</v>
      </c>
      <c r="E2127" t="n">
        <v>115.05</v>
      </c>
      <c r="F2127" s="22" t="n">
        <v>45607</v>
      </c>
      <c r="G2127" t="n">
        <v>9.394313967861553</v>
      </c>
    </row>
    <row r="2128">
      <c r="A2128" t="inlineStr">
        <is>
          <t>SATINDLTD</t>
        </is>
      </c>
      <c r="B2128" t="inlineStr">
        <is>
          <t>Bear</t>
        </is>
      </c>
      <c r="C2128" t="n">
        <v>111.9</v>
      </c>
      <c r="D2128" s="22" t="n">
        <v>45338</v>
      </c>
      <c r="E2128" t="n">
        <v>98.06</v>
      </c>
      <c r="F2128" s="22" t="n">
        <v>45499</v>
      </c>
      <c r="G2128" t="n">
        <v>12.36818588025023</v>
      </c>
    </row>
    <row r="2129">
      <c r="A2129" t="inlineStr">
        <is>
          <t>SATINDLTD</t>
        </is>
      </c>
      <c r="B2129" t="inlineStr">
        <is>
          <t>Bull</t>
        </is>
      </c>
      <c r="C2129" t="n">
        <v>117.35</v>
      </c>
      <c r="D2129" s="22" t="n">
        <v>45260</v>
      </c>
      <c r="E2129" t="n">
        <v>113.35</v>
      </c>
      <c r="F2129" s="22" t="n">
        <v>45336</v>
      </c>
      <c r="G2129" t="n">
        <v>-3.408606731998296</v>
      </c>
    </row>
    <row r="2130">
      <c r="A2130" t="inlineStr">
        <is>
          <t>SATINDLTD</t>
        </is>
      </c>
      <c r="B2130" t="inlineStr">
        <is>
          <t>Bear</t>
        </is>
      </c>
      <c r="C2130" t="n">
        <v>95.34999999999999</v>
      </c>
      <c r="D2130" s="22" t="n">
        <v>45203</v>
      </c>
      <c r="E2130" t="n">
        <v>111.85</v>
      </c>
      <c r="F2130" s="22" t="n">
        <v>45258</v>
      </c>
      <c r="G2130" t="n">
        <v>-17.3046670162559</v>
      </c>
    </row>
    <row r="2131">
      <c r="A2131" t="inlineStr">
        <is>
          <t>SATINDLTD</t>
        </is>
      </c>
      <c r="B2131" t="inlineStr">
        <is>
          <t>Bull</t>
        </is>
      </c>
      <c r="C2131" t="n">
        <v>75.25</v>
      </c>
      <c r="D2131" s="22" t="n">
        <v>45063</v>
      </c>
      <c r="E2131" t="n">
        <v>103.05</v>
      </c>
      <c r="F2131" s="22" t="n">
        <v>45198</v>
      </c>
      <c r="G2131" t="n">
        <v>36.94352159468438</v>
      </c>
    </row>
    <row r="2132">
      <c r="A2132" t="inlineStr">
        <is>
          <t>SEAMECLTD</t>
        </is>
      </c>
      <c r="B2132" t="inlineStr">
        <is>
          <t>Bear</t>
        </is>
      </c>
      <c r="C2132" t="n">
        <v>1413.1</v>
      </c>
      <c r="D2132" s="22" t="n">
        <v>45558</v>
      </c>
      <c r="E2132" t="n">
        <v>1147.2</v>
      </c>
      <c r="F2132" s="22" t="n">
        <v>45660</v>
      </c>
      <c r="G2132" t="n">
        <v>18.81678579010685</v>
      </c>
    </row>
    <row r="2133">
      <c r="A2133" t="inlineStr">
        <is>
          <t>SEAMECLTD</t>
        </is>
      </c>
      <c r="B2133" t="inlineStr">
        <is>
          <t>Bull</t>
        </is>
      </c>
      <c r="C2133" t="n">
        <v>1144.6</v>
      </c>
      <c r="D2133" s="22" t="n">
        <v>45461</v>
      </c>
      <c r="E2133" t="n">
        <v>1326.15</v>
      </c>
      <c r="F2133" s="22" t="n">
        <v>45554</v>
      </c>
      <c r="G2133" t="n">
        <v>15.86143630962784</v>
      </c>
    </row>
    <row r="2134">
      <c r="A2134" t="inlineStr">
        <is>
          <t>SEAMECLTD</t>
        </is>
      </c>
      <c r="B2134" t="inlineStr">
        <is>
          <t>Bear</t>
        </is>
      </c>
      <c r="C2134" t="n">
        <v>1053.75</v>
      </c>
      <c r="D2134" s="22" t="n">
        <v>45446</v>
      </c>
      <c r="E2134" t="n">
        <v>1118.3</v>
      </c>
      <c r="F2134" s="22" t="n">
        <v>45456</v>
      </c>
      <c r="G2134" t="n">
        <v>-6.125741399762748</v>
      </c>
    </row>
    <row r="2135">
      <c r="A2135" t="inlineStr">
        <is>
          <t>SEAMECLTD</t>
        </is>
      </c>
      <c r="B2135" t="inlineStr">
        <is>
          <t>Bull</t>
        </is>
      </c>
      <c r="C2135" t="n">
        <v>1075.45</v>
      </c>
      <c r="D2135" s="22" t="n">
        <v>45441</v>
      </c>
      <c r="E2135" t="n">
        <v>1021.7</v>
      </c>
      <c r="F2135" s="22" t="n">
        <v>45442</v>
      </c>
      <c r="G2135" t="n">
        <v>-4.997907852526849</v>
      </c>
    </row>
    <row r="2136">
      <c r="A2136" t="inlineStr">
        <is>
          <t>SEAMECLTD</t>
        </is>
      </c>
      <c r="B2136" t="inlineStr">
        <is>
          <t>Bear</t>
        </is>
      </c>
      <c r="C2136" t="n">
        <v>1078.65</v>
      </c>
      <c r="D2136" s="22" t="n">
        <v>45377</v>
      </c>
      <c r="E2136" t="n">
        <v>1123.55</v>
      </c>
      <c r="F2136" s="22" t="n">
        <v>45439</v>
      </c>
      <c r="G2136" t="n">
        <v>-4.162610670745827</v>
      </c>
    </row>
    <row r="2137">
      <c r="A2137" t="inlineStr">
        <is>
          <t>SEAMECLTD</t>
        </is>
      </c>
      <c r="B2137" t="inlineStr">
        <is>
          <t>Bull</t>
        </is>
      </c>
      <c r="C2137" t="n">
        <v>708.9</v>
      </c>
      <c r="D2137" s="22" t="n">
        <v>45229</v>
      </c>
      <c r="E2137" t="n">
        <v>1074.15</v>
      </c>
      <c r="F2137" s="22" t="n">
        <v>45372</v>
      </c>
      <c r="G2137" t="n">
        <v>51.52348709267882</v>
      </c>
    </row>
    <row r="2138">
      <c r="A2138" t="inlineStr">
        <is>
          <t>SEAMECLTD</t>
        </is>
      </c>
      <c r="B2138" t="inlineStr">
        <is>
          <t>Bear</t>
        </is>
      </c>
      <c r="C2138" t="n">
        <v>642</v>
      </c>
      <c r="D2138" s="22" t="n">
        <v>45162</v>
      </c>
      <c r="E2138" t="n">
        <v>668.15</v>
      </c>
      <c r="F2138" s="22" t="n">
        <v>45225</v>
      </c>
      <c r="G2138" t="n">
        <v>-4.07320872274143</v>
      </c>
    </row>
    <row r="2139">
      <c r="A2139" t="inlineStr">
        <is>
          <t>SEAMECLTD</t>
        </is>
      </c>
      <c r="B2139" t="inlineStr">
        <is>
          <t>Bull</t>
        </is>
      </c>
      <c r="C2139" t="n">
        <v>759</v>
      </c>
      <c r="D2139" s="22" t="n">
        <v>45117</v>
      </c>
      <c r="E2139" t="n">
        <v>669</v>
      </c>
      <c r="F2139" s="22" t="n">
        <v>45160</v>
      </c>
      <c r="G2139" t="n">
        <v>-11.85770750988142</v>
      </c>
    </row>
    <row r="2140">
      <c r="A2140" t="inlineStr">
        <is>
          <t>SEAMECLTD</t>
        </is>
      </c>
      <c r="B2140" t="inlineStr">
        <is>
          <t>Bear</t>
        </is>
      </c>
      <c r="C2140" t="n">
        <v>656</v>
      </c>
      <c r="D2140" s="22" t="n">
        <v>45079</v>
      </c>
      <c r="E2140" t="n">
        <v>757</v>
      </c>
      <c r="F2140" s="22" t="n">
        <v>45113</v>
      </c>
      <c r="G2140" t="n">
        <v>-15.39634146341463</v>
      </c>
    </row>
    <row r="2141">
      <c r="A2141" t="inlineStr">
        <is>
          <t>SEAMECLTD</t>
        </is>
      </c>
      <c r="B2141" t="inlineStr">
        <is>
          <t>Bull</t>
        </is>
      </c>
      <c r="C2141" t="n">
        <v>740.25</v>
      </c>
      <c r="D2141" s="22" t="n">
        <v>45057</v>
      </c>
      <c r="E2141" t="n">
        <v>665.8</v>
      </c>
      <c r="F2141" s="22" t="n">
        <v>45077</v>
      </c>
      <c r="G2141" t="n">
        <v>-10.05741303613645</v>
      </c>
    </row>
    <row r="2142">
      <c r="A2142" t="inlineStr">
        <is>
          <t>SESHAPAPER</t>
        </is>
      </c>
      <c r="B2142" t="inlineStr">
        <is>
          <t>Bear</t>
        </is>
      </c>
      <c r="C2142" t="n">
        <v>336.2</v>
      </c>
      <c r="D2142" s="22" t="n">
        <v>45568</v>
      </c>
      <c r="E2142" t="n">
        <v>306</v>
      </c>
      <c r="F2142" s="22" t="n">
        <v>45660</v>
      </c>
      <c r="G2142" t="n">
        <v>8.982748364069003</v>
      </c>
    </row>
    <row r="2143">
      <c r="A2143" t="inlineStr">
        <is>
          <t>SESHAPAPER</t>
        </is>
      </c>
      <c r="B2143" t="inlineStr">
        <is>
          <t>Bull</t>
        </is>
      </c>
      <c r="C2143" t="n">
        <v>362.55</v>
      </c>
      <c r="D2143" s="22" t="n">
        <v>45526</v>
      </c>
      <c r="E2143" t="n">
        <v>341.3</v>
      </c>
      <c r="F2143" s="22" t="n">
        <v>45565</v>
      </c>
      <c r="G2143" t="n">
        <v>-5.861260515790925</v>
      </c>
    </row>
    <row r="2144">
      <c r="A2144" t="inlineStr">
        <is>
          <t>SESHAPAPER</t>
        </is>
      </c>
      <c r="B2144" t="inlineStr">
        <is>
          <t>Bear</t>
        </is>
      </c>
      <c r="C2144" t="n">
        <v>338.3</v>
      </c>
      <c r="D2144" s="22" t="n">
        <v>45523</v>
      </c>
      <c r="E2144" t="n">
        <v>351.85</v>
      </c>
      <c r="F2144" s="22" t="n">
        <v>45524</v>
      </c>
      <c r="G2144" t="n">
        <v>-4.005320721253329</v>
      </c>
    </row>
    <row r="2145">
      <c r="A2145" t="inlineStr">
        <is>
          <t>SESHAPAPER</t>
        </is>
      </c>
      <c r="B2145" t="inlineStr">
        <is>
          <t>Bull</t>
        </is>
      </c>
      <c r="C2145" t="n">
        <v>344.1</v>
      </c>
      <c r="D2145" s="22" t="n">
        <v>45456</v>
      </c>
      <c r="E2145" t="n">
        <v>333.5</v>
      </c>
      <c r="F2145" s="22" t="n">
        <v>45518</v>
      </c>
      <c r="G2145" t="n">
        <v>-3.080499854693409</v>
      </c>
    </row>
    <row r="2146">
      <c r="A2146" t="inlineStr">
        <is>
          <t>SESHAPAPER</t>
        </is>
      </c>
      <c r="B2146" t="inlineStr">
        <is>
          <t>Bear</t>
        </is>
      </c>
      <c r="C2146" t="n">
        <v>315.15</v>
      </c>
      <c r="D2146" s="22" t="n">
        <v>45446</v>
      </c>
      <c r="E2146" t="n">
        <v>333.1</v>
      </c>
      <c r="F2146" s="22" t="n">
        <v>45454</v>
      </c>
      <c r="G2146" t="n">
        <v>-5.695700460098381</v>
      </c>
    </row>
    <row r="2147">
      <c r="A2147" t="inlineStr">
        <is>
          <t>SESHAPAPER</t>
        </is>
      </c>
      <c r="B2147" t="inlineStr">
        <is>
          <t>Bull</t>
        </is>
      </c>
      <c r="C2147" t="n">
        <v>333.3</v>
      </c>
      <c r="D2147" s="22" t="n">
        <v>45415</v>
      </c>
      <c r="E2147" t="n">
        <v>316.05</v>
      </c>
      <c r="F2147" s="22" t="n">
        <v>45442</v>
      </c>
      <c r="G2147" t="n">
        <v>-5.175517551755175</v>
      </c>
    </row>
    <row r="2148">
      <c r="A2148" t="inlineStr">
        <is>
          <t>SESHAPAPER</t>
        </is>
      </c>
      <c r="B2148" t="inlineStr">
        <is>
          <t>Bear</t>
        </is>
      </c>
      <c r="C2148" t="n">
        <v>338.55</v>
      </c>
      <c r="D2148" s="22" t="n">
        <v>45320</v>
      </c>
      <c r="E2148" t="n">
        <v>335.85</v>
      </c>
      <c r="F2148" s="22" t="n">
        <v>45412</v>
      </c>
      <c r="G2148" t="n">
        <v>0.7975188303057122</v>
      </c>
    </row>
    <row r="2149">
      <c r="A2149" t="inlineStr">
        <is>
          <t>SESHAPAPER</t>
        </is>
      </c>
      <c r="B2149" t="inlineStr">
        <is>
          <t>Bull</t>
        </is>
      </c>
      <c r="C2149" t="n">
        <v>364</v>
      </c>
      <c r="D2149" s="22" t="n">
        <v>45272</v>
      </c>
      <c r="E2149" t="n">
        <v>327.25</v>
      </c>
      <c r="F2149" s="22" t="n">
        <v>45315</v>
      </c>
      <c r="G2149" t="n">
        <v>-10.09615384615385</v>
      </c>
    </row>
    <row r="2150">
      <c r="A2150" t="inlineStr">
        <is>
          <t>SESHAPAPER</t>
        </is>
      </c>
      <c r="B2150" t="inlineStr">
        <is>
          <t>Bear</t>
        </is>
      </c>
      <c r="C2150" t="n">
        <v>331.1</v>
      </c>
      <c r="D2150" s="22" t="n">
        <v>45240</v>
      </c>
      <c r="E2150" t="n">
        <v>352.2</v>
      </c>
      <c r="F2150" s="22" t="n">
        <v>45268</v>
      </c>
      <c r="G2150" t="n">
        <v>-6.372697070371479</v>
      </c>
    </row>
    <row r="2151">
      <c r="A2151" t="inlineStr">
        <is>
          <t>SESHAPAPER</t>
        </is>
      </c>
      <c r="B2151" t="inlineStr">
        <is>
          <t>Bull</t>
        </is>
      </c>
      <c r="C2151" t="n">
        <v>307</v>
      </c>
      <c r="D2151" s="22" t="n">
        <v>45161</v>
      </c>
      <c r="E2151" t="n">
        <v>337.55</v>
      </c>
      <c r="F2151" s="22" t="n">
        <v>45238</v>
      </c>
      <c r="G2151" t="n">
        <v>9.951140065146584</v>
      </c>
    </row>
    <row r="2152">
      <c r="A2152" t="inlineStr">
        <is>
          <t>SESHAPAPER</t>
        </is>
      </c>
      <c r="B2152" t="inlineStr">
        <is>
          <t>Bear</t>
        </is>
      </c>
      <c r="C2152" t="n">
        <v>259.65</v>
      </c>
      <c r="D2152" s="22" t="n">
        <v>45142</v>
      </c>
      <c r="E2152" t="n">
        <v>290.9</v>
      </c>
      <c r="F2152" s="22" t="n">
        <v>45159</v>
      </c>
      <c r="G2152" t="n">
        <v>-12.03543231272867</v>
      </c>
    </row>
    <row r="2153">
      <c r="A2153" t="inlineStr">
        <is>
          <t>SESHAPAPER</t>
        </is>
      </c>
      <c r="B2153" t="inlineStr">
        <is>
          <t>Bull</t>
        </is>
      </c>
      <c r="C2153" t="n">
        <v>273.8</v>
      </c>
      <c r="D2153" s="22" t="n">
        <v>45042</v>
      </c>
      <c r="E2153" t="n">
        <v>270.85</v>
      </c>
      <c r="F2153" s="22" t="n">
        <v>45140</v>
      </c>
      <c r="G2153" t="n">
        <v>-1.077428780131479</v>
      </c>
    </row>
    <row r="2154">
      <c r="A2154" t="inlineStr">
        <is>
          <t>SHREDIGCEM</t>
        </is>
      </c>
      <c r="B2154" t="inlineStr">
        <is>
          <t>Bear</t>
        </is>
      </c>
      <c r="C2154" t="n">
        <v>103.78</v>
      </c>
      <c r="D2154" s="22" t="n">
        <v>45504</v>
      </c>
      <c r="E2154" t="n">
        <v>88.22</v>
      </c>
      <c r="F2154" s="22" t="n">
        <v>45660</v>
      </c>
      <c r="G2154" t="n">
        <v>14.99325496242051</v>
      </c>
    </row>
    <row r="2155">
      <c r="A2155" t="inlineStr">
        <is>
          <t>SHREDIGCEM</t>
        </is>
      </c>
      <c r="B2155" t="inlineStr">
        <is>
          <t>Bull</t>
        </is>
      </c>
      <c r="C2155" t="n">
        <v>110.66</v>
      </c>
      <c r="D2155" s="22" t="n">
        <v>45461</v>
      </c>
      <c r="E2155" t="n">
        <v>103.64</v>
      </c>
      <c r="F2155" s="22" t="n">
        <v>45502</v>
      </c>
      <c r="G2155" t="n">
        <v>-6.343755647930595</v>
      </c>
    </row>
    <row r="2156">
      <c r="A2156" t="inlineStr">
        <is>
          <t>SHREDIGCEM</t>
        </is>
      </c>
      <c r="B2156" t="inlineStr">
        <is>
          <t>Bear</t>
        </is>
      </c>
      <c r="C2156" t="n">
        <v>105.95</v>
      </c>
      <c r="D2156" s="22" t="n">
        <v>45435</v>
      </c>
      <c r="E2156" t="n">
        <v>110.41</v>
      </c>
      <c r="F2156" s="22" t="n">
        <v>45456</v>
      </c>
      <c r="G2156" t="n">
        <v>-4.209532798489848</v>
      </c>
    </row>
    <row r="2157">
      <c r="A2157" t="inlineStr">
        <is>
          <t>SHREDIGCEM</t>
        </is>
      </c>
      <c r="B2157" t="inlineStr">
        <is>
          <t>Bull</t>
        </is>
      </c>
      <c r="C2157" t="n">
        <v>117.45</v>
      </c>
      <c r="D2157" s="22" t="n">
        <v>45392</v>
      </c>
      <c r="E2157" t="n">
        <v>106.9</v>
      </c>
      <c r="F2157" s="22" t="n">
        <v>45433</v>
      </c>
      <c r="G2157" t="n">
        <v>-8.982545764154958</v>
      </c>
    </row>
    <row r="2158">
      <c r="A2158" t="inlineStr">
        <is>
          <t>SHREDIGCEM</t>
        </is>
      </c>
      <c r="B2158" t="inlineStr">
        <is>
          <t>Bear</t>
        </is>
      </c>
      <c r="C2158" t="n">
        <v>94.90000000000001</v>
      </c>
      <c r="D2158" s="22" t="n">
        <v>45364</v>
      </c>
      <c r="E2158" t="n">
        <v>112.5</v>
      </c>
      <c r="F2158" s="22" t="n">
        <v>45390</v>
      </c>
      <c r="G2158" t="n">
        <v>-18.54583772391991</v>
      </c>
    </row>
    <row r="2159">
      <c r="A2159" t="inlineStr">
        <is>
          <t>SHREDIGCEM</t>
        </is>
      </c>
      <c r="B2159" t="inlineStr">
        <is>
          <t>Bull</t>
        </is>
      </c>
      <c r="C2159" t="n">
        <v>94.59999999999999</v>
      </c>
      <c r="D2159" s="22" t="n">
        <v>45273</v>
      </c>
      <c r="E2159" t="n">
        <v>105</v>
      </c>
      <c r="F2159" s="22" t="n">
        <v>45362</v>
      </c>
      <c r="G2159" t="n">
        <v>10.99365750528542</v>
      </c>
    </row>
    <row r="2160">
      <c r="A2160" t="inlineStr">
        <is>
          <t>SHREDIGCEM</t>
        </is>
      </c>
      <c r="B2160" t="inlineStr">
        <is>
          <t>Bear</t>
        </is>
      </c>
      <c r="C2160" t="n">
        <v>86</v>
      </c>
      <c r="D2160" s="22" t="n">
        <v>45229</v>
      </c>
      <c r="E2160" t="n">
        <v>90.34999999999999</v>
      </c>
      <c r="F2160" s="22" t="n">
        <v>45271</v>
      </c>
      <c r="G2160" t="n">
        <v>-5.058139534883714</v>
      </c>
    </row>
    <row r="2161">
      <c r="A2161" t="inlineStr">
        <is>
          <t>SHREDIGCEM</t>
        </is>
      </c>
      <c r="B2161" t="inlineStr">
        <is>
          <t>Bull</t>
        </is>
      </c>
      <c r="C2161" t="n">
        <v>71.15000000000001</v>
      </c>
      <c r="D2161" s="22" t="n">
        <v>45040</v>
      </c>
      <c r="E2161" t="n">
        <v>86.3</v>
      </c>
      <c r="F2161" s="22" t="n">
        <v>45225</v>
      </c>
      <c r="G2161" t="n">
        <v>21.293042867182</v>
      </c>
    </row>
    <row r="2162">
      <c r="A2162" t="inlineStr">
        <is>
          <t>SBCL</t>
        </is>
      </c>
      <c r="B2162" t="inlineStr">
        <is>
          <t>Bear</t>
        </is>
      </c>
      <c r="C2162" t="n">
        <v>581.75</v>
      </c>
      <c r="D2162" s="22" t="n">
        <v>45615</v>
      </c>
      <c r="E2162" t="n">
        <v>594.3</v>
      </c>
      <c r="F2162" s="22" t="n">
        <v>45660</v>
      </c>
      <c r="G2162" t="n">
        <v>-2.157284056725389</v>
      </c>
    </row>
    <row r="2163">
      <c r="A2163" t="inlineStr">
        <is>
          <t>SBCL</t>
        </is>
      </c>
      <c r="B2163" t="inlineStr">
        <is>
          <t>Bull</t>
        </is>
      </c>
      <c r="C2163" t="n">
        <v>625.4</v>
      </c>
      <c r="D2163" s="22" t="n">
        <v>45562</v>
      </c>
      <c r="E2163" t="n">
        <v>600.25</v>
      </c>
      <c r="F2163" s="22" t="n">
        <v>45610</v>
      </c>
      <c r="G2163" t="n">
        <v>-4.021426287176204</v>
      </c>
    </row>
    <row r="2164">
      <c r="A2164" t="inlineStr">
        <is>
          <t>SBCL</t>
        </is>
      </c>
      <c r="B2164" t="inlineStr">
        <is>
          <t>Bear</t>
        </is>
      </c>
      <c r="C2164" t="n">
        <v>552.3</v>
      </c>
      <c r="D2164" s="22" t="n">
        <v>45533</v>
      </c>
      <c r="E2164" t="n">
        <v>596.35</v>
      </c>
      <c r="F2164" s="22" t="n">
        <v>45560</v>
      </c>
      <c r="G2164" t="n">
        <v>-7.975737823646583</v>
      </c>
    </row>
    <row r="2165">
      <c r="A2165" t="inlineStr">
        <is>
          <t>SBCL</t>
        </is>
      </c>
      <c r="B2165" t="inlineStr">
        <is>
          <t>Bull</t>
        </is>
      </c>
      <c r="C2165" t="n">
        <v>581.35</v>
      </c>
      <c r="D2165" s="22" t="n">
        <v>45471</v>
      </c>
      <c r="E2165" t="n">
        <v>579.8</v>
      </c>
      <c r="F2165" s="22" t="n">
        <v>45531</v>
      </c>
      <c r="G2165" t="n">
        <v>-0.2666207964221327</v>
      </c>
    </row>
    <row r="2166">
      <c r="A2166" t="inlineStr">
        <is>
          <t>SBCL</t>
        </is>
      </c>
      <c r="B2166" t="inlineStr">
        <is>
          <t>Bear</t>
        </is>
      </c>
      <c r="C2166" t="n">
        <v>523.35</v>
      </c>
      <c r="D2166" s="22" t="n">
        <v>45429</v>
      </c>
      <c r="E2166" t="n">
        <v>588.55</v>
      </c>
      <c r="F2166" s="22" t="n">
        <v>45469</v>
      </c>
      <c r="G2166" t="n">
        <v>-12.45820196809017</v>
      </c>
    </row>
    <row r="2167">
      <c r="A2167" t="inlineStr">
        <is>
          <t>SBCL</t>
        </is>
      </c>
      <c r="B2167" t="inlineStr">
        <is>
          <t>Bull</t>
        </is>
      </c>
      <c r="C2167" t="n">
        <v>576.8</v>
      </c>
      <c r="D2167" s="22" t="n">
        <v>45391</v>
      </c>
      <c r="E2167" t="n">
        <v>538.3</v>
      </c>
      <c r="F2167" s="22" t="n">
        <v>45427</v>
      </c>
      <c r="G2167" t="n">
        <v>-6.674757281553399</v>
      </c>
    </row>
    <row r="2168">
      <c r="A2168" t="inlineStr">
        <is>
          <t>SBCL</t>
        </is>
      </c>
      <c r="B2168" t="inlineStr">
        <is>
          <t>Bear</t>
        </is>
      </c>
      <c r="C2168" t="n">
        <v>551.35</v>
      </c>
      <c r="D2168" s="22" t="n">
        <v>45338</v>
      </c>
      <c r="E2168" t="n">
        <v>576.35</v>
      </c>
      <c r="F2168" s="22" t="n">
        <v>45387</v>
      </c>
      <c r="G2168" t="n">
        <v>-4.534324839031468</v>
      </c>
    </row>
    <row r="2169">
      <c r="A2169" t="inlineStr">
        <is>
          <t>SBCL</t>
        </is>
      </c>
      <c r="B2169" t="inlineStr">
        <is>
          <t>Bull</t>
        </is>
      </c>
      <c r="C2169" t="n">
        <v>554.95</v>
      </c>
      <c r="D2169" s="22" t="n">
        <v>45266</v>
      </c>
      <c r="E2169" t="n">
        <v>545.3</v>
      </c>
      <c r="F2169" s="22" t="n">
        <v>45336</v>
      </c>
      <c r="G2169" t="n">
        <v>-1.738895395981636</v>
      </c>
    </row>
    <row r="2170">
      <c r="A2170" t="inlineStr">
        <is>
          <t>SBCL</t>
        </is>
      </c>
      <c r="B2170" t="inlineStr">
        <is>
          <t>Bear</t>
        </is>
      </c>
      <c r="C2170" t="n">
        <v>524.25</v>
      </c>
      <c r="D2170" s="22" t="n">
        <v>45154</v>
      </c>
      <c r="E2170" t="n">
        <v>551.9</v>
      </c>
      <c r="F2170" s="22" t="n">
        <v>45264</v>
      </c>
      <c r="G2170" t="n">
        <v>-5.274201239866471</v>
      </c>
    </row>
    <row r="2171">
      <c r="A2171" t="inlineStr">
        <is>
          <t>SBCL</t>
        </is>
      </c>
      <c r="B2171" t="inlineStr">
        <is>
          <t>Bull</t>
        </is>
      </c>
      <c r="C2171" t="n">
        <v>440.75</v>
      </c>
      <c r="D2171" s="22" t="n">
        <v>44972</v>
      </c>
      <c r="E2171" t="n">
        <v>546</v>
      </c>
      <c r="F2171" s="22" t="n">
        <v>45149</v>
      </c>
      <c r="G2171" t="n">
        <v>23.87975042541123</v>
      </c>
    </row>
    <row r="2172">
      <c r="A2172" t="inlineStr">
        <is>
          <t>SHREECEM</t>
        </is>
      </c>
      <c r="B2172" t="inlineStr">
        <is>
          <t>Bull</t>
        </is>
      </c>
      <c r="C2172" t="n">
        <v>27159.35</v>
      </c>
      <c r="D2172" s="22" t="n">
        <v>45629</v>
      </c>
      <c r="E2172" t="n">
        <v>26096.25</v>
      </c>
      <c r="F2172" s="22" t="n">
        <v>45660</v>
      </c>
      <c r="G2172" t="n">
        <v>-3.914305754740075</v>
      </c>
    </row>
    <row r="2173">
      <c r="A2173" t="inlineStr">
        <is>
          <t>SHREECEM</t>
        </is>
      </c>
      <c r="B2173" t="inlineStr">
        <is>
          <t>Bear</t>
        </is>
      </c>
      <c r="C2173" t="n">
        <v>24337.05</v>
      </c>
      <c r="D2173" s="22" t="n">
        <v>45576</v>
      </c>
      <c r="E2173" t="n">
        <v>26076.45</v>
      </c>
      <c r="F2173" s="22" t="n">
        <v>45625</v>
      </c>
      <c r="G2173" t="n">
        <v>-7.147127527781722</v>
      </c>
    </row>
    <row r="2174">
      <c r="A2174" t="inlineStr">
        <is>
          <t>SHREECEM</t>
        </is>
      </c>
      <c r="B2174" t="inlineStr">
        <is>
          <t>Bull</t>
        </is>
      </c>
      <c r="C2174" t="n">
        <v>26034.2</v>
      </c>
      <c r="D2174" s="22" t="n">
        <v>45569</v>
      </c>
      <c r="E2174" t="n">
        <v>24975.05</v>
      </c>
      <c r="F2174" s="22" t="n">
        <v>45574</v>
      </c>
      <c r="G2174" t="n">
        <v>-4.068302463682392</v>
      </c>
    </row>
    <row r="2175">
      <c r="A2175" t="inlineStr">
        <is>
          <t>SHREECEM</t>
        </is>
      </c>
      <c r="B2175" t="inlineStr">
        <is>
          <t>Bear</t>
        </is>
      </c>
      <c r="C2175" t="n">
        <v>24296.6</v>
      </c>
      <c r="D2175" s="22" t="n">
        <v>45513</v>
      </c>
      <c r="E2175" t="n">
        <v>26523.25</v>
      </c>
      <c r="F2175" s="22" t="n">
        <v>45566</v>
      </c>
      <c r="G2175" t="n">
        <v>-9.164450993143081</v>
      </c>
    </row>
    <row r="2176">
      <c r="A2176" t="inlineStr">
        <is>
          <t>SHREECEM</t>
        </is>
      </c>
      <c r="B2176" t="inlineStr">
        <is>
          <t>Bull</t>
        </is>
      </c>
      <c r="C2176" t="n">
        <v>27063.85</v>
      </c>
      <c r="D2176" s="22" t="n">
        <v>45454</v>
      </c>
      <c r="E2176" t="n">
        <v>25098.6</v>
      </c>
      <c r="F2176" s="22" t="n">
        <v>45511</v>
      </c>
      <c r="G2176" t="n">
        <v>-7.261531526371895</v>
      </c>
    </row>
    <row r="2177">
      <c r="A2177" t="inlineStr">
        <is>
          <t>SHREECEM</t>
        </is>
      </c>
      <c r="B2177" t="inlineStr">
        <is>
          <t>Bear</t>
        </is>
      </c>
      <c r="C2177" t="n">
        <v>25309.25</v>
      </c>
      <c r="D2177" s="22" t="n">
        <v>45446</v>
      </c>
      <c r="E2177" t="n">
        <v>26077.5</v>
      </c>
      <c r="F2177" s="22" t="n">
        <v>45450</v>
      </c>
      <c r="G2177" t="n">
        <v>-3.035451465373332</v>
      </c>
    </row>
    <row r="2178">
      <c r="A2178" t="inlineStr">
        <is>
          <t>SHREECEM</t>
        </is>
      </c>
      <c r="B2178" t="inlineStr">
        <is>
          <t>Bull</t>
        </is>
      </c>
      <c r="C2178" t="n">
        <v>25833.45</v>
      </c>
      <c r="D2178" s="22" t="n">
        <v>45433</v>
      </c>
      <c r="E2178" t="n">
        <v>25062.35</v>
      </c>
      <c r="F2178" s="22" t="n">
        <v>45442</v>
      </c>
      <c r="G2178" t="n">
        <v>-2.984889745659221</v>
      </c>
    </row>
    <row r="2179">
      <c r="A2179" t="inlineStr">
        <is>
          <t>SHREECEM</t>
        </is>
      </c>
      <c r="B2179" t="inlineStr">
        <is>
          <t>Bear</t>
        </is>
      </c>
      <c r="C2179" t="n">
        <v>26815.3</v>
      </c>
      <c r="D2179" s="22" t="n">
        <v>45341</v>
      </c>
      <c r="E2179" t="n">
        <v>26305.8</v>
      </c>
      <c r="F2179" s="22" t="n">
        <v>45429</v>
      </c>
      <c r="G2179" t="n">
        <v>1.900034681692914</v>
      </c>
    </row>
    <row r="2180">
      <c r="A2180" t="inlineStr">
        <is>
          <t>SHREECEM</t>
        </is>
      </c>
      <c r="B2180" t="inlineStr">
        <is>
          <t>Bull</t>
        </is>
      </c>
      <c r="C2180" t="n">
        <v>28556.25</v>
      </c>
      <c r="D2180" s="22" t="n">
        <v>45322</v>
      </c>
      <c r="E2180" t="n">
        <v>26332.9</v>
      </c>
      <c r="F2180" s="22" t="n">
        <v>45337</v>
      </c>
      <c r="G2180" t="n">
        <v>-7.785861238783099</v>
      </c>
    </row>
    <row r="2181">
      <c r="A2181" t="inlineStr">
        <is>
          <t>SHREECEM</t>
        </is>
      </c>
      <c r="B2181" t="inlineStr">
        <is>
          <t>Bear</t>
        </is>
      </c>
      <c r="C2181" t="n">
        <v>27593.8</v>
      </c>
      <c r="D2181" s="22" t="n">
        <v>45311</v>
      </c>
      <c r="E2181" t="n">
        <v>28411.55</v>
      </c>
      <c r="F2181" s="22" t="n">
        <v>45320</v>
      </c>
      <c r="G2181" t="n">
        <v>-2.963528038907291</v>
      </c>
    </row>
    <row r="2182">
      <c r="A2182" t="inlineStr">
        <is>
          <t>SHREECEM</t>
        </is>
      </c>
      <c r="B2182" t="inlineStr">
        <is>
          <t>Bull</t>
        </is>
      </c>
      <c r="C2182" t="n">
        <v>25650.3</v>
      </c>
      <c r="D2182" s="22" t="n">
        <v>45175</v>
      </c>
      <c r="E2182" t="n">
        <v>26477.15</v>
      </c>
      <c r="F2182" s="22" t="n">
        <v>45309</v>
      </c>
      <c r="G2182" t="n">
        <v>3.223549042311404</v>
      </c>
    </row>
    <row r="2183">
      <c r="A2183" t="inlineStr">
        <is>
          <t>SHREECEM</t>
        </is>
      </c>
      <c r="B2183" t="inlineStr">
        <is>
          <t>Bear</t>
        </is>
      </c>
      <c r="C2183" t="n">
        <v>24125</v>
      </c>
      <c r="D2183" s="22" t="n">
        <v>45110</v>
      </c>
      <c r="E2183" t="n">
        <v>25671.55</v>
      </c>
      <c r="F2183" s="22" t="n">
        <v>45173</v>
      </c>
      <c r="G2183" t="n">
        <v>-6.410569948186525</v>
      </c>
    </row>
    <row r="2184">
      <c r="A2184" t="inlineStr">
        <is>
          <t>SHREECEM</t>
        </is>
      </c>
      <c r="B2184" t="inlineStr">
        <is>
          <t>Bull</t>
        </is>
      </c>
      <c r="C2184" t="n">
        <v>25795.6</v>
      </c>
      <c r="D2184" s="22" t="n">
        <v>45084</v>
      </c>
      <c r="E2184" t="n">
        <v>24050</v>
      </c>
      <c r="F2184" s="22" t="n">
        <v>45105</v>
      </c>
      <c r="G2184" t="n">
        <v>-6.767045542650679</v>
      </c>
    </row>
    <row r="2185">
      <c r="A2185" t="inlineStr">
        <is>
          <t>SHREECEM</t>
        </is>
      </c>
      <c r="B2185" t="inlineStr">
        <is>
          <t>Bear</t>
        </is>
      </c>
      <c r="C2185" t="n">
        <v>23962.5</v>
      </c>
      <c r="D2185" s="22" t="n">
        <v>45042</v>
      </c>
      <c r="E2185" t="n">
        <v>24820.05</v>
      </c>
      <c r="F2185" s="22" t="n">
        <v>45082</v>
      </c>
      <c r="G2185" t="n">
        <v>-3.578716744913925</v>
      </c>
    </row>
    <row r="2186">
      <c r="A2186" t="inlineStr">
        <is>
          <t>SHRIRAMFIN</t>
        </is>
      </c>
      <c r="B2186" t="inlineStr">
        <is>
          <t>Bear</t>
        </is>
      </c>
      <c r="C2186" t="n">
        <v>3147.9</v>
      </c>
      <c r="D2186" s="22" t="n">
        <v>45600</v>
      </c>
      <c r="E2186" t="n">
        <v>3048.35</v>
      </c>
      <c r="F2186" s="22" t="n">
        <v>45660</v>
      </c>
      <c r="G2186" t="n">
        <v>3.162425744146898</v>
      </c>
    </row>
    <row r="2187">
      <c r="A2187" t="inlineStr">
        <is>
          <t>SHRIRAMFIN</t>
        </is>
      </c>
      <c r="B2187" t="inlineStr">
        <is>
          <t>Bull</t>
        </is>
      </c>
      <c r="C2187" t="n">
        <v>2533</v>
      </c>
      <c r="D2187" s="22" t="n">
        <v>45454</v>
      </c>
      <c r="E2187" t="n">
        <v>3138.9</v>
      </c>
      <c r="F2187" s="22" t="n">
        <v>45596</v>
      </c>
      <c r="G2187" t="n">
        <v>23.92025266482432</v>
      </c>
    </row>
    <row r="2188">
      <c r="A2188" t="inlineStr">
        <is>
          <t>SHRIRAMFIN</t>
        </is>
      </c>
      <c r="B2188" t="inlineStr">
        <is>
          <t>Bear</t>
        </is>
      </c>
      <c r="C2188" t="n">
        <v>2370.45</v>
      </c>
      <c r="D2188" s="22" t="n">
        <v>45430</v>
      </c>
      <c r="E2188" t="n">
        <v>2497.95</v>
      </c>
      <c r="F2188" s="22" t="n">
        <v>45450</v>
      </c>
      <c r="G2188" t="n">
        <v>-5.378725558438272</v>
      </c>
    </row>
    <row r="2189">
      <c r="A2189" t="inlineStr">
        <is>
          <t>SHRIRAMFIN</t>
        </is>
      </c>
      <c r="B2189" t="inlineStr">
        <is>
          <t>Bull</t>
        </is>
      </c>
      <c r="C2189" t="n">
        <v>1295.3</v>
      </c>
      <c r="D2189" s="22" t="n">
        <v>45027</v>
      </c>
      <c r="E2189" t="n">
        <v>2338.7</v>
      </c>
      <c r="F2189" s="22" t="n">
        <v>45428</v>
      </c>
      <c r="G2189" t="n">
        <v>80.55276769860264</v>
      </c>
    </row>
    <row r="2190">
      <c r="A2190" t="inlineStr">
        <is>
          <t>SHYAMMETL</t>
        </is>
      </c>
      <c r="B2190" t="inlineStr">
        <is>
          <t>Bear</t>
        </is>
      </c>
      <c r="C2190" t="n">
        <v>796.25</v>
      </c>
      <c r="D2190" s="22" t="n">
        <v>45609</v>
      </c>
      <c r="E2190" t="n">
        <v>776.85</v>
      </c>
      <c r="F2190" s="22" t="n">
        <v>45660</v>
      </c>
      <c r="G2190" t="n">
        <v>2.436420722135005</v>
      </c>
    </row>
    <row r="2191">
      <c r="A2191" t="inlineStr">
        <is>
          <t>SHYAMMETL</t>
        </is>
      </c>
      <c r="B2191" t="inlineStr">
        <is>
          <t>Bull</t>
        </is>
      </c>
      <c r="C2191" t="n">
        <v>647.45</v>
      </c>
      <c r="D2191" s="22" t="n">
        <v>45456</v>
      </c>
      <c r="E2191" t="n">
        <v>800.85</v>
      </c>
      <c r="F2191" s="22" t="n">
        <v>45607</v>
      </c>
      <c r="G2191" t="n">
        <v>23.69294926249131</v>
      </c>
    </row>
    <row r="2192">
      <c r="A2192" t="inlineStr">
        <is>
          <t>SHYAMMETL</t>
        </is>
      </c>
      <c r="B2192" t="inlineStr">
        <is>
          <t>Bear</t>
        </is>
      </c>
      <c r="C2192" t="n">
        <v>567.45</v>
      </c>
      <c r="D2192" s="22" t="n">
        <v>45448</v>
      </c>
      <c r="E2192" t="n">
        <v>634.9</v>
      </c>
      <c r="F2192" s="22" t="n">
        <v>45454</v>
      </c>
      <c r="G2192" t="n">
        <v>-11.88650982465414</v>
      </c>
    </row>
    <row r="2193">
      <c r="A2193" t="inlineStr">
        <is>
          <t>SHYAMMETL</t>
        </is>
      </c>
      <c r="B2193" t="inlineStr">
        <is>
          <t>Bull</t>
        </is>
      </c>
      <c r="C2193" t="n">
        <v>641.05</v>
      </c>
      <c r="D2193" s="22" t="n">
        <v>45436</v>
      </c>
      <c r="E2193" t="n">
        <v>621.7</v>
      </c>
      <c r="F2193" s="22" t="n">
        <v>45446</v>
      </c>
      <c r="G2193" t="n">
        <v>-3.018485297558679</v>
      </c>
    </row>
    <row r="2194">
      <c r="A2194" t="inlineStr">
        <is>
          <t>SHYAMMETL</t>
        </is>
      </c>
      <c r="B2194" t="inlineStr">
        <is>
          <t>Bear</t>
        </is>
      </c>
      <c r="C2194" t="n">
        <v>592.15</v>
      </c>
      <c r="D2194" s="22" t="n">
        <v>45420</v>
      </c>
      <c r="E2194" t="n">
        <v>648.35</v>
      </c>
      <c r="F2194" s="22" t="n">
        <v>45434</v>
      </c>
      <c r="G2194" t="n">
        <v>-9.490838469982275</v>
      </c>
    </row>
    <row r="2195">
      <c r="A2195" t="inlineStr">
        <is>
          <t>SHYAMMETL</t>
        </is>
      </c>
      <c r="B2195" t="inlineStr">
        <is>
          <t>Bull</t>
        </is>
      </c>
      <c r="C2195" t="n">
        <v>629.05</v>
      </c>
      <c r="D2195" s="22" t="n">
        <v>45412</v>
      </c>
      <c r="E2195" t="n">
        <v>589.65</v>
      </c>
      <c r="F2195" s="22" t="n">
        <v>45418</v>
      </c>
      <c r="G2195" t="n">
        <v>-6.263413083220727</v>
      </c>
    </row>
    <row r="2196">
      <c r="A2196" t="inlineStr">
        <is>
          <t>SHYAMMETL</t>
        </is>
      </c>
      <c r="B2196" t="inlineStr">
        <is>
          <t>Bear</t>
        </is>
      </c>
      <c r="C2196" t="n">
        <v>547.35</v>
      </c>
      <c r="D2196" s="22" t="n">
        <v>45365</v>
      </c>
      <c r="E2196" t="n">
        <v>642.15</v>
      </c>
      <c r="F2196" s="22" t="n">
        <v>45408</v>
      </c>
      <c r="G2196" t="n">
        <v>-17.31981364757467</v>
      </c>
    </row>
    <row r="2197">
      <c r="A2197" t="inlineStr">
        <is>
          <t>SHYAMMETL</t>
        </is>
      </c>
      <c r="B2197" t="inlineStr">
        <is>
          <t>Bull</t>
        </is>
      </c>
      <c r="C2197" t="n">
        <v>304.8</v>
      </c>
      <c r="D2197" s="22" t="n">
        <v>45037</v>
      </c>
      <c r="E2197" t="n">
        <v>587.55</v>
      </c>
      <c r="F2197" s="22" t="n">
        <v>45363</v>
      </c>
      <c r="G2197" t="n">
        <v>92.76574803149605</v>
      </c>
    </row>
    <row r="2198">
      <c r="A2198" t="inlineStr">
        <is>
          <t>SIGACHI</t>
        </is>
      </c>
      <c r="B2198" t="inlineStr">
        <is>
          <t>Bear</t>
        </is>
      </c>
      <c r="C2198" t="n">
        <v>49.99</v>
      </c>
      <c r="D2198" s="22" t="n">
        <v>45656</v>
      </c>
      <c r="E2198" t="n">
        <v>51.51</v>
      </c>
      <c r="F2198" s="22" t="n">
        <v>45660</v>
      </c>
      <c r="G2198" t="n">
        <v>-3.040608121624317</v>
      </c>
    </row>
    <row r="2199">
      <c r="A2199" t="inlineStr">
        <is>
          <t>SIGACHI</t>
        </is>
      </c>
      <c r="B2199" t="inlineStr">
        <is>
          <t>Bull</t>
        </is>
      </c>
      <c r="C2199" t="n">
        <v>52.83</v>
      </c>
      <c r="D2199" s="22" t="n">
        <v>45638</v>
      </c>
      <c r="E2199" t="n">
        <v>50.45</v>
      </c>
      <c r="F2199" s="22" t="n">
        <v>45652</v>
      </c>
      <c r="G2199" t="n">
        <v>-4.505016089343168</v>
      </c>
    </row>
    <row r="2200">
      <c r="A2200" t="inlineStr">
        <is>
          <t>SIGACHI</t>
        </is>
      </c>
      <c r="B2200" t="inlineStr">
        <is>
          <t>Bear</t>
        </is>
      </c>
      <c r="C2200" t="n">
        <v>59.44</v>
      </c>
      <c r="D2200" s="22" t="n">
        <v>45517</v>
      </c>
      <c r="E2200" t="n">
        <v>53.71</v>
      </c>
      <c r="F2200" s="22" t="n">
        <v>45636</v>
      </c>
      <c r="G2200" t="n">
        <v>9.639973082099591</v>
      </c>
    </row>
    <row r="2201">
      <c r="A2201" t="inlineStr">
        <is>
          <t>SIGACHI</t>
        </is>
      </c>
      <c r="B2201" t="inlineStr">
        <is>
          <t>Bull</t>
        </is>
      </c>
      <c r="C2201" t="n">
        <v>61.96</v>
      </c>
      <c r="D2201" s="22" t="n">
        <v>45509</v>
      </c>
      <c r="E2201" t="n">
        <v>60.9</v>
      </c>
      <c r="F2201" s="22" t="n">
        <v>45513</v>
      </c>
      <c r="G2201" t="n">
        <v>-1.710781149128473</v>
      </c>
    </row>
    <row r="2202">
      <c r="A2202" t="inlineStr">
        <is>
          <t>SIGACHI</t>
        </is>
      </c>
      <c r="B2202" t="inlineStr">
        <is>
          <t>Bear</t>
        </is>
      </c>
      <c r="C2202" t="n">
        <v>62.05</v>
      </c>
      <c r="D2202" s="22" t="n">
        <v>45448</v>
      </c>
      <c r="E2202" t="n">
        <v>66.31999999999999</v>
      </c>
      <c r="F2202" s="22" t="n">
        <v>45505</v>
      </c>
      <c r="G2202" t="n">
        <v>-6.8815471394037</v>
      </c>
    </row>
    <row r="2203">
      <c r="A2203" t="inlineStr">
        <is>
          <t>SIGACHI</t>
        </is>
      </c>
      <c r="B2203" t="inlineStr">
        <is>
          <t>Bull</t>
        </is>
      </c>
      <c r="C2203" t="n">
        <v>71.45</v>
      </c>
      <c r="D2203" s="22" t="n">
        <v>45435</v>
      </c>
      <c r="E2203" t="n">
        <v>66.45</v>
      </c>
      <c r="F2203" s="22" t="n">
        <v>45446</v>
      </c>
      <c r="G2203" t="n">
        <v>-6.997900629811056</v>
      </c>
    </row>
    <row r="2204">
      <c r="A2204" t="inlineStr">
        <is>
          <t>SIGACHI</t>
        </is>
      </c>
      <c r="B2204" t="inlineStr">
        <is>
          <t>Bear</t>
        </is>
      </c>
      <c r="C2204" t="n">
        <v>59.05</v>
      </c>
      <c r="D2204" s="22" t="n">
        <v>45366</v>
      </c>
      <c r="E2204" t="n">
        <v>72.05</v>
      </c>
      <c r="F2204" s="22" t="n">
        <v>45433</v>
      </c>
      <c r="G2204" t="n">
        <v>-22.01524132091448</v>
      </c>
    </row>
    <row r="2205">
      <c r="A2205" t="inlineStr">
        <is>
          <t>SIGACHI</t>
        </is>
      </c>
      <c r="B2205" t="inlineStr">
        <is>
          <t>Bull</t>
        </is>
      </c>
      <c r="C2205" t="n">
        <v>26.62</v>
      </c>
      <c r="D2205" s="22" t="n">
        <v>45097</v>
      </c>
      <c r="E2205" t="n">
        <v>56.35</v>
      </c>
      <c r="F2205" s="22" t="n">
        <v>45364</v>
      </c>
      <c r="G2205" t="n">
        <v>111.6829451540195</v>
      </c>
    </row>
    <row r="2206">
      <c r="A2206" t="inlineStr">
        <is>
          <t>SIGACHI</t>
        </is>
      </c>
      <c r="B2206" t="inlineStr">
        <is>
          <t>Bear</t>
        </is>
      </c>
      <c r="C2206" t="n">
        <v>26.69</v>
      </c>
      <c r="D2206" s="22" t="n">
        <v>44971</v>
      </c>
      <c r="E2206" t="n">
        <v>25.01</v>
      </c>
      <c r="F2206" s="22" t="n">
        <v>45093</v>
      </c>
      <c r="G2206" t="n">
        <v>6.294492319220681</v>
      </c>
    </row>
    <row r="2207">
      <c r="A2207" t="inlineStr">
        <is>
          <t>SIRCA</t>
        </is>
      </c>
      <c r="B2207" t="inlineStr">
        <is>
          <t>Bear</t>
        </is>
      </c>
      <c r="C2207" t="n">
        <v>325.15</v>
      </c>
      <c r="D2207" s="22" t="n">
        <v>45646</v>
      </c>
      <c r="E2207" t="n">
        <v>332.2</v>
      </c>
      <c r="F2207" s="22" t="n">
        <v>45660</v>
      </c>
      <c r="G2207" t="n">
        <v>-2.168230047670309</v>
      </c>
    </row>
    <row r="2208">
      <c r="A2208" t="inlineStr">
        <is>
          <t>SIRCA</t>
        </is>
      </c>
      <c r="B2208" t="inlineStr">
        <is>
          <t>Bull</t>
        </is>
      </c>
      <c r="C2208" t="n">
        <v>343.1</v>
      </c>
      <c r="D2208" s="22" t="n">
        <v>45630</v>
      </c>
      <c r="E2208" t="n">
        <v>328</v>
      </c>
      <c r="F2208" s="22" t="n">
        <v>45644</v>
      </c>
      <c r="G2208" t="n">
        <v>-4.401049256776457</v>
      </c>
    </row>
    <row r="2209">
      <c r="A2209" t="inlineStr">
        <is>
          <t>SIRCA</t>
        </is>
      </c>
      <c r="B2209" t="inlineStr">
        <is>
          <t>Bear</t>
        </is>
      </c>
      <c r="C2209" t="n">
        <v>328.9</v>
      </c>
      <c r="D2209" s="22" t="n">
        <v>45622</v>
      </c>
      <c r="E2209" t="n">
        <v>347.6</v>
      </c>
      <c r="F2209" s="22" t="n">
        <v>45628</v>
      </c>
      <c r="G2209" t="n">
        <v>-5.685618729097004</v>
      </c>
    </row>
    <row r="2210">
      <c r="A2210" t="inlineStr">
        <is>
          <t>SIRCA</t>
        </is>
      </c>
      <c r="B2210" t="inlineStr">
        <is>
          <t>Bull</t>
        </is>
      </c>
      <c r="C2210" t="n">
        <v>370.85</v>
      </c>
      <c r="D2210" s="22" t="n">
        <v>45603</v>
      </c>
      <c r="E2210" t="n">
        <v>315.35</v>
      </c>
      <c r="F2210" s="22" t="n">
        <v>45618</v>
      </c>
      <c r="G2210" t="n">
        <v>-14.96561952271808</v>
      </c>
    </row>
    <row r="2211">
      <c r="A2211" t="inlineStr">
        <is>
          <t>SIRCA</t>
        </is>
      </c>
      <c r="B2211" t="inlineStr">
        <is>
          <t>Bear</t>
        </is>
      </c>
      <c r="C2211" t="n">
        <v>333.05</v>
      </c>
      <c r="D2211" s="22" t="n">
        <v>45574</v>
      </c>
      <c r="E2211" t="n">
        <v>367.05</v>
      </c>
      <c r="F2211" s="22" t="n">
        <v>45601</v>
      </c>
      <c r="G2211" t="n">
        <v>-10.2086773757694</v>
      </c>
    </row>
    <row r="2212">
      <c r="A2212" t="inlineStr">
        <is>
          <t>SIRCA</t>
        </is>
      </c>
      <c r="B2212" t="inlineStr">
        <is>
          <t>Bull</t>
        </is>
      </c>
      <c r="C2212" t="n">
        <v>351.75</v>
      </c>
      <c r="D2212" s="22" t="n">
        <v>45553</v>
      </c>
      <c r="E2212" t="n">
        <v>319.7</v>
      </c>
      <c r="F2212" s="22" t="n">
        <v>45572</v>
      </c>
      <c r="G2212" t="n">
        <v>-9.111584932480458</v>
      </c>
    </row>
    <row r="2213">
      <c r="A2213" t="inlineStr">
        <is>
          <t>SIRCA</t>
        </is>
      </c>
      <c r="B2213" t="inlineStr">
        <is>
          <t>Bear</t>
        </is>
      </c>
      <c r="C2213" t="n">
        <v>339.55</v>
      </c>
      <c r="D2213" s="22" t="n">
        <v>45526</v>
      </c>
      <c r="E2213" t="n">
        <v>342.1</v>
      </c>
      <c r="F2213" s="22" t="n">
        <v>45551</v>
      </c>
      <c r="G2213" t="n">
        <v>-0.7509939625975589</v>
      </c>
    </row>
    <row r="2214">
      <c r="A2214" t="inlineStr">
        <is>
          <t>SIRCA</t>
        </is>
      </c>
      <c r="B2214" t="inlineStr">
        <is>
          <t>Bull</t>
        </is>
      </c>
      <c r="C2214" t="n">
        <v>349.85</v>
      </c>
      <c r="D2214" s="22" t="n">
        <v>45477</v>
      </c>
      <c r="E2214" t="n">
        <v>331.95</v>
      </c>
      <c r="F2214" s="22" t="n">
        <v>45524</v>
      </c>
      <c r="G2214" t="n">
        <v>-5.116478490781773</v>
      </c>
    </row>
    <row r="2215">
      <c r="A2215" t="inlineStr">
        <is>
          <t>SIRCA</t>
        </is>
      </c>
      <c r="B2215" t="inlineStr">
        <is>
          <t>Bear</t>
        </is>
      </c>
      <c r="C2215" t="n">
        <v>377.85</v>
      </c>
      <c r="D2215" s="22" t="n">
        <v>45324</v>
      </c>
      <c r="E2215" t="n">
        <v>326.95</v>
      </c>
      <c r="F2215" s="22" t="n">
        <v>45475</v>
      </c>
      <c r="G2215" t="n">
        <v>13.4709540823078</v>
      </c>
    </row>
    <row r="2216">
      <c r="A2216" t="inlineStr">
        <is>
          <t>SIRCA</t>
        </is>
      </c>
      <c r="B2216" t="inlineStr">
        <is>
          <t>Bull</t>
        </is>
      </c>
      <c r="C2216" t="n">
        <v>393.05</v>
      </c>
      <c r="D2216" s="22" t="n">
        <v>45268</v>
      </c>
      <c r="E2216" t="n">
        <v>381.7</v>
      </c>
      <c r="F2216" s="22" t="n">
        <v>45322</v>
      </c>
      <c r="G2216" t="n">
        <v>-2.887673324004585</v>
      </c>
    </row>
    <row r="2217">
      <c r="A2217" t="inlineStr">
        <is>
          <t>SIRCA</t>
        </is>
      </c>
      <c r="B2217" t="inlineStr">
        <is>
          <t>Bear</t>
        </is>
      </c>
      <c r="C2217" t="n">
        <v>386.65</v>
      </c>
      <c r="D2217" s="22" t="n">
        <v>45212</v>
      </c>
      <c r="E2217" t="n">
        <v>387.5</v>
      </c>
      <c r="F2217" s="22" t="n">
        <v>45266</v>
      </c>
      <c r="G2217" t="n">
        <v>-0.219837061942331</v>
      </c>
    </row>
    <row r="2218">
      <c r="A2218" t="inlineStr">
        <is>
          <t>SIRCA</t>
        </is>
      </c>
      <c r="B2218" t="inlineStr">
        <is>
          <t>Bull</t>
        </is>
      </c>
      <c r="C2218" t="n">
        <v>343.75</v>
      </c>
      <c r="D2218" s="22" t="n">
        <v>45086</v>
      </c>
      <c r="E2218" t="n">
        <v>388.55</v>
      </c>
      <c r="F2218" s="22" t="n">
        <v>45210</v>
      </c>
      <c r="G2218" t="n">
        <v>13.03272727272728</v>
      </c>
    </row>
    <row r="2219">
      <c r="A2219" t="inlineStr">
        <is>
          <t>SIRCA</t>
        </is>
      </c>
      <c r="B2219" t="inlineStr">
        <is>
          <t>Bear</t>
        </is>
      </c>
      <c r="C2219" t="n">
        <v>299.55</v>
      </c>
      <c r="D2219" s="22" t="n">
        <v>45076</v>
      </c>
      <c r="E2219" t="n">
        <v>318.25</v>
      </c>
      <c r="F2219" s="22" t="n">
        <v>45084</v>
      </c>
      <c r="G2219" t="n">
        <v>-6.242697379402433</v>
      </c>
    </row>
    <row r="2220">
      <c r="A2220" t="inlineStr">
        <is>
          <t>SIRCA</t>
        </is>
      </c>
      <c r="B2220" t="inlineStr">
        <is>
          <t>Bull</t>
        </is>
      </c>
      <c r="C2220" t="n">
        <v>332.95</v>
      </c>
      <c r="D2220" s="22" t="n">
        <v>45062</v>
      </c>
      <c r="E2220" t="n">
        <v>298.95</v>
      </c>
      <c r="F2220" s="22" t="n">
        <v>45072</v>
      </c>
      <c r="G2220" t="n">
        <v>-10.21174350503079</v>
      </c>
    </row>
    <row r="2221">
      <c r="A2221" t="inlineStr">
        <is>
          <t>SIYSIL</t>
        </is>
      </c>
      <c r="B2221" t="inlineStr">
        <is>
          <t>Bull</t>
        </is>
      </c>
      <c r="C2221" t="n">
        <v>526.8</v>
      </c>
      <c r="D2221" s="22" t="n">
        <v>45576</v>
      </c>
      <c r="E2221" t="n">
        <v>949.7</v>
      </c>
      <c r="F2221" s="22" t="n">
        <v>45660</v>
      </c>
      <c r="G2221" t="n">
        <v>80.27714502657557</v>
      </c>
    </row>
    <row r="2222">
      <c r="A2222" t="inlineStr">
        <is>
          <t>SIYSIL</t>
        </is>
      </c>
      <c r="B2222" t="inlineStr">
        <is>
          <t>Bear</t>
        </is>
      </c>
      <c r="C2222" t="n">
        <v>482.15</v>
      </c>
      <c r="D2222" s="22" t="n">
        <v>45537</v>
      </c>
      <c r="E2222" t="n">
        <v>524.05</v>
      </c>
      <c r="F2222" s="22" t="n">
        <v>45574</v>
      </c>
      <c r="G2222" t="n">
        <v>-8.69024162604998</v>
      </c>
    </row>
    <row r="2223">
      <c r="A2223" t="inlineStr">
        <is>
          <t>SIYSIL</t>
        </is>
      </c>
      <c r="B2223" t="inlineStr">
        <is>
          <t>Bull</t>
        </is>
      </c>
      <c r="C2223" t="n">
        <v>493</v>
      </c>
      <c r="D2223" s="22" t="n">
        <v>45464</v>
      </c>
      <c r="E2223" t="n">
        <v>482.1</v>
      </c>
      <c r="F2223" s="22" t="n">
        <v>45533</v>
      </c>
      <c r="G2223" t="n">
        <v>-2.210953346855979</v>
      </c>
    </row>
    <row r="2224">
      <c r="A2224" t="inlineStr">
        <is>
          <t>SIYSIL</t>
        </is>
      </c>
      <c r="B2224" t="inlineStr">
        <is>
          <t>Bear</t>
        </is>
      </c>
      <c r="C2224" t="n">
        <v>526.05</v>
      </c>
      <c r="D2224" s="22" t="n">
        <v>45224</v>
      </c>
      <c r="E2224" t="n">
        <v>496.15</v>
      </c>
      <c r="F2224" s="22" t="n">
        <v>45462</v>
      </c>
      <c r="G2224" t="n">
        <v>5.683870354529033</v>
      </c>
    </row>
    <row r="2225">
      <c r="A2225" t="inlineStr">
        <is>
          <t>SIYSIL</t>
        </is>
      </c>
      <c r="B2225" t="inlineStr">
        <is>
          <t>Bull</t>
        </is>
      </c>
      <c r="C2225" t="n">
        <v>597.4</v>
      </c>
      <c r="D2225" s="22" t="n">
        <v>45180</v>
      </c>
      <c r="E2225" t="n">
        <v>551.05</v>
      </c>
      <c r="F2225" s="22" t="n">
        <v>45219</v>
      </c>
      <c r="G2225" t="n">
        <v>-7.758620689655177</v>
      </c>
    </row>
    <row r="2226">
      <c r="A2226" t="inlineStr">
        <is>
          <t>SIYSIL</t>
        </is>
      </c>
      <c r="B2226" t="inlineStr">
        <is>
          <t>Bear</t>
        </is>
      </c>
      <c r="C2226" t="n">
        <v>535.1</v>
      </c>
      <c r="D2226" s="22" t="n">
        <v>45159</v>
      </c>
      <c r="E2226" t="n">
        <v>557.7</v>
      </c>
      <c r="F2226" s="22" t="n">
        <v>45176</v>
      </c>
      <c r="G2226" t="n">
        <v>-4.223509624369281</v>
      </c>
    </row>
    <row r="2227">
      <c r="A2227" t="inlineStr">
        <is>
          <t>SIYSIL</t>
        </is>
      </c>
      <c r="B2227" t="inlineStr">
        <is>
          <t>Bull</t>
        </is>
      </c>
      <c r="C2227" t="n">
        <v>489.55</v>
      </c>
      <c r="D2227" s="22" t="n">
        <v>45044</v>
      </c>
      <c r="E2227" t="n">
        <v>528</v>
      </c>
      <c r="F2227" s="22" t="n">
        <v>45155</v>
      </c>
      <c r="G2227" t="n">
        <v>7.85415177203554</v>
      </c>
    </row>
    <row r="2228">
      <c r="A2228" t="inlineStr">
        <is>
          <t>SKFINDIA</t>
        </is>
      </c>
      <c r="B2228" t="inlineStr">
        <is>
          <t>Bear</t>
        </is>
      </c>
      <c r="C2228" t="n">
        <v>5511.9</v>
      </c>
      <c r="D2228" s="22" t="n">
        <v>45502</v>
      </c>
      <c r="E2228" t="n">
        <v>4520.55</v>
      </c>
      <c r="F2228" s="22" t="n">
        <v>45660</v>
      </c>
      <c r="G2228" t="n">
        <v>17.98563108909812</v>
      </c>
    </row>
    <row r="2229">
      <c r="A2229" t="inlineStr">
        <is>
          <t>SKFINDIA</t>
        </is>
      </c>
      <c r="B2229" t="inlineStr">
        <is>
          <t>Bull</t>
        </is>
      </c>
      <c r="C2229" t="n">
        <v>4585.4</v>
      </c>
      <c r="D2229" s="22" t="n">
        <v>45401</v>
      </c>
      <c r="E2229" t="n">
        <v>5622.35</v>
      </c>
      <c r="F2229" s="22" t="n">
        <v>45498</v>
      </c>
      <c r="G2229" t="n">
        <v>22.61416670301393</v>
      </c>
    </row>
    <row r="2230">
      <c r="A2230" t="inlineStr">
        <is>
          <t>SKFINDIA</t>
        </is>
      </c>
      <c r="B2230" t="inlineStr">
        <is>
          <t>Bear</t>
        </is>
      </c>
      <c r="C2230" t="n">
        <v>4945.05</v>
      </c>
      <c r="D2230" s="22" t="n">
        <v>45229</v>
      </c>
      <c r="E2230" t="n">
        <v>4457.7</v>
      </c>
      <c r="F2230" s="22" t="n">
        <v>45398</v>
      </c>
      <c r="G2230" t="n">
        <v>9.855309855309862</v>
      </c>
    </row>
    <row r="2231">
      <c r="A2231" t="inlineStr">
        <is>
          <t>SKFINDIA</t>
        </is>
      </c>
      <c r="B2231" t="inlineStr">
        <is>
          <t>Bull</t>
        </is>
      </c>
      <c r="C2231" t="n">
        <v>4334.25</v>
      </c>
      <c r="D2231" s="22" t="n">
        <v>45069</v>
      </c>
      <c r="E2231" t="n">
        <v>4984.05</v>
      </c>
      <c r="F2231" s="22" t="n">
        <v>45225</v>
      </c>
      <c r="G2231" t="n">
        <v>14.99221318567226</v>
      </c>
    </row>
    <row r="2232">
      <c r="A2232" t="inlineStr">
        <is>
          <t>SKFINDIA</t>
        </is>
      </c>
      <c r="B2232" t="inlineStr">
        <is>
          <t>Bear</t>
        </is>
      </c>
      <c r="C2232" t="n">
        <v>4491.4</v>
      </c>
      <c r="D2232" s="22" t="n">
        <v>44918</v>
      </c>
      <c r="E2232" t="n">
        <v>4362.35</v>
      </c>
      <c r="F2232" s="22" t="n">
        <v>45065</v>
      </c>
      <c r="G2232" t="n">
        <v>2.873268913924373</v>
      </c>
    </row>
    <row r="2233">
      <c r="A2233" t="inlineStr">
        <is>
          <t>SOMANYCERA</t>
        </is>
      </c>
      <c r="B2233" t="inlineStr">
        <is>
          <t>Bear</t>
        </is>
      </c>
      <c r="C2233" t="n">
        <v>661.3</v>
      </c>
      <c r="D2233" s="22" t="n">
        <v>45646</v>
      </c>
      <c r="E2233" t="n">
        <v>643.15</v>
      </c>
      <c r="F2233" s="22" t="n">
        <v>45660</v>
      </c>
      <c r="G2233" t="n">
        <v>2.744593981551486</v>
      </c>
    </row>
    <row r="2234">
      <c r="A2234" t="inlineStr">
        <is>
          <t>SOMANYCERA</t>
        </is>
      </c>
      <c r="B2234" t="inlineStr">
        <is>
          <t>Bull</t>
        </is>
      </c>
      <c r="C2234" t="n">
        <v>701.9</v>
      </c>
      <c r="D2234" s="22" t="n">
        <v>45638</v>
      </c>
      <c r="E2234" t="n">
        <v>652.4</v>
      </c>
      <c r="F2234" s="22" t="n">
        <v>45644</v>
      </c>
      <c r="G2234" t="n">
        <v>-7.052286650520018</v>
      </c>
    </row>
    <row r="2235">
      <c r="A2235" t="inlineStr">
        <is>
          <t>SOMANYCERA</t>
        </is>
      </c>
      <c r="B2235" t="inlineStr">
        <is>
          <t>Bear</t>
        </is>
      </c>
      <c r="C2235" t="n">
        <v>715.25</v>
      </c>
      <c r="D2235" s="22" t="n">
        <v>45516</v>
      </c>
      <c r="E2235" t="n">
        <v>698</v>
      </c>
      <c r="F2235" s="22" t="n">
        <v>45636</v>
      </c>
      <c r="G2235" t="n">
        <v>2.411744145403705</v>
      </c>
    </row>
    <row r="2236">
      <c r="A2236" t="inlineStr">
        <is>
          <t>SOMANYCERA</t>
        </is>
      </c>
      <c r="B2236" t="inlineStr">
        <is>
          <t>Bull</t>
        </is>
      </c>
      <c r="C2236" t="n">
        <v>771</v>
      </c>
      <c r="D2236" s="22" t="n">
        <v>45429</v>
      </c>
      <c r="E2236" t="n">
        <v>713.1</v>
      </c>
      <c r="F2236" s="22" t="n">
        <v>45512</v>
      </c>
      <c r="G2236" t="n">
        <v>-7.509727626459141</v>
      </c>
    </row>
    <row r="2237">
      <c r="A2237" t="inlineStr">
        <is>
          <t>SOMANYCERA</t>
        </is>
      </c>
      <c r="B2237" t="inlineStr">
        <is>
          <t>Bear</t>
        </is>
      </c>
      <c r="C2237" t="n">
        <v>676.95</v>
      </c>
      <c r="D2237" s="22" t="n">
        <v>45336</v>
      </c>
      <c r="E2237" t="n">
        <v>621.1</v>
      </c>
      <c r="F2237" s="22" t="n">
        <v>45427</v>
      </c>
      <c r="G2237" t="n">
        <v>8.25024004727085</v>
      </c>
    </row>
    <row r="2238">
      <c r="A2238" t="inlineStr">
        <is>
          <t>SOMANYCERA</t>
        </is>
      </c>
      <c r="B2238" t="inlineStr">
        <is>
          <t>Bull</t>
        </is>
      </c>
      <c r="C2238" t="n">
        <v>726.75</v>
      </c>
      <c r="D2238" s="22" t="n">
        <v>45327</v>
      </c>
      <c r="E2238" t="n">
        <v>679.9</v>
      </c>
      <c r="F2238" s="22" t="n">
        <v>45334</v>
      </c>
      <c r="G2238" t="n">
        <v>-6.446508427932579</v>
      </c>
    </row>
    <row r="2239">
      <c r="A2239" t="inlineStr">
        <is>
          <t>SOMANYCERA</t>
        </is>
      </c>
      <c r="B2239" t="inlineStr">
        <is>
          <t>Bear</t>
        </is>
      </c>
      <c r="C2239" t="n">
        <v>691.3</v>
      </c>
      <c r="D2239" s="22" t="n">
        <v>45314</v>
      </c>
      <c r="E2239" t="n">
        <v>748.4</v>
      </c>
      <c r="F2239" s="22" t="n">
        <v>45323</v>
      </c>
      <c r="G2239" t="n">
        <v>-8.259800376102998</v>
      </c>
    </row>
    <row r="2240">
      <c r="A2240" t="inlineStr">
        <is>
          <t>SOMANYCERA</t>
        </is>
      </c>
      <c r="B2240" t="inlineStr">
        <is>
          <t>Bull</t>
        </is>
      </c>
      <c r="C2240" t="n">
        <v>740.65</v>
      </c>
      <c r="D2240" s="22" t="n">
        <v>45268</v>
      </c>
      <c r="E2240" t="n">
        <v>700.9</v>
      </c>
      <c r="F2240" s="22" t="n">
        <v>45310</v>
      </c>
      <c r="G2240" t="n">
        <v>-5.366907446162155</v>
      </c>
    </row>
    <row r="2241">
      <c r="A2241" t="inlineStr">
        <is>
          <t>SOMANYCERA</t>
        </is>
      </c>
      <c r="B2241" t="inlineStr">
        <is>
          <t>Bear</t>
        </is>
      </c>
      <c r="C2241" t="n">
        <v>691.5</v>
      </c>
      <c r="D2241" s="22" t="n">
        <v>45197</v>
      </c>
      <c r="E2241" t="n">
        <v>722.35</v>
      </c>
      <c r="F2241" s="22" t="n">
        <v>45266</v>
      </c>
      <c r="G2241" t="n">
        <v>-4.461315979754161</v>
      </c>
    </row>
    <row r="2242">
      <c r="A2242" t="inlineStr">
        <is>
          <t>SOMANYCERA</t>
        </is>
      </c>
      <c r="B2242" t="inlineStr">
        <is>
          <t>Bull</t>
        </is>
      </c>
      <c r="C2242" t="n">
        <v>529.8</v>
      </c>
      <c r="D2242" s="22" t="n">
        <v>45051</v>
      </c>
      <c r="E2242" t="n">
        <v>700.25</v>
      </c>
      <c r="F2242" s="22" t="n">
        <v>45195</v>
      </c>
      <c r="G2242" t="n">
        <v>32.17251793129484</v>
      </c>
    </row>
    <row r="2243">
      <c r="A2243" t="inlineStr">
        <is>
          <t>SRF</t>
        </is>
      </c>
      <c r="B2243" t="inlineStr">
        <is>
          <t>Bear</t>
        </is>
      </c>
      <c r="C2243" t="n">
        <v>2439.95</v>
      </c>
      <c r="D2243" s="22" t="n">
        <v>45558</v>
      </c>
      <c r="E2243" t="n">
        <v>2284.9</v>
      </c>
      <c r="F2243" s="22" t="n">
        <v>45660</v>
      </c>
      <c r="G2243" t="n">
        <v>6.354638414721602</v>
      </c>
    </row>
    <row r="2244">
      <c r="A2244" t="inlineStr">
        <is>
          <t>SRF</t>
        </is>
      </c>
      <c r="B2244" t="inlineStr">
        <is>
          <t>Bull</t>
        </is>
      </c>
      <c r="C2244" t="n">
        <v>2509.05</v>
      </c>
      <c r="D2244" s="22" t="n">
        <v>45502</v>
      </c>
      <c r="E2244" t="n">
        <v>2402</v>
      </c>
      <c r="F2244" s="22" t="n">
        <v>45554</v>
      </c>
      <c r="G2244" t="n">
        <v>-4.266555070644275</v>
      </c>
    </row>
    <row r="2245">
      <c r="A2245" t="inlineStr">
        <is>
          <t>SRF</t>
        </is>
      </c>
      <c r="B2245" t="inlineStr">
        <is>
          <t>Bear</t>
        </is>
      </c>
      <c r="C2245" t="n">
        <v>2367.65</v>
      </c>
      <c r="D2245" s="22" t="n">
        <v>45497</v>
      </c>
      <c r="E2245" t="n">
        <v>2399.8</v>
      </c>
      <c r="F2245" s="22" t="n">
        <v>45498</v>
      </c>
      <c r="G2245" t="n">
        <v>-1.357886511942225</v>
      </c>
    </row>
    <row r="2246">
      <c r="A2246" t="inlineStr">
        <is>
          <t>SRF</t>
        </is>
      </c>
      <c r="B2246" t="inlineStr">
        <is>
          <t>Bull</t>
        </is>
      </c>
      <c r="C2246" t="n">
        <v>2462.4</v>
      </c>
      <c r="D2246" s="22" t="n">
        <v>45474</v>
      </c>
      <c r="E2246" t="n">
        <v>2367.55</v>
      </c>
      <c r="F2246" s="22" t="n">
        <v>45495</v>
      </c>
      <c r="G2246" t="n">
        <v>-3.851933073424298</v>
      </c>
    </row>
    <row r="2247">
      <c r="A2247" t="inlineStr">
        <is>
          <t>SRF</t>
        </is>
      </c>
      <c r="B2247" t="inlineStr">
        <is>
          <t>Bear</t>
        </is>
      </c>
      <c r="C2247" t="n">
        <v>2286.75</v>
      </c>
      <c r="D2247" s="22" t="n">
        <v>45426</v>
      </c>
      <c r="E2247" t="n">
        <v>2458.85</v>
      </c>
      <c r="F2247" s="22" t="n">
        <v>45470</v>
      </c>
      <c r="G2247" t="n">
        <v>-7.525964797201263</v>
      </c>
    </row>
    <row r="2248">
      <c r="A2248" t="inlineStr">
        <is>
          <t>SRF</t>
        </is>
      </c>
      <c r="B2248" t="inlineStr">
        <is>
          <t>Bull</t>
        </is>
      </c>
      <c r="C2248" t="n">
        <v>2400.55</v>
      </c>
      <c r="D2248" s="22" t="n">
        <v>45348</v>
      </c>
      <c r="E2248" t="n">
        <v>2278.05</v>
      </c>
      <c r="F2248" s="22" t="n">
        <v>45422</v>
      </c>
      <c r="G2248" t="n">
        <v>-5.102997229801503</v>
      </c>
    </row>
    <row r="2249">
      <c r="A2249" t="inlineStr">
        <is>
          <t>SRF</t>
        </is>
      </c>
      <c r="B2249" t="inlineStr">
        <is>
          <t>Bear</t>
        </is>
      </c>
      <c r="C2249" t="n">
        <v>2309</v>
      </c>
      <c r="D2249" s="22" t="n">
        <v>45310</v>
      </c>
      <c r="E2249" t="n">
        <v>2409</v>
      </c>
      <c r="F2249" s="22" t="n">
        <v>45344</v>
      </c>
      <c r="G2249" t="n">
        <v>-4.330879168471199</v>
      </c>
    </row>
    <row r="2250">
      <c r="A2250" t="inlineStr">
        <is>
          <t>SRF</t>
        </is>
      </c>
      <c r="B2250" t="inlineStr">
        <is>
          <t>Bull</t>
        </is>
      </c>
      <c r="C2250" t="n">
        <v>2336.95</v>
      </c>
      <c r="D2250" s="22" t="n">
        <v>45243</v>
      </c>
      <c r="E2250" t="n">
        <v>2309.6</v>
      </c>
      <c r="F2250" s="22" t="n">
        <v>45308</v>
      </c>
      <c r="G2250" t="n">
        <v>-1.170328847429338</v>
      </c>
    </row>
    <row r="2251">
      <c r="A2251" t="inlineStr">
        <is>
          <t>SRF</t>
        </is>
      </c>
      <c r="B2251" t="inlineStr">
        <is>
          <t>Bear</t>
        </is>
      </c>
      <c r="C2251" t="n">
        <v>2249.4</v>
      </c>
      <c r="D2251" s="22" t="n">
        <v>45198</v>
      </c>
      <c r="E2251" t="n">
        <v>2351.2</v>
      </c>
      <c r="F2251" s="22" t="n">
        <v>45240</v>
      </c>
      <c r="G2251" t="n">
        <v>-4.525651284787042</v>
      </c>
    </row>
    <row r="2252">
      <c r="A2252" t="inlineStr">
        <is>
          <t>SRF</t>
        </is>
      </c>
      <c r="B2252" t="inlineStr">
        <is>
          <t>Bull</t>
        </is>
      </c>
      <c r="C2252" t="n">
        <v>2360</v>
      </c>
      <c r="D2252" s="22" t="n">
        <v>45169</v>
      </c>
      <c r="E2252" t="n">
        <v>2261.7</v>
      </c>
      <c r="F2252" s="22" t="n">
        <v>45196</v>
      </c>
      <c r="G2252" t="n">
        <v>-4.165254237288144</v>
      </c>
    </row>
    <row r="2253">
      <c r="A2253" t="inlineStr">
        <is>
          <t>SRF</t>
        </is>
      </c>
      <c r="B2253" t="inlineStr">
        <is>
          <t>Bear</t>
        </is>
      </c>
      <c r="C2253" t="n">
        <v>2397.8</v>
      </c>
      <c r="D2253" s="22" t="n">
        <v>45093</v>
      </c>
      <c r="E2253" t="n">
        <v>2378</v>
      </c>
      <c r="F2253" s="22" t="n">
        <v>45167</v>
      </c>
      <c r="G2253" t="n">
        <v>0.8257569438652173</v>
      </c>
    </row>
    <row r="2254">
      <c r="A2254" t="inlineStr">
        <is>
          <t>SRF</t>
        </is>
      </c>
      <c r="B2254" t="inlineStr">
        <is>
          <t>Bull</t>
        </is>
      </c>
      <c r="C2254" t="n">
        <v>2292.55</v>
      </c>
      <c r="D2254" s="22" t="n">
        <v>44995</v>
      </c>
      <c r="E2254" t="n">
        <v>2350.7</v>
      </c>
      <c r="F2254" s="22" t="n">
        <v>45091</v>
      </c>
      <c r="G2254" t="n">
        <v>2.536476848923672</v>
      </c>
    </row>
    <row r="2255">
      <c r="A2255" t="inlineStr">
        <is>
          <t>SBIN</t>
        </is>
      </c>
      <c r="B2255" t="inlineStr">
        <is>
          <t>Bear</t>
        </is>
      </c>
      <c r="C2255" t="n">
        <v>794.95</v>
      </c>
      <c r="D2255" s="22" t="n">
        <v>45657</v>
      </c>
      <c r="E2255" t="n">
        <v>793.4</v>
      </c>
      <c r="F2255" s="22" t="n">
        <v>45660</v>
      </c>
      <c r="G2255" t="n">
        <v>0.194980816403556</v>
      </c>
    </row>
    <row r="2256">
      <c r="A2256" t="inlineStr">
        <is>
          <t>SBIN</t>
        </is>
      </c>
      <c r="B2256" t="inlineStr">
        <is>
          <t>Bull</t>
        </is>
      </c>
      <c r="C2256" t="n">
        <v>829.85</v>
      </c>
      <c r="D2256" s="22" t="n">
        <v>45600</v>
      </c>
      <c r="E2256" t="n">
        <v>799.65</v>
      </c>
      <c r="F2256" s="22" t="n">
        <v>45653</v>
      </c>
      <c r="G2256" t="n">
        <v>-3.639211905766108</v>
      </c>
    </row>
    <row r="2257">
      <c r="A2257" t="inlineStr">
        <is>
          <t>SBIN</t>
        </is>
      </c>
      <c r="B2257" t="inlineStr">
        <is>
          <t>Bear</t>
        </is>
      </c>
      <c r="C2257" t="n">
        <v>797.55</v>
      </c>
      <c r="D2257" s="22" t="n">
        <v>45517</v>
      </c>
      <c r="E2257" t="n">
        <v>820.2</v>
      </c>
      <c r="F2257" s="22" t="n">
        <v>45596</v>
      </c>
      <c r="G2257" t="n">
        <v>-2.839947338724857</v>
      </c>
    </row>
    <row r="2258">
      <c r="A2258" t="inlineStr">
        <is>
          <t>SBIN</t>
        </is>
      </c>
      <c r="B2258" t="inlineStr">
        <is>
          <t>Bull</t>
        </is>
      </c>
      <c r="C2258" t="n">
        <v>611.7</v>
      </c>
      <c r="D2258" s="22" t="n">
        <v>45267</v>
      </c>
      <c r="E2258" t="n">
        <v>824.3</v>
      </c>
      <c r="F2258" s="22" t="n">
        <v>45513</v>
      </c>
      <c r="G2258" t="n">
        <v>34.75559914991007</v>
      </c>
    </row>
    <row r="2259">
      <c r="A2259" t="inlineStr">
        <is>
          <t>SBIN</t>
        </is>
      </c>
      <c r="B2259" t="inlineStr">
        <is>
          <t>Bear</t>
        </is>
      </c>
      <c r="C2259" t="n">
        <v>571.2</v>
      </c>
      <c r="D2259" s="22" t="n">
        <v>45218</v>
      </c>
      <c r="E2259" t="n">
        <v>608.25</v>
      </c>
      <c r="F2259" s="22" t="n">
        <v>45265</v>
      </c>
      <c r="G2259" t="n">
        <v>-6.486344537815117</v>
      </c>
    </row>
    <row r="2260">
      <c r="A2260" t="inlineStr">
        <is>
          <t>SBIN</t>
        </is>
      </c>
      <c r="B2260" t="inlineStr">
        <is>
          <t>Bull</t>
        </is>
      </c>
      <c r="C2260" t="n">
        <v>598.8</v>
      </c>
      <c r="D2260" s="22" t="n">
        <v>45184</v>
      </c>
      <c r="E2260" t="n">
        <v>576.45</v>
      </c>
      <c r="F2260" s="22" t="n">
        <v>45216</v>
      </c>
      <c r="G2260" t="n">
        <v>-3.732464929859705</v>
      </c>
    </row>
    <row r="2261">
      <c r="A2261" t="inlineStr">
        <is>
          <t>SBIN</t>
        </is>
      </c>
      <c r="B2261" t="inlineStr">
        <is>
          <t>Bear</t>
        </is>
      </c>
      <c r="C2261" t="n">
        <v>571.25</v>
      </c>
      <c r="D2261" s="22" t="n">
        <v>45155</v>
      </c>
      <c r="E2261" t="n">
        <v>596.45</v>
      </c>
      <c r="F2261" s="22" t="n">
        <v>45182</v>
      </c>
      <c r="G2261" t="n">
        <v>-4.411378555798695</v>
      </c>
    </row>
    <row r="2262">
      <c r="A2262" t="inlineStr">
        <is>
          <t>SBIN</t>
        </is>
      </c>
      <c r="B2262" t="inlineStr">
        <is>
          <t>Bull</t>
        </is>
      </c>
      <c r="C2262" t="n">
        <v>564.75</v>
      </c>
      <c r="D2262" s="22" t="n">
        <v>45043</v>
      </c>
      <c r="E2262" t="n">
        <v>561</v>
      </c>
      <c r="F2262" s="22" t="n">
        <v>45152</v>
      </c>
      <c r="G2262" t="n">
        <v>-0.6640106241699867</v>
      </c>
    </row>
    <row r="2263">
      <c r="A2263" t="inlineStr">
        <is>
          <t>STARCEMENT</t>
        </is>
      </c>
      <c r="B2263" t="inlineStr">
        <is>
          <t>Bull</t>
        </is>
      </c>
      <c r="C2263" t="n">
        <v>225.04</v>
      </c>
      <c r="D2263" s="22" t="n">
        <v>45642</v>
      </c>
      <c r="E2263" t="n">
        <v>227.97</v>
      </c>
      <c r="F2263" s="22" t="n">
        <v>45660</v>
      </c>
      <c r="G2263" t="n">
        <v>1.301990757198723</v>
      </c>
    </row>
    <row r="2264">
      <c r="A2264" t="inlineStr">
        <is>
          <t>STARCEMENT</t>
        </is>
      </c>
      <c r="B2264" t="inlineStr">
        <is>
          <t>Bear</t>
        </is>
      </c>
      <c r="C2264" t="n">
        <v>206.99</v>
      </c>
      <c r="D2264" s="22" t="n">
        <v>45560</v>
      </c>
      <c r="E2264" t="n">
        <v>220.24</v>
      </c>
      <c r="F2264" s="22" t="n">
        <v>45638</v>
      </c>
      <c r="G2264" t="n">
        <v>-6.401275423933524</v>
      </c>
    </row>
    <row r="2265">
      <c r="A2265" t="inlineStr">
        <is>
          <t>STARCEMENT</t>
        </is>
      </c>
      <c r="B2265" t="inlineStr">
        <is>
          <t>Bull</t>
        </is>
      </c>
      <c r="C2265" t="n">
        <v>222.65</v>
      </c>
      <c r="D2265" s="22" t="n">
        <v>45527</v>
      </c>
      <c r="E2265" t="n">
        <v>209.9</v>
      </c>
      <c r="F2265" s="22" t="n">
        <v>45558</v>
      </c>
      <c r="G2265" t="n">
        <v>-5.726476532674601</v>
      </c>
    </row>
    <row r="2266">
      <c r="A2266" t="inlineStr">
        <is>
          <t>STARCEMENT</t>
        </is>
      </c>
      <c r="B2266" t="inlineStr">
        <is>
          <t>Bear</t>
        </is>
      </c>
      <c r="C2266" t="n">
        <v>211.6</v>
      </c>
      <c r="D2266" s="22" t="n">
        <v>45448</v>
      </c>
      <c r="E2266" t="n">
        <v>224.79</v>
      </c>
      <c r="F2266" s="22" t="n">
        <v>45525</v>
      </c>
      <c r="G2266" t="n">
        <v>-6.233459357277882</v>
      </c>
    </row>
    <row r="2267">
      <c r="A2267" t="inlineStr">
        <is>
          <t>STARCEMENT</t>
        </is>
      </c>
      <c r="B2267" t="inlineStr">
        <is>
          <t>Bull</t>
        </is>
      </c>
      <c r="C2267" t="n">
        <v>114.35</v>
      </c>
      <c r="D2267" s="22" t="n">
        <v>45026</v>
      </c>
      <c r="E2267" t="n">
        <v>215.15</v>
      </c>
      <c r="F2267" s="22" t="n">
        <v>45446</v>
      </c>
      <c r="G2267" t="n">
        <v>88.15041539134239</v>
      </c>
    </row>
    <row r="2268">
      <c r="A2268" t="inlineStr">
        <is>
          <t>STERTOOLS</t>
        </is>
      </c>
      <c r="B2268" t="inlineStr">
        <is>
          <t>Bull</t>
        </is>
      </c>
      <c r="C2268" t="n">
        <v>354.45</v>
      </c>
      <c r="D2268" s="22" t="n">
        <v>45408</v>
      </c>
      <c r="E2268" t="n">
        <v>554.15</v>
      </c>
      <c r="F2268" s="22" t="n">
        <v>45660</v>
      </c>
      <c r="G2268" t="n">
        <v>56.34080970517703</v>
      </c>
    </row>
    <row r="2269">
      <c r="A2269" t="inlineStr">
        <is>
          <t>STERTOOLS</t>
        </is>
      </c>
      <c r="B2269" t="inlineStr">
        <is>
          <t>Bear</t>
        </is>
      </c>
      <c r="C2269" t="n">
        <v>354.7</v>
      </c>
      <c r="D2269" s="22" t="n">
        <v>45336</v>
      </c>
      <c r="E2269" t="n">
        <v>357.25</v>
      </c>
      <c r="F2269" s="22" t="n">
        <v>45406</v>
      </c>
      <c r="G2269" t="n">
        <v>-0.7189173949816779</v>
      </c>
    </row>
    <row r="2270">
      <c r="A2270" t="inlineStr">
        <is>
          <t>STERTOOLS</t>
        </is>
      </c>
      <c r="B2270" t="inlineStr">
        <is>
          <t>Bull</t>
        </is>
      </c>
      <c r="C2270" t="n">
        <v>384.9</v>
      </c>
      <c r="D2270" s="22" t="n">
        <v>45295</v>
      </c>
      <c r="E2270" t="n">
        <v>337.5</v>
      </c>
      <c r="F2270" s="22" t="n">
        <v>45334</v>
      </c>
      <c r="G2270" t="n">
        <v>-12.31488698363211</v>
      </c>
    </row>
    <row r="2271">
      <c r="A2271" t="inlineStr">
        <is>
          <t>STERTOOLS</t>
        </is>
      </c>
      <c r="B2271" t="inlineStr">
        <is>
          <t>Bear</t>
        </is>
      </c>
      <c r="C2271" t="n">
        <v>363.8</v>
      </c>
      <c r="D2271" s="22" t="n">
        <v>45229</v>
      </c>
      <c r="E2271" t="n">
        <v>361.55</v>
      </c>
      <c r="F2271" s="22" t="n">
        <v>45293</v>
      </c>
      <c r="G2271" t="n">
        <v>0.6184716877405168</v>
      </c>
    </row>
    <row r="2272">
      <c r="A2272" t="inlineStr">
        <is>
          <t>STERTOOLS</t>
        </is>
      </c>
      <c r="B2272" t="inlineStr">
        <is>
          <t>Bull</t>
        </is>
      </c>
      <c r="C2272" t="n">
        <v>378.65</v>
      </c>
      <c r="D2272" s="22" t="n">
        <v>45173</v>
      </c>
      <c r="E2272" t="n">
        <v>345.5</v>
      </c>
      <c r="F2272" s="22" t="n">
        <v>45225</v>
      </c>
      <c r="G2272" t="n">
        <v>-8.754786742374218</v>
      </c>
    </row>
    <row r="2273">
      <c r="A2273" t="inlineStr">
        <is>
          <t>STERTOOLS</t>
        </is>
      </c>
      <c r="B2273" t="inlineStr">
        <is>
          <t>Bear</t>
        </is>
      </c>
      <c r="C2273" t="n">
        <v>348.35</v>
      </c>
      <c r="D2273" s="22" t="n">
        <v>45064</v>
      </c>
      <c r="E2273" t="n">
        <v>372.1</v>
      </c>
      <c r="F2273" s="22" t="n">
        <v>45169</v>
      </c>
      <c r="G2273" t="n">
        <v>-6.817855604994976</v>
      </c>
    </row>
    <row r="2274">
      <c r="A2274" t="inlineStr">
        <is>
          <t>STERTOOLS</t>
        </is>
      </c>
      <c r="B2274" t="inlineStr">
        <is>
          <t>Bull</t>
        </is>
      </c>
      <c r="C2274" t="n">
        <v>254.75</v>
      </c>
      <c r="D2274" s="22" t="n">
        <v>44866</v>
      </c>
      <c r="E2274" t="n">
        <v>357.45</v>
      </c>
      <c r="F2274" s="22" t="n">
        <v>45062</v>
      </c>
      <c r="G2274" t="n">
        <v>40.31403336604514</v>
      </c>
    </row>
    <row r="2275">
      <c r="A2275" t="inlineStr">
        <is>
          <t>STYLAMIND</t>
        </is>
      </c>
      <c r="B2275" t="inlineStr">
        <is>
          <t>Bull</t>
        </is>
      </c>
      <c r="C2275" t="n">
        <v>1671.45</v>
      </c>
      <c r="D2275" s="22" t="n">
        <v>45463</v>
      </c>
      <c r="E2275" t="n">
        <v>2303.05</v>
      </c>
      <c r="F2275" s="22" t="n">
        <v>45660</v>
      </c>
      <c r="G2275" t="n">
        <v>37.7875497322684</v>
      </c>
    </row>
    <row r="2276">
      <c r="A2276" t="inlineStr">
        <is>
          <t>STYLAMIND</t>
        </is>
      </c>
      <c r="B2276" t="inlineStr">
        <is>
          <t>Bear</t>
        </is>
      </c>
      <c r="C2276" t="n">
        <v>1583.65</v>
      </c>
      <c r="D2276" s="22" t="n">
        <v>45425</v>
      </c>
      <c r="E2276" t="n">
        <v>1671.85</v>
      </c>
      <c r="F2276" s="22" t="n">
        <v>45461</v>
      </c>
      <c r="G2276" t="n">
        <v>-5.569412433302801</v>
      </c>
    </row>
    <row r="2277">
      <c r="A2277" t="inlineStr">
        <is>
          <t>STYLAMIND</t>
        </is>
      </c>
      <c r="B2277" t="inlineStr">
        <is>
          <t>Bull</t>
        </is>
      </c>
      <c r="C2277" t="n">
        <v>1706.9</v>
      </c>
      <c r="D2277" s="22" t="n">
        <v>45392</v>
      </c>
      <c r="E2277" t="n">
        <v>1592.95</v>
      </c>
      <c r="F2277" s="22" t="n">
        <v>45421</v>
      </c>
      <c r="G2277" t="n">
        <v>-6.675845099302832</v>
      </c>
    </row>
    <row r="2278">
      <c r="A2278" t="inlineStr">
        <is>
          <t>STYLAMIND</t>
        </is>
      </c>
      <c r="B2278" t="inlineStr">
        <is>
          <t>Bear</t>
        </is>
      </c>
      <c r="C2278" t="n">
        <v>1705</v>
      </c>
      <c r="D2278" s="22" t="n">
        <v>45292</v>
      </c>
      <c r="E2278" t="n">
        <v>1714.05</v>
      </c>
      <c r="F2278" s="22" t="n">
        <v>45390</v>
      </c>
      <c r="G2278" t="n">
        <v>-0.5307917888563023</v>
      </c>
    </row>
    <row r="2279">
      <c r="A2279" t="inlineStr">
        <is>
          <t>STYLAMIND</t>
        </is>
      </c>
      <c r="B2279" t="inlineStr">
        <is>
          <t>Bull</t>
        </is>
      </c>
      <c r="C2279" t="n">
        <v>1720.95</v>
      </c>
      <c r="D2279" s="22" t="n">
        <v>45240</v>
      </c>
      <c r="E2279" t="n">
        <v>1730</v>
      </c>
      <c r="F2279" s="22" t="n">
        <v>45288</v>
      </c>
      <c r="G2279" t="n">
        <v>0.5258723379528721</v>
      </c>
    </row>
    <row r="2280">
      <c r="A2280" t="inlineStr">
        <is>
          <t>STYLAMIND</t>
        </is>
      </c>
      <c r="B2280" t="inlineStr">
        <is>
          <t>Bear</t>
        </is>
      </c>
      <c r="C2280" t="n">
        <v>1661</v>
      </c>
      <c r="D2280" s="22" t="n">
        <v>45226</v>
      </c>
      <c r="E2280" t="n">
        <v>1736</v>
      </c>
      <c r="F2280" s="22" t="n">
        <v>45238</v>
      </c>
      <c r="G2280" t="n">
        <v>-4.515352197471403</v>
      </c>
    </row>
    <row r="2281">
      <c r="A2281" t="inlineStr">
        <is>
          <t>STYLAMIND</t>
        </is>
      </c>
      <c r="B2281" t="inlineStr">
        <is>
          <t>Bull</t>
        </is>
      </c>
      <c r="C2281" t="n">
        <v>1120.95</v>
      </c>
      <c r="D2281" s="22" t="n">
        <v>45041</v>
      </c>
      <c r="E2281" t="n">
        <v>1576</v>
      </c>
      <c r="F2281" s="22" t="n">
        <v>45224</v>
      </c>
      <c r="G2281" t="n">
        <v>40.59503100049065</v>
      </c>
    </row>
    <row r="2282">
      <c r="A2282" t="inlineStr">
        <is>
          <t>STYRENIX</t>
        </is>
      </c>
      <c r="B2282" t="inlineStr">
        <is>
          <t>Bull</t>
        </is>
      </c>
      <c r="C2282" t="n">
        <v>2757.55</v>
      </c>
      <c r="D2282" s="22" t="n">
        <v>45632</v>
      </c>
      <c r="E2282" t="n">
        <v>2954.65</v>
      </c>
      <c r="F2282" s="22" t="n">
        <v>45660</v>
      </c>
      <c r="G2282" t="n">
        <v>7.147649181338503</v>
      </c>
    </row>
    <row r="2283">
      <c r="A2283" t="inlineStr">
        <is>
          <t>STYRENIX</t>
        </is>
      </c>
      <c r="B2283" t="inlineStr">
        <is>
          <t>Bear</t>
        </is>
      </c>
      <c r="C2283" t="n">
        <v>2374.2</v>
      </c>
      <c r="D2283" s="22" t="n">
        <v>45610</v>
      </c>
      <c r="E2283" t="n">
        <v>2513.4</v>
      </c>
      <c r="F2283" s="22" t="n">
        <v>45630</v>
      </c>
      <c r="G2283" t="n">
        <v>-5.863027546120811</v>
      </c>
    </row>
    <row r="2284">
      <c r="A2284" t="inlineStr">
        <is>
          <t>STYRENIX</t>
        </is>
      </c>
      <c r="B2284" t="inlineStr">
        <is>
          <t>Bull</t>
        </is>
      </c>
      <c r="C2284" t="n">
        <v>2481.65</v>
      </c>
      <c r="D2284" s="22" t="n">
        <v>45608</v>
      </c>
      <c r="E2284" t="n">
        <v>2481.65</v>
      </c>
      <c r="F2284" s="22" t="n">
        <v>45608</v>
      </c>
      <c r="G2284" t="n">
        <v>0</v>
      </c>
    </row>
    <row r="2285">
      <c r="A2285" t="inlineStr">
        <is>
          <t>STYRENIX</t>
        </is>
      </c>
      <c r="B2285" t="inlineStr">
        <is>
          <t>Bear</t>
        </is>
      </c>
      <c r="C2285" t="n">
        <v>2430.9</v>
      </c>
      <c r="D2285" s="22" t="n">
        <v>45593</v>
      </c>
      <c r="E2285" t="n">
        <v>2528.6</v>
      </c>
      <c r="F2285" s="22" t="n">
        <v>45604</v>
      </c>
      <c r="G2285" t="n">
        <v>-4.019087580731409</v>
      </c>
    </row>
    <row r="2286">
      <c r="A2286" t="inlineStr">
        <is>
          <t>STYRENIX</t>
        </is>
      </c>
      <c r="B2286" t="inlineStr">
        <is>
          <t>Bull</t>
        </is>
      </c>
      <c r="C2286" t="n">
        <v>2539.65</v>
      </c>
      <c r="D2286" s="22" t="n">
        <v>45582</v>
      </c>
      <c r="E2286" t="n">
        <v>2430.4</v>
      </c>
      <c r="F2286" s="22" t="n">
        <v>45589</v>
      </c>
      <c r="G2286" t="n">
        <v>-4.301773866477665</v>
      </c>
    </row>
    <row r="2287">
      <c r="A2287" t="inlineStr">
        <is>
          <t>STYRENIX</t>
        </is>
      </c>
      <c r="B2287" t="inlineStr">
        <is>
          <t>Bear</t>
        </is>
      </c>
      <c r="C2287" t="n">
        <v>2406.8</v>
      </c>
      <c r="D2287" s="22" t="n">
        <v>45574</v>
      </c>
      <c r="E2287" t="n">
        <v>2650.95</v>
      </c>
      <c r="F2287" s="22" t="n">
        <v>45580</v>
      </c>
      <c r="G2287" t="n">
        <v>-10.1441748379591</v>
      </c>
    </row>
    <row r="2288">
      <c r="A2288" t="inlineStr">
        <is>
          <t>STYRENIX</t>
        </is>
      </c>
      <c r="B2288" t="inlineStr">
        <is>
          <t>Bull</t>
        </is>
      </c>
      <c r="C2288" t="n">
        <v>1523.25</v>
      </c>
      <c r="D2288" s="22" t="n">
        <v>45390</v>
      </c>
      <c r="E2288" t="n">
        <v>2368.5</v>
      </c>
      <c r="F2288" s="22" t="n">
        <v>45572</v>
      </c>
      <c r="G2288" t="n">
        <v>55.48990645002462</v>
      </c>
    </row>
    <row r="2289">
      <c r="A2289" t="inlineStr">
        <is>
          <t>STYRENIX</t>
        </is>
      </c>
      <c r="B2289" t="inlineStr">
        <is>
          <t>Bear</t>
        </is>
      </c>
      <c r="C2289" t="n">
        <v>1445.85</v>
      </c>
      <c r="D2289" s="22" t="n">
        <v>45353</v>
      </c>
      <c r="E2289" t="n">
        <v>1554.7</v>
      </c>
      <c r="F2289" s="22" t="n">
        <v>45386</v>
      </c>
      <c r="G2289" t="n">
        <v>-7.528443476155905</v>
      </c>
    </row>
    <row r="2290">
      <c r="A2290" t="inlineStr">
        <is>
          <t>STYRENIX</t>
        </is>
      </c>
      <c r="B2290" t="inlineStr">
        <is>
          <t>Bull</t>
        </is>
      </c>
      <c r="C2290" t="n">
        <v>1258.45</v>
      </c>
      <c r="D2290" s="22" t="n">
        <v>45216</v>
      </c>
      <c r="E2290" t="n">
        <v>1446.6</v>
      </c>
      <c r="F2290" s="22" t="n">
        <v>45351</v>
      </c>
      <c r="G2290" t="n">
        <v>14.95093170169652</v>
      </c>
    </row>
    <row r="2291">
      <c r="A2291" t="inlineStr">
        <is>
          <t>STYRENIX</t>
        </is>
      </c>
      <c r="B2291" t="inlineStr">
        <is>
          <t>Bear</t>
        </is>
      </c>
      <c r="C2291" t="n">
        <v>1064.6</v>
      </c>
      <c r="D2291" s="22" t="n">
        <v>45182</v>
      </c>
      <c r="E2291" t="n">
        <v>1156.3</v>
      </c>
      <c r="F2291" s="22" t="n">
        <v>45212</v>
      </c>
      <c r="G2291" t="n">
        <v>-8.613563779823414</v>
      </c>
    </row>
    <row r="2292">
      <c r="A2292" t="inlineStr">
        <is>
          <t>STYRENIX</t>
        </is>
      </c>
      <c r="B2292" t="inlineStr">
        <is>
          <t>Bull</t>
        </is>
      </c>
      <c r="C2292" t="n">
        <v>798.7</v>
      </c>
      <c r="D2292" s="22" t="n">
        <v>45035</v>
      </c>
      <c r="E2292" t="n">
        <v>1054.2</v>
      </c>
      <c r="F2292" s="22" t="n">
        <v>45180</v>
      </c>
      <c r="G2292" t="n">
        <v>31.98948290972831</v>
      </c>
    </row>
    <row r="2293">
      <c r="A2293" t="inlineStr">
        <is>
          <t>SUDARSCHEM</t>
        </is>
      </c>
      <c r="B2293" t="inlineStr">
        <is>
          <t>Bull</t>
        </is>
      </c>
      <c r="C2293" t="n">
        <v>1118.7</v>
      </c>
      <c r="D2293" s="22" t="n">
        <v>45630</v>
      </c>
      <c r="E2293" t="n">
        <v>1154.55</v>
      </c>
      <c r="F2293" s="22" t="n">
        <v>45660</v>
      </c>
      <c r="G2293" t="n">
        <v>3.204612496647886</v>
      </c>
    </row>
    <row r="2294">
      <c r="A2294" t="inlineStr">
        <is>
          <t>SUDARSCHEM</t>
        </is>
      </c>
      <c r="B2294" t="inlineStr">
        <is>
          <t>Bear</t>
        </is>
      </c>
      <c r="C2294" t="n">
        <v>1046.6</v>
      </c>
      <c r="D2294" s="22" t="n">
        <v>45596</v>
      </c>
      <c r="E2294" t="n">
        <v>1061.75</v>
      </c>
      <c r="F2294" s="22" t="n">
        <v>45628</v>
      </c>
      <c r="G2294" t="n">
        <v>-1.447544429581511</v>
      </c>
    </row>
    <row r="2295">
      <c r="A2295" t="inlineStr">
        <is>
          <t>SUDARSCHEM</t>
        </is>
      </c>
      <c r="B2295" t="inlineStr">
        <is>
          <t>Bull</t>
        </is>
      </c>
      <c r="C2295" t="n">
        <v>499.75</v>
      </c>
      <c r="D2295" s="22" t="n">
        <v>45274</v>
      </c>
      <c r="E2295" t="n">
        <v>952.85</v>
      </c>
      <c r="F2295" s="22" t="n">
        <v>45594</v>
      </c>
      <c r="G2295" t="n">
        <v>90.66533266633317</v>
      </c>
    </row>
    <row r="2296">
      <c r="A2296" t="inlineStr">
        <is>
          <t>SUDARSCHEM</t>
        </is>
      </c>
      <c r="B2296" t="inlineStr">
        <is>
          <t>Bear</t>
        </is>
      </c>
      <c r="C2296" t="n">
        <v>476.85</v>
      </c>
      <c r="D2296" s="22" t="n">
        <v>45194</v>
      </c>
      <c r="E2296" t="n">
        <v>487.95</v>
      </c>
      <c r="F2296" s="22" t="n">
        <v>45272</v>
      </c>
      <c r="G2296" t="n">
        <v>-2.327776030198168</v>
      </c>
    </row>
    <row r="2297">
      <c r="A2297" t="inlineStr">
        <is>
          <t>SUDARSCHEM</t>
        </is>
      </c>
      <c r="B2297" t="inlineStr">
        <is>
          <t>Bull</t>
        </is>
      </c>
      <c r="C2297" t="n">
        <v>416.1</v>
      </c>
      <c r="D2297" s="22" t="n">
        <v>45007</v>
      </c>
      <c r="E2297" t="n">
        <v>469</v>
      </c>
      <c r="F2297" s="22" t="n">
        <v>45190</v>
      </c>
      <c r="G2297" t="n">
        <v>12.71329007450132</v>
      </c>
    </row>
    <row r="2298">
      <c r="A2298" t="inlineStr">
        <is>
          <t>SULA</t>
        </is>
      </c>
      <c r="B2298" t="inlineStr">
        <is>
          <t>Bear</t>
        </is>
      </c>
      <c r="C2298" t="n">
        <v>557</v>
      </c>
      <c r="D2298" s="22" t="n">
        <v>45353</v>
      </c>
      <c r="E2298" t="n">
        <v>425.7</v>
      </c>
      <c r="F2298" s="22" t="n">
        <v>45660</v>
      </c>
      <c r="G2298" t="n">
        <v>23.57271095152603</v>
      </c>
    </row>
    <row r="2299">
      <c r="A2299" t="inlineStr">
        <is>
          <t>SULA</t>
        </is>
      </c>
      <c r="B2299" t="inlineStr">
        <is>
          <t>Bull</t>
        </is>
      </c>
      <c r="C2299" t="n">
        <v>498.5</v>
      </c>
      <c r="D2299" s="22" t="n">
        <v>45289</v>
      </c>
      <c r="E2299" t="n">
        <v>526.1</v>
      </c>
      <c r="F2299" s="22" t="n">
        <v>45351</v>
      </c>
      <c r="G2299" t="n">
        <v>5.53660982948847</v>
      </c>
    </row>
    <row r="2300">
      <c r="A2300" t="inlineStr">
        <is>
          <t>SULA</t>
        </is>
      </c>
      <c r="B2300" t="inlineStr">
        <is>
          <t>Bear</t>
        </is>
      </c>
      <c r="C2300" t="n">
        <v>464.3</v>
      </c>
      <c r="D2300" s="22" t="n">
        <v>45260</v>
      </c>
      <c r="E2300" t="n">
        <v>475.55</v>
      </c>
      <c r="F2300" s="22" t="n">
        <v>45287</v>
      </c>
      <c r="G2300" t="n">
        <v>-2.423002369157872</v>
      </c>
    </row>
    <row r="2301">
      <c r="A2301" t="inlineStr">
        <is>
          <t>SULA</t>
        </is>
      </c>
      <c r="B2301" t="inlineStr">
        <is>
          <t>Bull</t>
        </is>
      </c>
      <c r="C2301" t="n">
        <v>485.7</v>
      </c>
      <c r="D2301" s="22" t="n">
        <v>45243</v>
      </c>
      <c r="E2301" t="n">
        <v>460.75</v>
      </c>
      <c r="F2301" s="22" t="n">
        <v>45258</v>
      </c>
      <c r="G2301" t="n">
        <v>-5.136915791640929</v>
      </c>
    </row>
    <row r="2302">
      <c r="A2302" t="inlineStr">
        <is>
          <t>SULA</t>
        </is>
      </c>
      <c r="B2302" t="inlineStr">
        <is>
          <t>Bear</t>
        </is>
      </c>
      <c r="C2302" t="n">
        <v>465.25</v>
      </c>
      <c r="D2302" s="22" t="n">
        <v>45196</v>
      </c>
      <c r="E2302" t="n">
        <v>484</v>
      </c>
      <c r="F2302" s="22" t="n">
        <v>45240</v>
      </c>
      <c r="G2302" t="n">
        <v>-4.030091348737238</v>
      </c>
    </row>
    <row r="2303">
      <c r="A2303" t="inlineStr">
        <is>
          <t>SUMICHEM</t>
        </is>
      </c>
      <c r="B2303" t="inlineStr">
        <is>
          <t>Bear</t>
        </is>
      </c>
      <c r="C2303" t="n">
        <v>525.75</v>
      </c>
      <c r="D2303" s="22" t="n">
        <v>45639</v>
      </c>
      <c r="E2303" t="n">
        <v>536.95</v>
      </c>
      <c r="F2303" s="22" t="n">
        <v>45660</v>
      </c>
      <c r="G2303" t="n">
        <v>-2.130290061816461</v>
      </c>
    </row>
    <row r="2304">
      <c r="A2304" t="inlineStr">
        <is>
          <t>SUMICHEM</t>
        </is>
      </c>
      <c r="B2304" t="inlineStr">
        <is>
          <t>Bull</t>
        </is>
      </c>
      <c r="C2304" t="n">
        <v>545.05</v>
      </c>
      <c r="D2304" s="22" t="n">
        <v>45635</v>
      </c>
      <c r="E2304" t="n">
        <v>534.25</v>
      </c>
      <c r="F2304" s="22" t="n">
        <v>45637</v>
      </c>
      <c r="G2304" t="n">
        <v>-1.981469589945869</v>
      </c>
    </row>
    <row r="2305">
      <c r="A2305" t="inlineStr">
        <is>
          <t>SUMICHEM</t>
        </is>
      </c>
      <c r="B2305" t="inlineStr">
        <is>
          <t>Bear</t>
        </is>
      </c>
      <c r="C2305" t="n">
        <v>516.3</v>
      </c>
      <c r="D2305" s="22" t="n">
        <v>45614</v>
      </c>
      <c r="E2305" t="n">
        <v>557.3</v>
      </c>
      <c r="F2305" s="22" t="n">
        <v>45631</v>
      </c>
      <c r="G2305" t="n">
        <v>-7.941119504164246</v>
      </c>
    </row>
    <row r="2306">
      <c r="A2306" t="inlineStr">
        <is>
          <t>SUMICHEM</t>
        </is>
      </c>
      <c r="B2306" t="inlineStr">
        <is>
          <t>Bull</t>
        </is>
      </c>
      <c r="C2306" t="n">
        <v>566.85</v>
      </c>
      <c r="D2306" s="22" t="n">
        <v>45601</v>
      </c>
      <c r="E2306" t="n">
        <v>510.75</v>
      </c>
      <c r="F2306" s="22" t="n">
        <v>45609</v>
      </c>
      <c r="G2306" t="n">
        <v>-9.896798094734061</v>
      </c>
    </row>
    <row r="2307">
      <c r="A2307" t="inlineStr">
        <is>
          <t>SUMICHEM</t>
        </is>
      </c>
      <c r="B2307" t="inlineStr">
        <is>
          <t>Bear</t>
        </is>
      </c>
      <c r="C2307" t="n">
        <v>494.5</v>
      </c>
      <c r="D2307" s="22" t="n">
        <v>45590</v>
      </c>
      <c r="E2307" t="n">
        <v>570.6</v>
      </c>
      <c r="F2307" s="22" t="n">
        <v>45597</v>
      </c>
      <c r="G2307" t="n">
        <v>-15.38928210313448</v>
      </c>
    </row>
    <row r="2308">
      <c r="A2308" t="inlineStr">
        <is>
          <t>SUMICHEM</t>
        </is>
      </c>
      <c r="B2308" t="inlineStr">
        <is>
          <t>Bull</t>
        </is>
      </c>
      <c r="C2308" t="n">
        <v>389.2</v>
      </c>
      <c r="D2308" s="22" t="n">
        <v>45398</v>
      </c>
      <c r="E2308" t="n">
        <v>517.65</v>
      </c>
      <c r="F2308" s="22" t="n">
        <v>45588</v>
      </c>
      <c r="G2308" t="n">
        <v>33.00359712230216</v>
      </c>
    </row>
    <row r="2309">
      <c r="A2309" t="inlineStr">
        <is>
          <t>SUMICHEM</t>
        </is>
      </c>
      <c r="B2309" t="inlineStr">
        <is>
          <t>Bear</t>
        </is>
      </c>
      <c r="C2309" t="n">
        <v>398.15</v>
      </c>
      <c r="D2309" s="22" t="n">
        <v>45315</v>
      </c>
      <c r="E2309" t="n">
        <v>403.15</v>
      </c>
      <c r="F2309" s="22" t="n">
        <v>45394</v>
      </c>
      <c r="G2309" t="n">
        <v>-1.255808112520407</v>
      </c>
    </row>
    <row r="2310">
      <c r="A2310" t="inlineStr">
        <is>
          <t>SUMICHEM</t>
        </is>
      </c>
      <c r="B2310" t="inlineStr">
        <is>
          <t>Bull</t>
        </is>
      </c>
      <c r="C2310" t="n">
        <v>402.5</v>
      </c>
      <c r="D2310" s="22" t="n">
        <v>45272</v>
      </c>
      <c r="E2310" t="n">
        <v>403</v>
      </c>
      <c r="F2310" s="22" t="n">
        <v>45311</v>
      </c>
      <c r="G2310" t="n">
        <v>0.124223602484472</v>
      </c>
    </row>
    <row r="2311">
      <c r="A2311" t="inlineStr">
        <is>
          <t>SUMICHEM</t>
        </is>
      </c>
      <c r="B2311" t="inlineStr">
        <is>
          <t>Bear</t>
        </is>
      </c>
      <c r="C2311" t="n">
        <v>401.65</v>
      </c>
      <c r="D2311" s="22" t="n">
        <v>45222</v>
      </c>
      <c r="E2311" t="n">
        <v>417.3</v>
      </c>
      <c r="F2311" s="22" t="n">
        <v>45268</v>
      </c>
      <c r="G2311" t="n">
        <v>-3.896427237644724</v>
      </c>
    </row>
    <row r="2312">
      <c r="A2312" t="inlineStr">
        <is>
          <t>SUMICHEM</t>
        </is>
      </c>
      <c r="B2312" t="inlineStr">
        <is>
          <t>Bull</t>
        </is>
      </c>
      <c r="C2312" t="n">
        <v>438.95</v>
      </c>
      <c r="D2312" s="22" t="n">
        <v>45170</v>
      </c>
      <c r="E2312" t="n">
        <v>417.2</v>
      </c>
      <c r="F2312" s="22" t="n">
        <v>45218</v>
      </c>
      <c r="G2312" t="n">
        <v>-4.95500626495045</v>
      </c>
    </row>
    <row r="2313">
      <c r="A2313" t="inlineStr">
        <is>
          <t>SUMICHEM</t>
        </is>
      </c>
      <c r="B2313" t="inlineStr">
        <is>
          <t>Bear</t>
        </is>
      </c>
      <c r="C2313" t="n">
        <v>409.25</v>
      </c>
      <c r="D2313" s="22" t="n">
        <v>45133</v>
      </c>
      <c r="E2313" t="n">
        <v>440.8</v>
      </c>
      <c r="F2313" s="22" t="n">
        <v>45168</v>
      </c>
      <c r="G2313" t="n">
        <v>-7.70922419059255</v>
      </c>
    </row>
    <row r="2314">
      <c r="A2314" t="inlineStr">
        <is>
          <t>SUMICHEM</t>
        </is>
      </c>
      <c r="B2314" t="inlineStr">
        <is>
          <t>Bull</t>
        </is>
      </c>
      <c r="C2314" t="n">
        <v>427.95</v>
      </c>
      <c r="D2314" s="22" t="n">
        <v>45099</v>
      </c>
      <c r="E2314" t="n">
        <v>414</v>
      </c>
      <c r="F2314" s="22" t="n">
        <v>45131</v>
      </c>
      <c r="G2314" t="n">
        <v>-3.259726603575182</v>
      </c>
    </row>
    <row r="2315">
      <c r="A2315" t="inlineStr">
        <is>
          <t>SUMICHEM</t>
        </is>
      </c>
      <c r="B2315" t="inlineStr">
        <is>
          <t>Bear</t>
        </is>
      </c>
      <c r="C2315" t="n">
        <v>459.8</v>
      </c>
      <c r="D2315" s="22" t="n">
        <v>44951</v>
      </c>
      <c r="E2315" t="n">
        <v>433.1</v>
      </c>
      <c r="F2315" s="22" t="n">
        <v>45097</v>
      </c>
      <c r="G2315" t="n">
        <v>5.806872553284034</v>
      </c>
    </row>
    <row r="2316">
      <c r="A2316" t="inlineStr">
        <is>
          <t>SUNPHARMA</t>
        </is>
      </c>
      <c r="B2316" t="inlineStr">
        <is>
          <t>Bull</t>
        </is>
      </c>
      <c r="C2316" t="n">
        <v>1883.9</v>
      </c>
      <c r="D2316" s="22" t="n">
        <v>45656</v>
      </c>
      <c r="E2316" t="n">
        <v>1849.65</v>
      </c>
      <c r="F2316" s="22" t="n">
        <v>45660</v>
      </c>
      <c r="G2316" t="n">
        <v>-1.818037050798875</v>
      </c>
    </row>
    <row r="2317">
      <c r="A2317" t="inlineStr">
        <is>
          <t>SUNPHARMA</t>
        </is>
      </c>
      <c r="B2317" t="inlineStr">
        <is>
          <t>Bear</t>
        </is>
      </c>
      <c r="C2317" t="n">
        <v>1768.2</v>
      </c>
      <c r="D2317" s="22" t="n">
        <v>45610</v>
      </c>
      <c r="E2317" t="n">
        <v>1841.35</v>
      </c>
      <c r="F2317" s="22" t="n">
        <v>45652</v>
      </c>
      <c r="G2317" t="n">
        <v>-4.136975455265233</v>
      </c>
    </row>
    <row r="2318">
      <c r="A2318" t="inlineStr">
        <is>
          <t>SUNPHARMA</t>
        </is>
      </c>
      <c r="B2318" t="inlineStr">
        <is>
          <t>Bull</t>
        </is>
      </c>
      <c r="C2318" t="n">
        <v>1568.4</v>
      </c>
      <c r="D2318" s="22" t="n">
        <v>45478</v>
      </c>
      <c r="E2318" t="n">
        <v>1800.85</v>
      </c>
      <c r="F2318" s="22" t="n">
        <v>45608</v>
      </c>
      <c r="G2318" t="n">
        <v>14.82083652129557</v>
      </c>
    </row>
    <row r="2319">
      <c r="A2319" t="inlineStr">
        <is>
          <t>SUNPHARMA</t>
        </is>
      </c>
      <c r="B2319" t="inlineStr">
        <is>
          <t>Bear</t>
        </is>
      </c>
      <c r="C2319" t="n">
        <v>1494.65</v>
      </c>
      <c r="D2319" s="22" t="n">
        <v>45421</v>
      </c>
      <c r="E2319" t="n">
        <v>1533.95</v>
      </c>
      <c r="F2319" s="22" t="n">
        <v>45476</v>
      </c>
      <c r="G2319" t="n">
        <v>-2.629378115277821</v>
      </c>
    </row>
    <row r="2320">
      <c r="A2320" t="inlineStr">
        <is>
          <t>SUNPHARMA</t>
        </is>
      </c>
      <c r="B2320" t="inlineStr">
        <is>
          <t>Bull</t>
        </is>
      </c>
      <c r="C2320" t="n">
        <v>1176.7</v>
      </c>
      <c r="D2320" s="22" t="n">
        <v>45238</v>
      </c>
      <c r="E2320" t="n">
        <v>1515.35</v>
      </c>
      <c r="F2320" s="22" t="n">
        <v>45419</v>
      </c>
      <c r="G2320" t="n">
        <v>28.77963797059572</v>
      </c>
    </row>
    <row r="2321">
      <c r="A2321" t="inlineStr">
        <is>
          <t>SUNPHARMA</t>
        </is>
      </c>
      <c r="B2321" t="inlineStr">
        <is>
          <t>Bear</t>
        </is>
      </c>
      <c r="C2321" t="n">
        <v>1132.85</v>
      </c>
      <c r="D2321" s="22" t="n">
        <v>45232</v>
      </c>
      <c r="E2321" t="n">
        <v>1150</v>
      </c>
      <c r="F2321" s="22" t="n">
        <v>45236</v>
      </c>
      <c r="G2321" t="n">
        <v>-1.513880919804042</v>
      </c>
    </row>
    <row r="2322">
      <c r="A2322" t="inlineStr">
        <is>
          <t>SUNPHARMA</t>
        </is>
      </c>
      <c r="B2322" t="inlineStr">
        <is>
          <t>Bull</t>
        </is>
      </c>
      <c r="C2322" t="n">
        <v>1014.6</v>
      </c>
      <c r="D2322" s="22" t="n">
        <v>45084</v>
      </c>
      <c r="E2322" t="n">
        <v>1088.6</v>
      </c>
      <c r="F2322" s="22" t="n">
        <v>45230</v>
      </c>
      <c r="G2322" t="n">
        <v>7.293514685590369</v>
      </c>
    </row>
    <row r="2323">
      <c r="A2323" t="inlineStr">
        <is>
          <t>SUNPHARMA</t>
        </is>
      </c>
      <c r="B2323" t="inlineStr">
        <is>
          <t>Bear</t>
        </is>
      </c>
      <c r="C2323" t="n">
        <v>963.6</v>
      </c>
      <c r="D2323" s="22" t="n">
        <v>45049</v>
      </c>
      <c r="E2323" t="n">
        <v>1008.75</v>
      </c>
      <c r="F2323" s="22" t="n">
        <v>45082</v>
      </c>
      <c r="G2323" t="n">
        <v>-4.685554171855539</v>
      </c>
    </row>
    <row r="2324">
      <c r="A2324" t="inlineStr">
        <is>
          <t>SUNTV</t>
        </is>
      </c>
      <c r="B2324" t="inlineStr">
        <is>
          <t>Bear</t>
        </is>
      </c>
      <c r="C2324" t="n">
        <v>778.9</v>
      </c>
      <c r="D2324" s="22" t="n">
        <v>45580</v>
      </c>
      <c r="E2324" t="n">
        <v>687.4</v>
      </c>
      <c r="F2324" s="22" t="n">
        <v>45660</v>
      </c>
      <c r="G2324" t="n">
        <v>11.74733598664784</v>
      </c>
    </row>
    <row r="2325">
      <c r="A2325" t="inlineStr">
        <is>
          <t>SUNTV</t>
        </is>
      </c>
      <c r="B2325" t="inlineStr">
        <is>
          <t>Bull</t>
        </is>
      </c>
      <c r="C2325" t="n">
        <v>655.4</v>
      </c>
      <c r="D2325" s="22" t="n">
        <v>45412</v>
      </c>
      <c r="E2325" t="n">
        <v>783.85</v>
      </c>
      <c r="F2325" s="22" t="n">
        <v>45576</v>
      </c>
      <c r="G2325" t="n">
        <v>19.59871833994508</v>
      </c>
    </row>
    <row r="2326">
      <c r="A2326" t="inlineStr">
        <is>
          <t>SUNTV</t>
        </is>
      </c>
      <c r="B2326" t="inlineStr">
        <is>
          <t>Bear</t>
        </is>
      </c>
      <c r="C2326" t="n">
        <v>662.65</v>
      </c>
      <c r="D2326" s="22" t="n">
        <v>45320</v>
      </c>
      <c r="E2326" t="n">
        <v>664.45</v>
      </c>
      <c r="F2326" s="22" t="n">
        <v>45408</v>
      </c>
      <c r="G2326" t="n">
        <v>-0.2716366105787472</v>
      </c>
    </row>
    <row r="2327">
      <c r="A2327" t="inlineStr">
        <is>
          <t>SUNTV</t>
        </is>
      </c>
      <c r="B2327" t="inlineStr">
        <is>
          <t>Bull</t>
        </is>
      </c>
      <c r="C2327" t="n">
        <v>461.7</v>
      </c>
      <c r="D2327" s="22" t="n">
        <v>45114</v>
      </c>
      <c r="E2327" t="n">
        <v>643.95</v>
      </c>
      <c r="F2327" s="22" t="n">
        <v>45315</v>
      </c>
      <c r="G2327" t="n">
        <v>39.47368421052633</v>
      </c>
    </row>
    <row r="2328">
      <c r="A2328" t="inlineStr">
        <is>
          <t>SUNTV</t>
        </is>
      </c>
      <c r="B2328" t="inlineStr">
        <is>
          <t>Bear</t>
        </is>
      </c>
      <c r="C2328" t="n">
        <v>445.3</v>
      </c>
      <c r="D2328" s="22" t="n">
        <v>45111</v>
      </c>
      <c r="E2328" t="n">
        <v>443.35</v>
      </c>
      <c r="F2328" s="22" t="n">
        <v>45112</v>
      </c>
      <c r="G2328" t="n">
        <v>0.4379070289692317</v>
      </c>
    </row>
    <row r="2329">
      <c r="A2329" t="inlineStr">
        <is>
          <t>SUNTV</t>
        </is>
      </c>
      <c r="B2329" t="inlineStr">
        <is>
          <t>Bull</t>
        </is>
      </c>
      <c r="C2329" t="n">
        <v>426.45</v>
      </c>
      <c r="D2329" s="22" t="n">
        <v>45064</v>
      </c>
      <c r="E2329" t="n">
        <v>437.25</v>
      </c>
      <c r="F2329" s="22" t="n">
        <v>45107</v>
      </c>
      <c r="G2329" t="n">
        <v>2.532536053464653</v>
      </c>
    </row>
    <row r="2330">
      <c r="A2330" t="inlineStr">
        <is>
          <t>SUNTV</t>
        </is>
      </c>
      <c r="B2330" t="inlineStr">
        <is>
          <t>Bear</t>
        </is>
      </c>
      <c r="C2330" t="n">
        <v>486.8</v>
      </c>
      <c r="D2330" s="22" t="n">
        <v>44887</v>
      </c>
      <c r="E2330" t="n">
        <v>445.55</v>
      </c>
      <c r="F2330" s="22" t="n">
        <v>45062</v>
      </c>
      <c r="G2330" t="n">
        <v>8.473705834018078</v>
      </c>
    </row>
    <row r="2331">
      <c r="A2331" t="inlineStr">
        <is>
          <t>SUNDARMFIN</t>
        </is>
      </c>
      <c r="B2331" t="inlineStr">
        <is>
          <t>Bear</t>
        </is>
      </c>
      <c r="C2331" t="n">
        <v>4278.2</v>
      </c>
      <c r="D2331" s="22" t="n">
        <v>45607</v>
      </c>
      <c r="E2331" t="n">
        <v>4687.2</v>
      </c>
      <c r="F2331" s="22" t="n">
        <v>45660</v>
      </c>
      <c r="G2331" t="n">
        <v>-9.56009536721051</v>
      </c>
    </row>
    <row r="2332">
      <c r="A2332" t="inlineStr">
        <is>
          <t>SUNDARMFIN</t>
        </is>
      </c>
      <c r="B2332" t="inlineStr">
        <is>
          <t>Bull</t>
        </is>
      </c>
      <c r="C2332" t="n">
        <v>4968.2</v>
      </c>
      <c r="D2332" s="22" t="n">
        <v>45537</v>
      </c>
      <c r="E2332" t="n">
        <v>4727.55</v>
      </c>
      <c r="F2332" s="22" t="n">
        <v>45603</v>
      </c>
      <c r="G2332" t="n">
        <v>-4.843806610039846</v>
      </c>
    </row>
    <row r="2333">
      <c r="A2333" t="inlineStr">
        <is>
          <t>SUNDARMFIN</t>
        </is>
      </c>
      <c r="B2333" t="inlineStr">
        <is>
          <t>Bear</t>
        </is>
      </c>
      <c r="C2333" t="n">
        <v>4233.4</v>
      </c>
      <c r="D2333" s="22" t="n">
        <v>45491</v>
      </c>
      <c r="E2333" t="n">
        <v>4723.2</v>
      </c>
      <c r="F2333" s="22" t="n">
        <v>45533</v>
      </c>
      <c r="G2333" t="n">
        <v>-11.56989653706241</v>
      </c>
    </row>
    <row r="2334">
      <c r="A2334" t="inlineStr">
        <is>
          <t>SUNDARMFIN</t>
        </is>
      </c>
      <c r="B2334" t="inlineStr">
        <is>
          <t>Bull</t>
        </is>
      </c>
      <c r="C2334" t="n">
        <v>2362.5</v>
      </c>
      <c r="D2334" s="22" t="n">
        <v>45026</v>
      </c>
      <c r="E2334" t="n">
        <v>4250.1</v>
      </c>
      <c r="F2334" s="22" t="n">
        <v>45488</v>
      </c>
      <c r="G2334" t="n">
        <v>79.89841269841271</v>
      </c>
    </row>
    <row r="2335">
      <c r="A2335" t="inlineStr">
        <is>
          <t>SUNDRMFAST</t>
        </is>
      </c>
      <c r="B2335" t="inlineStr">
        <is>
          <t>Bear</t>
        </is>
      </c>
      <c r="C2335" t="n">
        <v>1345.1</v>
      </c>
      <c r="D2335" s="22" t="n">
        <v>45596</v>
      </c>
      <c r="E2335" t="n">
        <v>1071.55</v>
      </c>
      <c r="F2335" s="22" t="n">
        <v>45660</v>
      </c>
      <c r="G2335" t="n">
        <v>20.33677793472604</v>
      </c>
    </row>
    <row r="2336">
      <c r="A2336" t="inlineStr">
        <is>
          <t>SUNDRMFAST</t>
        </is>
      </c>
      <c r="B2336" t="inlineStr">
        <is>
          <t>Bull</t>
        </is>
      </c>
      <c r="C2336" t="n">
        <v>1149.7</v>
      </c>
      <c r="D2336" s="22" t="n">
        <v>45420</v>
      </c>
      <c r="E2336" t="n">
        <v>1329.45</v>
      </c>
      <c r="F2336" s="22" t="n">
        <v>45594</v>
      </c>
      <c r="G2336" t="n">
        <v>15.63451335130904</v>
      </c>
    </row>
    <row r="2337">
      <c r="A2337" t="inlineStr">
        <is>
          <t>SUNDRMFAST</t>
        </is>
      </c>
      <c r="B2337" t="inlineStr">
        <is>
          <t>Bear</t>
        </is>
      </c>
      <c r="C2337" t="n">
        <v>1229.85</v>
      </c>
      <c r="D2337" s="22" t="n">
        <v>45323</v>
      </c>
      <c r="E2337" t="n">
        <v>1150.25</v>
      </c>
      <c r="F2337" s="22" t="n">
        <v>45418</v>
      </c>
      <c r="G2337" t="n">
        <v>6.472334024474523</v>
      </c>
    </row>
    <row r="2338">
      <c r="A2338" t="inlineStr">
        <is>
          <t>SUNDRMFAST</t>
        </is>
      </c>
      <c r="B2338" t="inlineStr">
        <is>
          <t>Bull</t>
        </is>
      </c>
      <c r="C2338" t="n">
        <v>1255.05</v>
      </c>
      <c r="D2338" s="22" t="n">
        <v>45303</v>
      </c>
      <c r="E2338" t="n">
        <v>1219.6</v>
      </c>
      <c r="F2338" s="22" t="n">
        <v>45321</v>
      </c>
      <c r="G2338" t="n">
        <v>-2.824588661806307</v>
      </c>
    </row>
    <row r="2339">
      <c r="A2339" t="inlineStr">
        <is>
          <t>SUNDRMFAST</t>
        </is>
      </c>
      <c r="B2339" t="inlineStr">
        <is>
          <t>Bear</t>
        </is>
      </c>
      <c r="C2339" t="n">
        <v>1239.5</v>
      </c>
      <c r="D2339" s="22" t="n">
        <v>45253</v>
      </c>
      <c r="E2339" t="n">
        <v>1262.45</v>
      </c>
      <c r="F2339" s="22" t="n">
        <v>45301</v>
      </c>
      <c r="G2339" t="n">
        <v>-1.8515530455829</v>
      </c>
    </row>
    <row r="2340">
      <c r="A2340" t="inlineStr">
        <is>
          <t>SUNDRMFAST</t>
        </is>
      </c>
      <c r="B2340" t="inlineStr">
        <is>
          <t>Bull</t>
        </is>
      </c>
      <c r="C2340" t="n">
        <v>799.55</v>
      </c>
      <c r="D2340" s="22" t="n">
        <v>44760</v>
      </c>
      <c r="E2340" t="n">
        <v>1239.8</v>
      </c>
      <c r="F2340" s="22" t="n">
        <v>45251</v>
      </c>
      <c r="G2340" t="n">
        <v>55.06222250015635</v>
      </c>
    </row>
    <row r="2341">
      <c r="A2341" t="inlineStr">
        <is>
          <t>SUPREMEIND</t>
        </is>
      </c>
      <c r="B2341" t="inlineStr">
        <is>
          <t>Bear</t>
        </is>
      </c>
      <c r="C2341" t="n">
        <v>2460.9</v>
      </c>
      <c r="D2341" s="22" t="n">
        <v>45012</v>
      </c>
      <c r="E2341" t="n">
        <v>4615.15</v>
      </c>
      <c r="F2341" s="22" t="n">
        <v>45660</v>
      </c>
      <c r="G2341" t="n">
        <v>-87.53911170709901</v>
      </c>
    </row>
    <row r="2342">
      <c r="A2342" t="inlineStr">
        <is>
          <t>SUPREMEIND</t>
        </is>
      </c>
      <c r="B2342" t="inlineStr">
        <is>
          <t>Bull</t>
        </is>
      </c>
      <c r="C2342" t="n">
        <v>5028.55</v>
      </c>
      <c r="D2342" s="22" t="n">
        <v>45645</v>
      </c>
      <c r="E2342" t="n">
        <v>4701.95</v>
      </c>
      <c r="F2342" s="22" t="n">
        <v>45659</v>
      </c>
      <c r="G2342" t="n">
        <v>-6.494914040826886</v>
      </c>
    </row>
    <row r="2343">
      <c r="A2343" t="inlineStr">
        <is>
          <t>SUPREMEIND</t>
        </is>
      </c>
      <c r="B2343" t="inlineStr">
        <is>
          <t>Bear</t>
        </is>
      </c>
      <c r="C2343" t="n">
        <v>5163</v>
      </c>
      <c r="D2343" s="22" t="n">
        <v>45506</v>
      </c>
      <c r="E2343" t="n">
        <v>4969.5</v>
      </c>
      <c r="F2343" s="22" t="n">
        <v>45643</v>
      </c>
      <c r="G2343" t="n">
        <v>3.747821034282394</v>
      </c>
    </row>
    <row r="2344">
      <c r="A2344" t="inlineStr">
        <is>
          <t>SUPREMEIND</t>
        </is>
      </c>
      <c r="B2344" t="inlineStr">
        <is>
          <t>Bull</t>
        </is>
      </c>
      <c r="C2344" t="n">
        <v>4309.55</v>
      </c>
      <c r="D2344" s="22" t="n">
        <v>45390</v>
      </c>
      <c r="E2344" t="n">
        <v>5354.45</v>
      </c>
      <c r="F2344" s="22" t="n">
        <v>45504</v>
      </c>
      <c r="G2344" t="n">
        <v>24.24615099024259</v>
      </c>
    </row>
    <row r="2345">
      <c r="A2345" t="inlineStr">
        <is>
          <t>SUPREMEIND</t>
        </is>
      </c>
      <c r="B2345" t="inlineStr">
        <is>
          <t>Bear</t>
        </is>
      </c>
      <c r="C2345" t="n">
        <v>4162.9</v>
      </c>
      <c r="D2345" s="22" t="n">
        <v>45307</v>
      </c>
      <c r="E2345" t="n">
        <v>4193.15</v>
      </c>
      <c r="F2345" s="22" t="n">
        <v>45386</v>
      </c>
      <c r="G2345" t="n">
        <v>-0.7266568978356435</v>
      </c>
    </row>
    <row r="2346">
      <c r="A2346" t="inlineStr">
        <is>
          <t>SUPREMEIND</t>
        </is>
      </c>
      <c r="B2346" t="inlineStr">
        <is>
          <t>Bull</t>
        </is>
      </c>
      <c r="C2346" t="n">
        <v>4626.8</v>
      </c>
      <c r="D2346" s="22" t="n">
        <v>45265</v>
      </c>
      <c r="E2346" t="n">
        <v>4216.75</v>
      </c>
      <c r="F2346" s="22" t="n">
        <v>45303</v>
      </c>
      <c r="G2346" t="n">
        <v>-8.862496758018505</v>
      </c>
    </row>
    <row r="2347">
      <c r="A2347" t="inlineStr">
        <is>
          <t>SUPREMEIND</t>
        </is>
      </c>
      <c r="B2347" t="inlineStr">
        <is>
          <t>Bear</t>
        </is>
      </c>
      <c r="C2347" t="n">
        <v>4080</v>
      </c>
      <c r="D2347" s="22" t="n">
        <v>45258</v>
      </c>
      <c r="E2347" t="n">
        <v>4435</v>
      </c>
      <c r="F2347" s="22" t="n">
        <v>45261</v>
      </c>
      <c r="G2347" t="n">
        <v>-8.700980392156863</v>
      </c>
    </row>
    <row r="2348">
      <c r="A2348" t="inlineStr">
        <is>
          <t>SUPREMEIND</t>
        </is>
      </c>
      <c r="B2348" t="inlineStr">
        <is>
          <t>Bull</t>
        </is>
      </c>
      <c r="C2348" t="n">
        <v>2685.95</v>
      </c>
      <c r="D2348" s="22" t="n">
        <v>45037</v>
      </c>
      <c r="E2348" t="n">
        <v>4111.05</v>
      </c>
      <c r="F2348" s="22" t="n">
        <v>45253</v>
      </c>
      <c r="G2348" t="n">
        <v>53.05757739347347</v>
      </c>
    </row>
    <row r="2349">
      <c r="A2349" t="inlineStr">
        <is>
          <t>SYMPHONY</t>
        </is>
      </c>
      <c r="B2349" t="inlineStr">
        <is>
          <t>Bear</t>
        </is>
      </c>
      <c r="C2349" t="n">
        <v>1425.9</v>
      </c>
      <c r="D2349" s="22" t="n">
        <v>45609</v>
      </c>
      <c r="E2349" t="n">
        <v>1344.7</v>
      </c>
      <c r="F2349" s="22" t="n">
        <v>45660</v>
      </c>
      <c r="G2349" t="n">
        <v>5.694648993618069</v>
      </c>
    </row>
    <row r="2350">
      <c r="A2350" t="inlineStr">
        <is>
          <t>SYMPHONY</t>
        </is>
      </c>
      <c r="B2350" t="inlineStr">
        <is>
          <t>Bull</t>
        </is>
      </c>
      <c r="C2350" t="n">
        <v>977.7</v>
      </c>
      <c r="D2350" s="22" t="n">
        <v>45391</v>
      </c>
      <c r="E2350" t="n">
        <v>1488.65</v>
      </c>
      <c r="F2350" s="22" t="n">
        <v>45607</v>
      </c>
      <c r="G2350" t="n">
        <v>52.26040707783574</v>
      </c>
    </row>
    <row r="2351">
      <c r="A2351" t="inlineStr">
        <is>
          <t>SYMPHONY</t>
        </is>
      </c>
      <c r="B2351" t="inlineStr">
        <is>
          <t>Bear</t>
        </is>
      </c>
      <c r="C2351" t="n">
        <v>878.6</v>
      </c>
      <c r="D2351" s="22" t="n">
        <v>45357</v>
      </c>
      <c r="E2351" t="n">
        <v>952</v>
      </c>
      <c r="F2351" s="22" t="n">
        <v>45387</v>
      </c>
      <c r="G2351" t="n">
        <v>-8.354199863419073</v>
      </c>
    </row>
    <row r="2352">
      <c r="A2352" t="inlineStr">
        <is>
          <t>SYMPHONY</t>
        </is>
      </c>
      <c r="B2352" t="inlineStr">
        <is>
          <t>Bull</t>
        </is>
      </c>
      <c r="C2352" t="n">
        <v>883</v>
      </c>
      <c r="D2352" s="22" t="n">
        <v>45266</v>
      </c>
      <c r="E2352" t="n">
        <v>911.2</v>
      </c>
      <c r="F2352" s="22" t="n">
        <v>45355</v>
      </c>
      <c r="G2352" t="n">
        <v>3.193657984144965</v>
      </c>
    </row>
    <row r="2353">
      <c r="A2353" t="inlineStr">
        <is>
          <t>SYMPHONY</t>
        </is>
      </c>
      <c r="B2353" t="inlineStr">
        <is>
          <t>Bear</t>
        </is>
      </c>
      <c r="C2353" t="n">
        <v>879.95</v>
      </c>
      <c r="D2353" s="22" t="n">
        <v>45198</v>
      </c>
      <c r="E2353" t="n">
        <v>878.1</v>
      </c>
      <c r="F2353" s="22" t="n">
        <v>45264</v>
      </c>
      <c r="G2353" t="n">
        <v>0.2102392181373967</v>
      </c>
    </row>
    <row r="2354">
      <c r="A2354" t="inlineStr">
        <is>
          <t>SYMPHONY</t>
        </is>
      </c>
      <c r="B2354" t="inlineStr">
        <is>
          <t>Bull</t>
        </is>
      </c>
      <c r="C2354" t="n">
        <v>909.5</v>
      </c>
      <c r="D2354" s="22" t="n">
        <v>45177</v>
      </c>
      <c r="E2354" t="n">
        <v>877.05</v>
      </c>
      <c r="F2354" s="22" t="n">
        <v>45196</v>
      </c>
      <c r="G2354" t="n">
        <v>-3.56789444749863</v>
      </c>
    </row>
    <row r="2355">
      <c r="A2355" t="inlineStr">
        <is>
          <t>SYMPHONY</t>
        </is>
      </c>
      <c r="B2355" t="inlineStr">
        <is>
          <t>Bear</t>
        </is>
      </c>
      <c r="C2355" t="n">
        <v>1002.4</v>
      </c>
      <c r="D2355" s="22" t="n">
        <v>45028</v>
      </c>
      <c r="E2355" t="n">
        <v>899.1</v>
      </c>
      <c r="F2355" s="22" t="n">
        <v>45175</v>
      </c>
      <c r="G2355" t="n">
        <v>10.30526735833998</v>
      </c>
    </row>
    <row r="2356">
      <c r="A2356" t="inlineStr">
        <is>
          <t>SYNGENE</t>
        </is>
      </c>
      <c r="B2356" t="inlineStr">
        <is>
          <t>Bear</t>
        </is>
      </c>
      <c r="C2356" t="n">
        <v>842.6</v>
      </c>
      <c r="D2356" s="22" t="n">
        <v>45649</v>
      </c>
      <c r="E2356" t="n">
        <v>856.85</v>
      </c>
      <c r="F2356" s="22" t="n">
        <v>45660</v>
      </c>
      <c r="G2356" t="n">
        <v>-1.691193923569903</v>
      </c>
    </row>
    <row r="2357">
      <c r="A2357" t="inlineStr">
        <is>
          <t>SYNGENE</t>
        </is>
      </c>
      <c r="B2357" t="inlineStr">
        <is>
          <t>Bull</t>
        </is>
      </c>
      <c r="C2357" t="n">
        <v>713.1</v>
      </c>
      <c r="D2357" s="22" t="n">
        <v>45463</v>
      </c>
      <c r="E2357" t="n">
        <v>849.95</v>
      </c>
      <c r="F2357" s="22" t="n">
        <v>45645</v>
      </c>
      <c r="G2357" t="n">
        <v>19.19085682232506</v>
      </c>
    </row>
    <row r="2358">
      <c r="A2358" t="inlineStr">
        <is>
          <t>SYNGENE</t>
        </is>
      </c>
      <c r="B2358" t="inlineStr">
        <is>
          <t>Bear</t>
        </is>
      </c>
      <c r="C2358" t="n">
        <v>699.1</v>
      </c>
      <c r="D2358" s="22" t="n">
        <v>45407</v>
      </c>
      <c r="E2358" t="n">
        <v>707.6</v>
      </c>
      <c r="F2358" s="22" t="n">
        <v>45461</v>
      </c>
      <c r="G2358" t="n">
        <v>-1.215848948648262</v>
      </c>
    </row>
    <row r="2359">
      <c r="A2359" t="inlineStr">
        <is>
          <t>SYNGENE</t>
        </is>
      </c>
      <c r="B2359" t="inlineStr">
        <is>
          <t>Bull</t>
        </is>
      </c>
      <c r="C2359" t="n">
        <v>749.05</v>
      </c>
      <c r="D2359" s="22" t="n">
        <v>45394</v>
      </c>
      <c r="E2359" t="n">
        <v>701.05</v>
      </c>
      <c r="F2359" s="22" t="n">
        <v>45405</v>
      </c>
      <c r="G2359" t="n">
        <v>-6.408116948134304</v>
      </c>
    </row>
    <row r="2360">
      <c r="A2360" t="inlineStr">
        <is>
          <t>SYNGENE</t>
        </is>
      </c>
      <c r="B2360" t="inlineStr">
        <is>
          <t>Bear</t>
        </is>
      </c>
      <c r="C2360" t="n">
        <v>692.9</v>
      </c>
      <c r="D2360" s="22" t="n">
        <v>45356</v>
      </c>
      <c r="E2360" t="n">
        <v>730.7</v>
      </c>
      <c r="F2360" s="22" t="n">
        <v>45391</v>
      </c>
      <c r="G2360" t="n">
        <v>-5.455332659835484</v>
      </c>
    </row>
    <row r="2361">
      <c r="A2361" t="inlineStr">
        <is>
          <t>SYNGENE</t>
        </is>
      </c>
      <c r="B2361" t="inlineStr">
        <is>
          <t>Bull</t>
        </is>
      </c>
      <c r="C2361" t="n">
        <v>752.3</v>
      </c>
      <c r="D2361" s="22" t="n">
        <v>45329</v>
      </c>
      <c r="E2361" t="n">
        <v>710.45</v>
      </c>
      <c r="F2361" s="22" t="n">
        <v>45353</v>
      </c>
      <c r="G2361" t="n">
        <v>-5.562940316363141</v>
      </c>
    </row>
    <row r="2362">
      <c r="A2362" t="inlineStr">
        <is>
          <t>SYNGENE</t>
        </is>
      </c>
      <c r="B2362" t="inlineStr">
        <is>
          <t>Bear</t>
        </is>
      </c>
      <c r="C2362" t="n">
        <v>777.7</v>
      </c>
      <c r="D2362" s="22" t="n">
        <v>45216</v>
      </c>
      <c r="E2362" t="n">
        <v>741.5</v>
      </c>
      <c r="F2362" s="22" t="n">
        <v>45327</v>
      </c>
      <c r="G2362" t="n">
        <v>4.65475118940466</v>
      </c>
    </row>
    <row r="2363">
      <c r="A2363" t="inlineStr">
        <is>
          <t>SYNGENE</t>
        </is>
      </c>
      <c r="B2363" t="inlineStr">
        <is>
          <t>Bull</t>
        </is>
      </c>
      <c r="C2363" t="n">
        <v>594.95</v>
      </c>
      <c r="D2363" s="22" t="n">
        <v>45021</v>
      </c>
      <c r="E2363" t="n">
        <v>779.65</v>
      </c>
      <c r="F2363" s="22" t="n">
        <v>45212</v>
      </c>
      <c r="G2363" t="n">
        <v>31.0446255987898</v>
      </c>
    </row>
    <row r="2364">
      <c r="A2364" t="inlineStr">
        <is>
          <t>TAJGVK</t>
        </is>
      </c>
      <c r="B2364" t="inlineStr">
        <is>
          <t>Bull</t>
        </is>
      </c>
      <c r="C2364" t="n">
        <v>334.7</v>
      </c>
      <c r="D2364" s="22" t="n">
        <v>45607</v>
      </c>
      <c r="E2364" t="n">
        <v>445.6</v>
      </c>
      <c r="F2364" s="22" t="n">
        <v>45660</v>
      </c>
      <c r="G2364" t="n">
        <v>33.13414998506126</v>
      </c>
    </row>
    <row r="2365">
      <c r="A2365" t="inlineStr">
        <is>
          <t>TAJGVK</t>
        </is>
      </c>
      <c r="B2365" t="inlineStr">
        <is>
          <t>Bear</t>
        </is>
      </c>
      <c r="C2365" t="n">
        <v>305.35</v>
      </c>
      <c r="D2365" s="22" t="n">
        <v>45447</v>
      </c>
      <c r="E2365" t="n">
        <v>321.75</v>
      </c>
      <c r="F2365" s="22" t="n">
        <v>45603</v>
      </c>
      <c r="G2365" t="n">
        <v>-5.370885868675282</v>
      </c>
    </row>
    <row r="2366">
      <c r="A2366" t="inlineStr">
        <is>
          <t>TAJGVK</t>
        </is>
      </c>
      <c r="B2366" t="inlineStr">
        <is>
          <t>Bull</t>
        </is>
      </c>
      <c r="C2366" t="n">
        <v>243.05</v>
      </c>
      <c r="D2366" s="22" t="n">
        <v>45294</v>
      </c>
      <c r="E2366" t="n">
        <v>326.35</v>
      </c>
      <c r="F2366" s="22" t="n">
        <v>45443</v>
      </c>
      <c r="G2366" t="n">
        <v>34.27278337790579</v>
      </c>
    </row>
    <row r="2367">
      <c r="A2367" t="inlineStr">
        <is>
          <t>TAJGVK</t>
        </is>
      </c>
      <c r="B2367" t="inlineStr">
        <is>
          <t>Bear</t>
        </is>
      </c>
      <c r="C2367" t="n">
        <v>234.5</v>
      </c>
      <c r="D2367" s="22" t="n">
        <v>45161</v>
      </c>
      <c r="E2367" t="n">
        <v>230.3</v>
      </c>
      <c r="F2367" s="22" t="n">
        <v>45292</v>
      </c>
      <c r="G2367" t="n">
        <v>1.791044776119398</v>
      </c>
    </row>
    <row r="2368">
      <c r="A2368" t="inlineStr">
        <is>
          <t>TAJGVK</t>
        </is>
      </c>
      <c r="B2368" t="inlineStr">
        <is>
          <t>Bull</t>
        </is>
      </c>
      <c r="C2368" t="n">
        <v>213.85</v>
      </c>
      <c r="D2368" s="22" t="n">
        <v>45027</v>
      </c>
      <c r="E2368" t="n">
        <v>230</v>
      </c>
      <c r="F2368" s="22" t="n">
        <v>45159</v>
      </c>
      <c r="G2368" t="n">
        <v>7.552022445639469</v>
      </c>
    </row>
    <row r="2369">
      <c r="A2369" t="inlineStr">
        <is>
          <t>TARSONS</t>
        </is>
      </c>
      <c r="B2369" t="inlineStr">
        <is>
          <t>Bear</t>
        </is>
      </c>
      <c r="C2369" t="n">
        <v>396.25</v>
      </c>
      <c r="D2369" s="22" t="n">
        <v>45649</v>
      </c>
      <c r="E2369" t="n">
        <v>401.6</v>
      </c>
      <c r="F2369" s="22" t="n">
        <v>45660</v>
      </c>
      <c r="G2369" t="n">
        <v>-1.35015772870663</v>
      </c>
    </row>
    <row r="2370">
      <c r="A2370" t="inlineStr">
        <is>
          <t>TARSONS</t>
        </is>
      </c>
      <c r="B2370" t="inlineStr">
        <is>
          <t>Bull</t>
        </is>
      </c>
      <c r="C2370" t="n">
        <v>430.4</v>
      </c>
      <c r="D2370" s="22" t="n">
        <v>45637</v>
      </c>
      <c r="E2370" t="n">
        <v>410.45</v>
      </c>
      <c r="F2370" s="22" t="n">
        <v>45645</v>
      </c>
      <c r="G2370" t="n">
        <v>-4.635223048327135</v>
      </c>
    </row>
    <row r="2371">
      <c r="A2371" t="inlineStr">
        <is>
          <t>TARSONS</t>
        </is>
      </c>
      <c r="B2371" t="inlineStr">
        <is>
          <t>Bear</t>
        </is>
      </c>
      <c r="C2371" t="n">
        <v>456.25</v>
      </c>
      <c r="D2371" s="22" t="n">
        <v>45525</v>
      </c>
      <c r="E2371" t="n">
        <v>453.05</v>
      </c>
      <c r="F2371" s="22" t="n">
        <v>45635</v>
      </c>
      <c r="G2371" t="n">
        <v>0.7013698630136961</v>
      </c>
    </row>
    <row r="2372">
      <c r="A2372" t="inlineStr">
        <is>
          <t>TARSONS</t>
        </is>
      </c>
      <c r="B2372" t="inlineStr">
        <is>
          <t>Bull</t>
        </is>
      </c>
      <c r="C2372" t="n">
        <v>525.35</v>
      </c>
      <c r="D2372" s="22" t="n">
        <v>45461</v>
      </c>
      <c r="E2372" t="n">
        <v>467.95</v>
      </c>
      <c r="F2372" s="22" t="n">
        <v>45523</v>
      </c>
      <c r="G2372" t="n">
        <v>-10.92604930046636</v>
      </c>
    </row>
    <row r="2373">
      <c r="A2373" t="inlineStr">
        <is>
          <t>TARSONS</t>
        </is>
      </c>
      <c r="B2373" t="inlineStr">
        <is>
          <t>Bear</t>
        </is>
      </c>
      <c r="C2373" t="n">
        <v>427.65</v>
      </c>
      <c r="D2373" s="22" t="n">
        <v>45425</v>
      </c>
      <c r="E2373" t="n">
        <v>485.6</v>
      </c>
      <c r="F2373" s="22" t="n">
        <v>45456</v>
      </c>
      <c r="G2373" t="n">
        <v>-13.55080088857712</v>
      </c>
    </row>
    <row r="2374">
      <c r="A2374" t="inlineStr">
        <is>
          <t>TARSONS</t>
        </is>
      </c>
      <c r="B2374" t="inlineStr">
        <is>
          <t>Bull</t>
        </is>
      </c>
      <c r="C2374" t="n">
        <v>454.25</v>
      </c>
      <c r="D2374" s="22" t="n">
        <v>45414</v>
      </c>
      <c r="E2374" t="n">
        <v>432.8</v>
      </c>
      <c r="F2374" s="22" t="n">
        <v>45421</v>
      </c>
      <c r="G2374" t="n">
        <v>-4.722069345074296</v>
      </c>
    </row>
    <row r="2375">
      <c r="A2375" t="inlineStr">
        <is>
          <t>TARSONS</t>
        </is>
      </c>
      <c r="B2375" t="inlineStr">
        <is>
          <t>Bear</t>
        </is>
      </c>
      <c r="C2375" t="n">
        <v>493</v>
      </c>
      <c r="D2375" s="22" t="n">
        <v>45323</v>
      </c>
      <c r="E2375" t="n">
        <v>470</v>
      </c>
      <c r="F2375" s="22" t="n">
        <v>45411</v>
      </c>
      <c r="G2375" t="n">
        <v>4.665314401622718</v>
      </c>
    </row>
    <row r="2376">
      <c r="A2376" t="inlineStr">
        <is>
          <t>TARSONS</t>
        </is>
      </c>
      <c r="B2376" t="inlineStr">
        <is>
          <t>Bull</t>
        </is>
      </c>
      <c r="C2376" t="n">
        <v>534.3</v>
      </c>
      <c r="D2376" s="22" t="n">
        <v>45286</v>
      </c>
      <c r="E2376" t="n">
        <v>495</v>
      </c>
      <c r="F2376" s="22" t="n">
        <v>45321</v>
      </c>
      <c r="G2376" t="n">
        <v>-7.355418304323407</v>
      </c>
    </row>
    <row r="2377">
      <c r="A2377" t="inlineStr">
        <is>
          <t>TARSONS</t>
        </is>
      </c>
      <c r="B2377" t="inlineStr">
        <is>
          <t>Bear</t>
        </is>
      </c>
      <c r="C2377" t="n">
        <v>527.8</v>
      </c>
      <c r="D2377" s="22" t="n">
        <v>45155</v>
      </c>
      <c r="E2377" t="n">
        <v>553.35</v>
      </c>
      <c r="F2377" s="22" t="n">
        <v>45281</v>
      </c>
      <c r="G2377" t="n">
        <v>-4.840848806366061</v>
      </c>
    </row>
    <row r="2378">
      <c r="A2378" t="inlineStr">
        <is>
          <t>TARSONS</t>
        </is>
      </c>
      <c r="B2378" t="inlineStr">
        <is>
          <t>Bull</t>
        </is>
      </c>
      <c r="C2378" t="n">
        <v>593</v>
      </c>
      <c r="D2378" s="22" t="n">
        <v>45099</v>
      </c>
      <c r="E2378" t="n">
        <v>568</v>
      </c>
      <c r="F2378" s="22" t="n">
        <v>45152</v>
      </c>
      <c r="G2378" t="n">
        <v>-4.215851602023609</v>
      </c>
    </row>
    <row r="2379">
      <c r="A2379" t="inlineStr">
        <is>
          <t>TARSONS</t>
        </is>
      </c>
      <c r="B2379" t="inlineStr">
        <is>
          <t>Bear</t>
        </is>
      </c>
      <c r="C2379" t="n">
        <v>762.9</v>
      </c>
      <c r="D2379" s="22" t="n">
        <v>44866</v>
      </c>
      <c r="E2379" t="n">
        <v>581</v>
      </c>
      <c r="F2379" s="22" t="n">
        <v>45097</v>
      </c>
      <c r="G2379" t="n">
        <v>23.84322978109844</v>
      </c>
    </row>
    <row r="2380">
      <c r="A2380" t="inlineStr">
        <is>
          <t>TATASTEEL</t>
        </is>
      </c>
      <c r="B2380" t="inlineStr">
        <is>
          <t>Bear</t>
        </is>
      </c>
      <c r="C2380" t="n">
        <v>148.78</v>
      </c>
      <c r="D2380" s="22" t="n">
        <v>45588</v>
      </c>
      <c r="E2380" t="n">
        <v>138.36</v>
      </c>
      <c r="F2380" s="22" t="n">
        <v>45660</v>
      </c>
      <c r="G2380" t="n">
        <v>7.003629520096778</v>
      </c>
    </row>
    <row r="2381">
      <c r="A2381" t="inlineStr">
        <is>
          <t>TATASTEEL</t>
        </is>
      </c>
      <c r="B2381" t="inlineStr">
        <is>
          <t>Bull</t>
        </is>
      </c>
      <c r="C2381" t="n">
        <v>167.03</v>
      </c>
      <c r="D2381" s="22" t="n">
        <v>45566</v>
      </c>
      <c r="E2381" t="n">
        <v>155.03</v>
      </c>
      <c r="F2381" s="22" t="n">
        <v>45586</v>
      </c>
      <c r="G2381" t="n">
        <v>-7.18433814284859</v>
      </c>
    </row>
    <row r="2382">
      <c r="A2382" t="inlineStr">
        <is>
          <t>TATASTEEL</t>
        </is>
      </c>
      <c r="B2382" t="inlineStr">
        <is>
          <t>Bear</t>
        </is>
      </c>
      <c r="C2382" t="n">
        <v>160.32</v>
      </c>
      <c r="D2382" s="22" t="n">
        <v>45495</v>
      </c>
      <c r="E2382" t="n">
        <v>166.55</v>
      </c>
      <c r="F2382" s="22" t="n">
        <v>45562</v>
      </c>
      <c r="G2382" t="n">
        <v>-3.885978043912187</v>
      </c>
    </row>
    <row r="2383">
      <c r="A2383" t="inlineStr">
        <is>
          <t>TATASTEEL</t>
        </is>
      </c>
      <c r="B2383" t="inlineStr">
        <is>
          <t>Bull</t>
        </is>
      </c>
      <c r="C2383" t="n">
        <v>125.95</v>
      </c>
      <c r="D2383" s="22" t="n">
        <v>45254</v>
      </c>
      <c r="E2383" t="n">
        <v>166.36</v>
      </c>
      <c r="F2383" s="22" t="n">
        <v>45491</v>
      </c>
      <c r="G2383" t="n">
        <v>32.08416038110362</v>
      </c>
    </row>
    <row r="2384">
      <c r="A2384" t="inlineStr">
        <is>
          <t>TATASTEEL</t>
        </is>
      </c>
      <c r="B2384" t="inlineStr">
        <is>
          <t>Bear</t>
        </is>
      </c>
      <c r="C2384" t="n">
        <v>118.75</v>
      </c>
      <c r="D2384" s="22" t="n">
        <v>45230</v>
      </c>
      <c r="E2384" t="n">
        <v>126.1</v>
      </c>
      <c r="F2384" s="22" t="n">
        <v>45252</v>
      </c>
      <c r="G2384" t="n">
        <v>-6.189473684210522</v>
      </c>
    </row>
    <row r="2385">
      <c r="A2385" t="inlineStr">
        <is>
          <t>TATASTEEL</t>
        </is>
      </c>
      <c r="B2385" t="inlineStr">
        <is>
          <t>Bull</t>
        </is>
      </c>
      <c r="C2385" t="n">
        <v>111.15</v>
      </c>
      <c r="D2385" s="22" t="n">
        <v>45085</v>
      </c>
      <c r="E2385" t="n">
        <v>119.9</v>
      </c>
      <c r="F2385" s="22" t="n">
        <v>45226</v>
      </c>
      <c r="G2385" t="n">
        <v>7.872244714349977</v>
      </c>
    </row>
    <row r="2386">
      <c r="A2386" t="inlineStr">
        <is>
          <t>TATASTEEL</t>
        </is>
      </c>
      <c r="B2386" t="inlineStr">
        <is>
          <t>Bear</t>
        </is>
      </c>
      <c r="C2386" t="n">
        <v>105</v>
      </c>
      <c r="D2386" s="22" t="n">
        <v>45068</v>
      </c>
      <c r="E2386" t="n">
        <v>109</v>
      </c>
      <c r="F2386" s="22" t="n">
        <v>45083</v>
      </c>
      <c r="G2386" t="n">
        <v>-3.80952380952381</v>
      </c>
    </row>
    <row r="2387">
      <c r="A2387" t="inlineStr">
        <is>
          <t>TATASTEEL</t>
        </is>
      </c>
      <c r="B2387" t="inlineStr">
        <is>
          <t>Bull</t>
        </is>
      </c>
      <c r="C2387" t="n">
        <v>109.55</v>
      </c>
      <c r="D2387" s="22" t="n">
        <v>45055</v>
      </c>
      <c r="E2387" t="n">
        <v>105.2</v>
      </c>
      <c r="F2387" s="22" t="n">
        <v>45064</v>
      </c>
      <c r="G2387" t="n">
        <v>-3.970789593792783</v>
      </c>
    </row>
    <row r="2388">
      <c r="A2388" t="inlineStr">
        <is>
          <t>TCIEXP</t>
        </is>
      </c>
      <c r="B2388" t="inlineStr">
        <is>
          <t>Bear</t>
        </is>
      </c>
      <c r="C2388" t="n">
        <v>1045.9</v>
      </c>
      <c r="D2388" s="22" t="n">
        <v>45520</v>
      </c>
      <c r="E2388" t="n">
        <v>845.05</v>
      </c>
      <c r="F2388" s="22" t="n">
        <v>45660</v>
      </c>
      <c r="G2388" t="n">
        <v>19.20355674538676</v>
      </c>
    </row>
    <row r="2389">
      <c r="A2389" t="inlineStr">
        <is>
          <t>TCIEXP</t>
        </is>
      </c>
      <c r="B2389" t="inlineStr">
        <is>
          <t>Bull</t>
        </is>
      </c>
      <c r="C2389" t="n">
        <v>1187.15</v>
      </c>
      <c r="D2389" s="22" t="n">
        <v>45457</v>
      </c>
      <c r="E2389" t="n">
        <v>1129.05</v>
      </c>
      <c r="F2389" s="22" t="n">
        <v>45517</v>
      </c>
      <c r="G2389" t="n">
        <v>-4.894074042875806</v>
      </c>
    </row>
    <row r="2390">
      <c r="A2390" t="inlineStr">
        <is>
          <t>TCIEXP</t>
        </is>
      </c>
      <c r="B2390" t="inlineStr">
        <is>
          <t>Bear</t>
        </is>
      </c>
      <c r="C2390" t="n">
        <v>1374.4</v>
      </c>
      <c r="D2390" s="22" t="n">
        <v>45289</v>
      </c>
      <c r="E2390" t="n">
        <v>1159.25</v>
      </c>
      <c r="F2390" s="22" t="n">
        <v>45455</v>
      </c>
      <c r="G2390" t="n">
        <v>15.6541036088475</v>
      </c>
    </row>
    <row r="2391">
      <c r="A2391" t="inlineStr">
        <is>
          <t>TCIEXP</t>
        </is>
      </c>
      <c r="B2391" t="inlineStr">
        <is>
          <t>Bull</t>
        </is>
      </c>
      <c r="C2391" t="n">
        <v>1408.6</v>
      </c>
      <c r="D2391" s="22" t="n">
        <v>45266</v>
      </c>
      <c r="E2391" t="n">
        <v>1370</v>
      </c>
      <c r="F2391" s="22" t="n">
        <v>45287</v>
      </c>
      <c r="G2391" t="n">
        <v>-2.740309527190111</v>
      </c>
    </row>
    <row r="2392">
      <c r="A2392" t="inlineStr">
        <is>
          <t>TCIEXP</t>
        </is>
      </c>
      <c r="B2392" t="inlineStr">
        <is>
          <t>Bear</t>
        </is>
      </c>
      <c r="C2392" t="n">
        <v>1521.7</v>
      </c>
      <c r="D2392" s="22" t="n">
        <v>45119</v>
      </c>
      <c r="E2392" t="n">
        <v>1411.6</v>
      </c>
      <c r="F2392" s="22" t="n">
        <v>45264</v>
      </c>
      <c r="G2392" t="n">
        <v>7.235328908457654</v>
      </c>
    </row>
    <row r="2393">
      <c r="A2393" t="inlineStr">
        <is>
          <t>TCIEXP</t>
        </is>
      </c>
      <c r="B2393" t="inlineStr">
        <is>
          <t>Bull</t>
        </is>
      </c>
      <c r="C2393" t="n">
        <v>1620.55</v>
      </c>
      <c r="D2393" s="22" t="n">
        <v>45078</v>
      </c>
      <c r="E2393" t="n">
        <v>1515.3</v>
      </c>
      <c r="F2393" s="22" t="n">
        <v>45117</v>
      </c>
      <c r="G2393" t="n">
        <v>-6.494708586590972</v>
      </c>
    </row>
    <row r="2394">
      <c r="A2394" t="inlineStr">
        <is>
          <t>TCIEXP</t>
        </is>
      </c>
      <c r="B2394" t="inlineStr">
        <is>
          <t>Bear</t>
        </is>
      </c>
      <c r="C2394" t="n">
        <v>1856.6</v>
      </c>
      <c r="D2394" s="22" t="n">
        <v>44911</v>
      </c>
      <c r="E2394" t="n">
        <v>1595.6</v>
      </c>
      <c r="F2394" s="22" t="n">
        <v>45076</v>
      </c>
      <c r="G2394" t="n">
        <v>14.05795540234838</v>
      </c>
    </row>
    <row r="2395">
      <c r="A2395" t="inlineStr">
        <is>
          <t>TCPLPACK</t>
        </is>
      </c>
      <c r="B2395" t="inlineStr">
        <is>
          <t>Bear</t>
        </is>
      </c>
      <c r="C2395" t="n">
        <v>3159.15</v>
      </c>
      <c r="D2395" s="22" t="n">
        <v>45653</v>
      </c>
      <c r="E2395" t="n">
        <v>3203.15</v>
      </c>
      <c r="F2395" s="22" t="n">
        <v>45660</v>
      </c>
      <c r="G2395" t="n">
        <v>-1.392779703401231</v>
      </c>
    </row>
    <row r="2396">
      <c r="A2396" t="inlineStr">
        <is>
          <t>TCPLPACK</t>
        </is>
      </c>
      <c r="B2396" t="inlineStr">
        <is>
          <t>Bull</t>
        </is>
      </c>
      <c r="C2396" t="n">
        <v>3282.5</v>
      </c>
      <c r="D2396" s="22" t="n">
        <v>45637</v>
      </c>
      <c r="E2396" t="n">
        <v>3098.05</v>
      </c>
      <c r="F2396" s="22" t="n">
        <v>45650</v>
      </c>
      <c r="G2396" t="n">
        <v>-5.619192688499614</v>
      </c>
    </row>
    <row r="2397">
      <c r="A2397" t="inlineStr">
        <is>
          <t>TCPLPACK</t>
        </is>
      </c>
      <c r="B2397" t="inlineStr">
        <is>
          <t>Bear</t>
        </is>
      </c>
      <c r="C2397" t="n">
        <v>3161.35</v>
      </c>
      <c r="D2397" s="22" t="n">
        <v>45597</v>
      </c>
      <c r="E2397" t="n">
        <v>3304.55</v>
      </c>
      <c r="F2397" s="22" t="n">
        <v>45635</v>
      </c>
      <c r="G2397" t="n">
        <v>-4.529710408528011</v>
      </c>
    </row>
    <row r="2398">
      <c r="A2398" t="inlineStr">
        <is>
          <t>TCPLPACK</t>
        </is>
      </c>
      <c r="B2398" t="inlineStr">
        <is>
          <t>Bull</t>
        </is>
      </c>
      <c r="C2398" t="n">
        <v>2329.8</v>
      </c>
      <c r="D2398" s="22" t="n">
        <v>45463</v>
      </c>
      <c r="E2398" t="n">
        <v>3038.1</v>
      </c>
      <c r="F2398" s="22" t="n">
        <v>45595</v>
      </c>
      <c r="G2398" t="n">
        <v>30.40175122328095</v>
      </c>
    </row>
    <row r="2399">
      <c r="A2399" t="inlineStr">
        <is>
          <t>TCPLPACK</t>
        </is>
      </c>
      <c r="B2399" t="inlineStr">
        <is>
          <t>Bear</t>
        </is>
      </c>
      <c r="C2399" t="n">
        <v>2182.55</v>
      </c>
      <c r="D2399" s="22" t="n">
        <v>45398</v>
      </c>
      <c r="E2399" t="n">
        <v>2323.5</v>
      </c>
      <c r="F2399" s="22" t="n">
        <v>45461</v>
      </c>
      <c r="G2399" t="n">
        <v>-6.458042198345963</v>
      </c>
    </row>
    <row r="2400">
      <c r="A2400" t="inlineStr">
        <is>
          <t>TCPLPACK</t>
        </is>
      </c>
      <c r="B2400" t="inlineStr">
        <is>
          <t>Bull</t>
        </is>
      </c>
      <c r="C2400" t="n">
        <v>2201.75</v>
      </c>
      <c r="D2400" s="22" t="n">
        <v>45334</v>
      </c>
      <c r="E2400" t="n">
        <v>2187.05</v>
      </c>
      <c r="F2400" s="22" t="n">
        <v>45394</v>
      </c>
      <c r="G2400" t="n">
        <v>-0.6676507323719686</v>
      </c>
    </row>
    <row r="2401">
      <c r="A2401" t="inlineStr">
        <is>
          <t>TCPLPACK</t>
        </is>
      </c>
      <c r="B2401" t="inlineStr">
        <is>
          <t>Bear</t>
        </is>
      </c>
      <c r="C2401" t="n">
        <v>2170</v>
      </c>
      <c r="D2401" s="22" t="n">
        <v>45310</v>
      </c>
      <c r="E2401" t="n">
        <v>2337.7</v>
      </c>
      <c r="F2401" s="22" t="n">
        <v>45330</v>
      </c>
      <c r="G2401" t="n">
        <v>-7.728110599078334</v>
      </c>
    </row>
    <row r="2402">
      <c r="A2402" t="inlineStr">
        <is>
          <t>TCPLPACK</t>
        </is>
      </c>
      <c r="B2402" t="inlineStr">
        <is>
          <t>Bull</t>
        </is>
      </c>
      <c r="C2402" t="n">
        <v>1570</v>
      </c>
      <c r="D2402" s="22" t="n">
        <v>45124</v>
      </c>
      <c r="E2402" t="n">
        <v>2165</v>
      </c>
      <c r="F2402" s="22" t="n">
        <v>45308</v>
      </c>
      <c r="G2402" t="n">
        <v>37.89808917197453</v>
      </c>
    </row>
    <row r="2403">
      <c r="A2403" t="inlineStr">
        <is>
          <t>TCPLPACK</t>
        </is>
      </c>
      <c r="B2403" t="inlineStr">
        <is>
          <t>Bear</t>
        </is>
      </c>
      <c r="C2403" t="n">
        <v>1412.5</v>
      </c>
      <c r="D2403" s="22" t="n">
        <v>45099</v>
      </c>
      <c r="E2403" t="n">
        <v>1596</v>
      </c>
      <c r="F2403" s="22" t="n">
        <v>45120</v>
      </c>
      <c r="G2403" t="n">
        <v>-12.99115044247788</v>
      </c>
    </row>
    <row r="2404">
      <c r="A2404" t="inlineStr">
        <is>
          <t>TCPLPACK</t>
        </is>
      </c>
      <c r="B2404" t="inlineStr">
        <is>
          <t>Bull</t>
        </is>
      </c>
      <c r="C2404" t="n">
        <v>1522.35</v>
      </c>
      <c r="D2404" s="22" t="n">
        <v>45027</v>
      </c>
      <c r="E2404" t="n">
        <v>1487</v>
      </c>
      <c r="F2404" s="22" t="n">
        <v>45097</v>
      </c>
      <c r="G2404" t="n">
        <v>-2.322067855617953</v>
      </c>
    </row>
    <row r="2405">
      <c r="A2405" t="inlineStr">
        <is>
          <t>TDPOWERSYS</t>
        </is>
      </c>
      <c r="B2405" t="inlineStr">
        <is>
          <t>Bull</t>
        </is>
      </c>
      <c r="C2405" t="n">
        <v>438.35</v>
      </c>
      <c r="D2405" s="22" t="n">
        <v>45602</v>
      </c>
      <c r="E2405" t="n">
        <v>450.1</v>
      </c>
      <c r="F2405" s="22" t="n">
        <v>45660</v>
      </c>
      <c r="G2405" t="n">
        <v>2.680506444621877</v>
      </c>
    </row>
    <row r="2406">
      <c r="A2406" t="inlineStr">
        <is>
          <t>TDPOWERSYS</t>
        </is>
      </c>
      <c r="B2406" t="inlineStr">
        <is>
          <t>Bear</t>
        </is>
      </c>
      <c r="C2406" t="n">
        <v>388.55</v>
      </c>
      <c r="D2406" s="22" t="n">
        <v>45574</v>
      </c>
      <c r="E2406" t="n">
        <v>414.35</v>
      </c>
      <c r="F2406" s="22" t="n">
        <v>45600</v>
      </c>
      <c r="G2406" t="n">
        <v>-6.640072062797583</v>
      </c>
    </row>
    <row r="2407">
      <c r="A2407" t="inlineStr">
        <is>
          <t>TDPOWERSYS</t>
        </is>
      </c>
      <c r="B2407" t="inlineStr">
        <is>
          <t>Bull</t>
        </is>
      </c>
      <c r="C2407" t="n">
        <v>306.45</v>
      </c>
      <c r="D2407" s="22" t="n">
        <v>45384</v>
      </c>
      <c r="E2407" t="n">
        <v>384.15</v>
      </c>
      <c r="F2407" s="22" t="n">
        <v>45572</v>
      </c>
      <c r="G2407" t="n">
        <v>25.35487028879099</v>
      </c>
    </row>
    <row r="2408">
      <c r="A2408" t="inlineStr">
        <is>
          <t>TDPOWERSYS</t>
        </is>
      </c>
      <c r="B2408" t="inlineStr">
        <is>
          <t>Bear</t>
        </is>
      </c>
      <c r="C2408" t="n">
        <v>272.35</v>
      </c>
      <c r="D2408" s="22" t="n">
        <v>45372</v>
      </c>
      <c r="E2408" t="n">
        <v>296.7</v>
      </c>
      <c r="F2408" s="22" t="n">
        <v>45379</v>
      </c>
      <c r="G2408" t="n">
        <v>-8.940701303469787</v>
      </c>
    </row>
    <row r="2409">
      <c r="A2409" t="inlineStr">
        <is>
          <t>TDPOWERSYS</t>
        </is>
      </c>
      <c r="B2409" t="inlineStr">
        <is>
          <t>Bull</t>
        </is>
      </c>
      <c r="C2409" t="n">
        <v>271.8</v>
      </c>
      <c r="D2409" s="22" t="n">
        <v>45242</v>
      </c>
      <c r="E2409" t="n">
        <v>267.15</v>
      </c>
      <c r="F2409" s="22" t="n">
        <v>45370</v>
      </c>
      <c r="G2409" t="n">
        <v>-1.710816777041955</v>
      </c>
    </row>
    <row r="2410">
      <c r="A2410" t="inlineStr">
        <is>
          <t>TDPOWERSYS</t>
        </is>
      </c>
      <c r="B2410" t="inlineStr">
        <is>
          <t>Bear</t>
        </is>
      </c>
      <c r="C2410" t="n">
        <v>230.95</v>
      </c>
      <c r="D2410" s="22" t="n">
        <v>45224</v>
      </c>
      <c r="E2410" t="n">
        <v>272.25</v>
      </c>
      <c r="F2410" s="22" t="n">
        <v>45239</v>
      </c>
      <c r="G2410" t="n">
        <v>-17.88265858410912</v>
      </c>
    </row>
    <row r="2411">
      <c r="A2411" t="inlineStr">
        <is>
          <t>TDPOWERSYS</t>
        </is>
      </c>
      <c r="B2411" t="inlineStr">
        <is>
          <t>Bull</t>
        </is>
      </c>
      <c r="C2411" t="n">
        <v>124.35</v>
      </c>
      <c r="D2411" s="22" t="n">
        <v>44904</v>
      </c>
      <c r="E2411" t="n">
        <v>253.8</v>
      </c>
      <c r="F2411" s="22" t="n">
        <v>45219</v>
      </c>
      <c r="G2411" t="n">
        <v>104.1013268998794</v>
      </c>
    </row>
    <row r="2412">
      <c r="A2412" t="inlineStr">
        <is>
          <t>TECHNOE</t>
        </is>
      </c>
      <c r="B2412" t="inlineStr">
        <is>
          <t>Bull</t>
        </is>
      </c>
      <c r="C2412" t="n">
        <v>1570.7</v>
      </c>
      <c r="D2412" s="22" t="n">
        <v>45657</v>
      </c>
      <c r="E2412" t="n">
        <v>1640.7</v>
      </c>
      <c r="F2412" s="22" t="n">
        <v>45660</v>
      </c>
      <c r="G2412" t="n">
        <v>4.456611701789011</v>
      </c>
    </row>
    <row r="2413">
      <c r="A2413" t="inlineStr">
        <is>
          <t>TECHNOE</t>
        </is>
      </c>
      <c r="B2413" t="inlineStr">
        <is>
          <t>Bear</t>
        </is>
      </c>
      <c r="C2413" t="n">
        <v>1499.9</v>
      </c>
      <c r="D2413" s="22" t="n">
        <v>45595</v>
      </c>
      <c r="E2413" t="n">
        <v>1559.75</v>
      </c>
      <c r="F2413" s="22" t="n">
        <v>45653</v>
      </c>
      <c r="G2413" t="n">
        <v>-3.99026601773451</v>
      </c>
    </row>
    <row r="2414">
      <c r="A2414" t="inlineStr">
        <is>
          <t>TECHNOE</t>
        </is>
      </c>
      <c r="B2414" t="inlineStr">
        <is>
          <t>Bull</t>
        </is>
      </c>
      <c r="C2414" t="n">
        <v>837.8</v>
      </c>
      <c r="D2414" s="22" t="n">
        <v>45387</v>
      </c>
      <c r="E2414" t="n">
        <v>1457.6</v>
      </c>
      <c r="F2414" s="22" t="n">
        <v>45593</v>
      </c>
      <c r="G2414" t="n">
        <v>73.97947004058247</v>
      </c>
    </row>
    <row r="2415">
      <c r="A2415" t="inlineStr">
        <is>
          <t>TECHNOE</t>
        </is>
      </c>
      <c r="B2415" t="inlineStr">
        <is>
          <t>Bear</t>
        </is>
      </c>
      <c r="C2415" t="n">
        <v>746.8</v>
      </c>
      <c r="D2415" s="22" t="n">
        <v>45353</v>
      </c>
      <c r="E2415" t="n">
        <v>821.4</v>
      </c>
      <c r="F2415" s="22" t="n">
        <v>45385</v>
      </c>
      <c r="G2415" t="n">
        <v>-9.989287627209432</v>
      </c>
    </row>
    <row r="2416">
      <c r="A2416" t="inlineStr">
        <is>
          <t>TECHNOE</t>
        </is>
      </c>
      <c r="B2416" t="inlineStr">
        <is>
          <t>Bull</t>
        </is>
      </c>
      <c r="C2416" t="n">
        <v>347.8</v>
      </c>
      <c r="D2416" s="22" t="n">
        <v>45035</v>
      </c>
      <c r="E2416" t="n">
        <v>706.95</v>
      </c>
      <c r="F2416" s="22" t="n">
        <v>45351</v>
      </c>
      <c r="G2416" t="n">
        <v>103.2633697527315</v>
      </c>
    </row>
    <row r="2417">
      <c r="A2417" t="inlineStr">
        <is>
          <t>TIIL</t>
        </is>
      </c>
      <c r="B2417" t="inlineStr">
        <is>
          <t>Bear</t>
        </is>
      </c>
      <c r="C2417" t="n">
        <v>2758.3</v>
      </c>
      <c r="D2417" s="22" t="n">
        <v>45658</v>
      </c>
      <c r="E2417" t="n">
        <v>2943</v>
      </c>
      <c r="F2417" s="22" t="n">
        <v>45660</v>
      </c>
      <c r="G2417" t="n">
        <v>-6.696153427835978</v>
      </c>
    </row>
    <row r="2418">
      <c r="A2418" t="inlineStr">
        <is>
          <t>TIIL</t>
        </is>
      </c>
      <c r="B2418" t="inlineStr">
        <is>
          <t>Bull</t>
        </is>
      </c>
      <c r="C2418" t="n">
        <v>2923.95</v>
      </c>
      <c r="D2418" s="22" t="n">
        <v>45646</v>
      </c>
      <c r="E2418" t="n">
        <v>2688.95</v>
      </c>
      <c r="F2418" s="22" t="n">
        <v>45656</v>
      </c>
      <c r="G2418" t="n">
        <v>-8.037073137365551</v>
      </c>
    </row>
    <row r="2419">
      <c r="A2419" t="inlineStr">
        <is>
          <t>TIIL</t>
        </is>
      </c>
      <c r="B2419" t="inlineStr">
        <is>
          <t>Bear</t>
        </is>
      </c>
      <c r="C2419" t="n">
        <v>3066.85</v>
      </c>
      <c r="D2419" s="22" t="n">
        <v>45573</v>
      </c>
      <c r="E2419" t="n">
        <v>3012.8</v>
      </c>
      <c r="F2419" s="22" t="n">
        <v>45644</v>
      </c>
      <c r="G2419" t="n">
        <v>1.762394639450893</v>
      </c>
    </row>
    <row r="2420">
      <c r="A2420" t="inlineStr">
        <is>
          <t>TIIL</t>
        </is>
      </c>
      <c r="B2420" t="inlineStr">
        <is>
          <t>Bull</t>
        </is>
      </c>
      <c r="C2420" t="n">
        <v>2273.9</v>
      </c>
      <c r="D2420" s="22" t="n">
        <v>45397</v>
      </c>
      <c r="E2420" t="n">
        <v>3112.2</v>
      </c>
      <c r="F2420" s="22" t="n">
        <v>45569</v>
      </c>
      <c r="G2420" t="n">
        <v>36.86617705264082</v>
      </c>
    </row>
    <row r="2421">
      <c r="A2421" t="inlineStr">
        <is>
          <t>TIIL</t>
        </is>
      </c>
      <c r="B2421" t="inlineStr">
        <is>
          <t>Bear</t>
        </is>
      </c>
      <c r="C2421" t="n">
        <v>2384.9</v>
      </c>
      <c r="D2421" s="22" t="n">
        <v>45316</v>
      </c>
      <c r="E2421" t="n">
        <v>2148.9</v>
      </c>
      <c r="F2421" s="22" t="n">
        <v>45392</v>
      </c>
      <c r="G2421" t="n">
        <v>9.895593106629208</v>
      </c>
    </row>
    <row r="2422">
      <c r="A2422" t="inlineStr">
        <is>
          <t>TIIL</t>
        </is>
      </c>
      <c r="B2422" t="inlineStr">
        <is>
          <t>Bull</t>
        </is>
      </c>
      <c r="C2422" t="n">
        <v>852.1</v>
      </c>
      <c r="D2422" s="22" t="n">
        <v>44887</v>
      </c>
      <c r="E2422" t="n">
        <v>2161.55</v>
      </c>
      <c r="F2422" s="22" t="n">
        <v>45314</v>
      </c>
      <c r="G2422" t="n">
        <v>153.6732777842977</v>
      </c>
    </row>
    <row r="2423">
      <c r="A2423" t="inlineStr">
        <is>
          <t>TEGA</t>
        </is>
      </c>
      <c r="B2423" t="inlineStr">
        <is>
          <t>Bear</t>
        </is>
      </c>
      <c r="C2423" t="n">
        <v>1746.45</v>
      </c>
      <c r="D2423" s="22" t="n">
        <v>45624</v>
      </c>
      <c r="E2423" t="n">
        <v>1538.5</v>
      </c>
      <c r="F2423" s="22" t="n">
        <v>45660</v>
      </c>
      <c r="G2423" t="n">
        <v>11.90701136591371</v>
      </c>
    </row>
    <row r="2424">
      <c r="A2424" t="inlineStr">
        <is>
          <t>TEGA</t>
        </is>
      </c>
      <c r="B2424" t="inlineStr">
        <is>
          <t>Bull</t>
        </is>
      </c>
      <c r="C2424" t="n">
        <v>1003.65</v>
      </c>
      <c r="D2424" s="22" t="n">
        <v>45238</v>
      </c>
      <c r="E2424" t="n">
        <v>1789.35</v>
      </c>
      <c r="F2424" s="22" t="n">
        <v>45622</v>
      </c>
      <c r="G2424" t="n">
        <v>78.28426244208639</v>
      </c>
    </row>
    <row r="2425">
      <c r="A2425" t="inlineStr">
        <is>
          <t>TEGA</t>
        </is>
      </c>
      <c r="B2425" t="inlineStr">
        <is>
          <t>Bear</t>
        </is>
      </c>
      <c r="C2425" t="n">
        <v>927.15</v>
      </c>
      <c r="D2425" s="22" t="n">
        <v>45191</v>
      </c>
      <c r="E2425" t="n">
        <v>993</v>
      </c>
      <c r="F2425" s="22" t="n">
        <v>45236</v>
      </c>
      <c r="G2425" t="n">
        <v>-7.102410613169392</v>
      </c>
    </row>
    <row r="2426">
      <c r="A2426" t="inlineStr">
        <is>
          <t>TEGA</t>
        </is>
      </c>
      <c r="B2426" t="inlineStr">
        <is>
          <t>Bull</t>
        </is>
      </c>
      <c r="C2426" t="n">
        <v>463</v>
      </c>
      <c r="D2426" s="22" t="n">
        <v>44728</v>
      </c>
      <c r="E2426" t="n">
        <v>970</v>
      </c>
      <c r="F2426" s="22" t="n">
        <v>45189</v>
      </c>
      <c r="G2426" t="n">
        <v>109.5032397408207</v>
      </c>
    </row>
    <row r="2427">
      <c r="A2427" t="inlineStr">
        <is>
          <t>THEMISMED</t>
        </is>
      </c>
      <c r="B2427" t="inlineStr">
        <is>
          <t>Bear</t>
        </is>
      </c>
      <c r="C2427" t="n">
        <v>256.2</v>
      </c>
      <c r="D2427" s="22" t="n">
        <v>45656</v>
      </c>
      <c r="E2427" t="n">
        <v>273.1</v>
      </c>
      <c r="F2427" s="22" t="n">
        <v>45660</v>
      </c>
      <c r="G2427" t="n">
        <v>-6.596409055425463</v>
      </c>
    </row>
    <row r="2428">
      <c r="A2428" t="inlineStr">
        <is>
          <t>THEMISMED</t>
        </is>
      </c>
      <c r="B2428" t="inlineStr">
        <is>
          <t>Bull</t>
        </is>
      </c>
      <c r="C2428" t="n">
        <v>240.28</v>
      </c>
      <c r="D2428" s="22" t="n">
        <v>45482</v>
      </c>
      <c r="E2428" t="n">
        <v>264.7</v>
      </c>
      <c r="F2428" s="22" t="n">
        <v>45652</v>
      </c>
      <c r="G2428" t="n">
        <v>10.16314299983352</v>
      </c>
    </row>
    <row r="2429">
      <c r="A2429" t="inlineStr">
        <is>
          <t>THEMISMED</t>
        </is>
      </c>
      <c r="B2429" t="inlineStr">
        <is>
          <t>Bear</t>
        </is>
      </c>
      <c r="C2429" t="n">
        <v>205.71</v>
      </c>
      <c r="D2429" s="22" t="n">
        <v>45477</v>
      </c>
      <c r="E2429" t="n">
        <v>212.72</v>
      </c>
      <c r="F2429" s="22" t="n">
        <v>45478</v>
      </c>
      <c r="G2429" t="n">
        <v>-3.407709882844777</v>
      </c>
    </row>
    <row r="2430">
      <c r="A2430" t="inlineStr">
        <is>
          <t>THEMISMED</t>
        </is>
      </c>
      <c r="B2430" t="inlineStr">
        <is>
          <t>Bull</t>
        </is>
      </c>
      <c r="C2430" t="n">
        <v>219.64</v>
      </c>
      <c r="D2430" s="22" t="n">
        <v>45464</v>
      </c>
      <c r="E2430" t="n">
        <v>209.98</v>
      </c>
      <c r="F2430" s="22" t="n">
        <v>45475</v>
      </c>
      <c r="G2430" t="n">
        <v>-4.398105991622654</v>
      </c>
    </row>
    <row r="2431">
      <c r="A2431" t="inlineStr">
        <is>
          <t>THEMISMED</t>
        </is>
      </c>
      <c r="B2431" t="inlineStr">
        <is>
          <t>Bear</t>
        </is>
      </c>
      <c r="C2431" t="n">
        <v>208.5</v>
      </c>
      <c r="D2431" s="22" t="n">
        <v>45398</v>
      </c>
      <c r="E2431" t="n">
        <v>221.54</v>
      </c>
      <c r="F2431" s="22" t="n">
        <v>45462</v>
      </c>
      <c r="G2431" t="n">
        <v>-6.254196642685847</v>
      </c>
    </row>
    <row r="2432">
      <c r="A2432" t="inlineStr">
        <is>
          <t>THEMISMED</t>
        </is>
      </c>
      <c r="B2432" t="inlineStr">
        <is>
          <t>Bull</t>
        </is>
      </c>
      <c r="C2432" t="n">
        <v>179.9</v>
      </c>
      <c r="D2432" s="22" t="n">
        <v>45265</v>
      </c>
      <c r="E2432" t="n">
        <v>215.6</v>
      </c>
      <c r="F2432" s="22" t="n">
        <v>45394</v>
      </c>
      <c r="G2432" t="n">
        <v>19.84435797665369</v>
      </c>
    </row>
    <row r="2433">
      <c r="A2433" t="inlineStr">
        <is>
          <t>THEMISMED</t>
        </is>
      </c>
      <c r="B2433" t="inlineStr">
        <is>
          <t>Bear</t>
        </is>
      </c>
      <c r="C2433" t="n">
        <v>152</v>
      </c>
      <c r="D2433" s="22" t="n">
        <v>45229</v>
      </c>
      <c r="E2433" t="n">
        <v>171.15</v>
      </c>
      <c r="F2433" s="22" t="n">
        <v>45261</v>
      </c>
      <c r="G2433" t="n">
        <v>-12.59868421052632</v>
      </c>
    </row>
    <row r="2434">
      <c r="A2434" t="inlineStr">
        <is>
          <t>THEMISMED</t>
        </is>
      </c>
      <c r="B2434" t="inlineStr">
        <is>
          <t>Bull</t>
        </is>
      </c>
      <c r="C2434" t="n">
        <v>150.77</v>
      </c>
      <c r="D2434" s="22" t="n">
        <v>45121</v>
      </c>
      <c r="E2434" t="n">
        <v>151.5</v>
      </c>
      <c r="F2434" s="22" t="n">
        <v>45225</v>
      </c>
      <c r="G2434" t="n">
        <v>0.48418120315712</v>
      </c>
    </row>
    <row r="2435">
      <c r="A2435" t="inlineStr">
        <is>
          <t>THEMISMED</t>
        </is>
      </c>
      <c r="B2435" t="inlineStr">
        <is>
          <t>Bear</t>
        </is>
      </c>
      <c r="C2435" t="n">
        <v>138.64</v>
      </c>
      <c r="D2435" s="22" t="n">
        <v>45103</v>
      </c>
      <c r="E2435" t="n">
        <v>145.74</v>
      </c>
      <c r="F2435" s="22" t="n">
        <v>45119</v>
      </c>
      <c r="G2435" t="n">
        <v>-5.121177149451834</v>
      </c>
    </row>
    <row r="2436">
      <c r="A2436" t="inlineStr">
        <is>
          <t>THEMISMED</t>
        </is>
      </c>
      <c r="B2436" t="inlineStr">
        <is>
          <t>Bull</t>
        </is>
      </c>
      <c r="C2436" t="n">
        <v>133.34</v>
      </c>
      <c r="D2436" s="22" t="n">
        <v>45029</v>
      </c>
      <c r="E2436" t="n">
        <v>137.53</v>
      </c>
      <c r="F2436" s="22" t="n">
        <v>45099</v>
      </c>
      <c r="G2436" t="n">
        <v>3.142342882855855</v>
      </c>
    </row>
    <row r="2437">
      <c r="A2437" t="inlineStr">
        <is>
          <t>THYROCARE</t>
        </is>
      </c>
      <c r="B2437" t="inlineStr">
        <is>
          <t>Bear</t>
        </is>
      </c>
      <c r="C2437" t="n">
        <v>425.45</v>
      </c>
      <c r="D2437" s="22" t="n">
        <v>45012</v>
      </c>
      <c r="E2437" t="n">
        <v>914.55</v>
      </c>
      <c r="F2437" s="22" t="n">
        <v>45660</v>
      </c>
      <c r="G2437" t="n">
        <v>-114.9606299212598</v>
      </c>
    </row>
    <row r="2438">
      <c r="A2438" t="inlineStr">
        <is>
          <t>THYROCARE</t>
        </is>
      </c>
      <c r="B2438" t="inlineStr">
        <is>
          <t>Bull</t>
        </is>
      </c>
      <c r="C2438" t="n">
        <v>653.15</v>
      </c>
      <c r="D2438" s="22" t="n">
        <v>45457</v>
      </c>
      <c r="E2438" t="n">
        <v>908.7</v>
      </c>
      <c r="F2438" s="22" t="n">
        <v>45659</v>
      </c>
      <c r="G2438" t="n">
        <v>39.12577508994872</v>
      </c>
    </row>
    <row r="2439">
      <c r="A2439" t="inlineStr">
        <is>
          <t>THYROCARE</t>
        </is>
      </c>
      <c r="B2439" t="inlineStr">
        <is>
          <t>Bear</t>
        </is>
      </c>
      <c r="C2439" t="n">
        <v>620.4</v>
      </c>
      <c r="D2439" s="22" t="n">
        <v>45442</v>
      </c>
      <c r="E2439" t="n">
        <v>661.75</v>
      </c>
      <c r="F2439" s="22" t="n">
        <v>45455</v>
      </c>
      <c r="G2439" t="n">
        <v>-6.66505480335268</v>
      </c>
    </row>
    <row r="2440">
      <c r="A2440" t="inlineStr">
        <is>
          <t>THYROCARE</t>
        </is>
      </c>
      <c r="B2440" t="inlineStr">
        <is>
          <t>Bull</t>
        </is>
      </c>
      <c r="C2440" t="n">
        <v>659.95</v>
      </c>
      <c r="D2440" s="22" t="n">
        <v>45406</v>
      </c>
      <c r="E2440" t="n">
        <v>621.2</v>
      </c>
      <c r="F2440" s="22" t="n">
        <v>45440</v>
      </c>
      <c r="G2440" t="n">
        <v>-5.871656943707857</v>
      </c>
    </row>
    <row r="2441">
      <c r="A2441" t="inlineStr">
        <is>
          <t>THYROCARE</t>
        </is>
      </c>
      <c r="B2441" t="inlineStr">
        <is>
          <t>Bear</t>
        </is>
      </c>
      <c r="C2441" t="n">
        <v>563.6</v>
      </c>
      <c r="D2441" s="22" t="n">
        <v>45378</v>
      </c>
      <c r="E2441" t="n">
        <v>644.3</v>
      </c>
      <c r="F2441" s="22" t="n">
        <v>45404</v>
      </c>
      <c r="G2441" t="n">
        <v>-14.31866572036904</v>
      </c>
    </row>
    <row r="2442">
      <c r="A2442" t="inlineStr">
        <is>
          <t>THYROCARE</t>
        </is>
      </c>
      <c r="B2442" t="inlineStr">
        <is>
          <t>Bull</t>
        </is>
      </c>
      <c r="C2442" t="n">
        <v>690.5</v>
      </c>
      <c r="D2442" s="22" t="n">
        <v>45351</v>
      </c>
      <c r="E2442" t="n">
        <v>610.85</v>
      </c>
      <c r="F2442" s="22" t="n">
        <v>45373</v>
      </c>
      <c r="G2442" t="n">
        <v>-11.53511947863866</v>
      </c>
    </row>
    <row r="2443">
      <c r="A2443" t="inlineStr">
        <is>
          <t>THYROCARE</t>
        </is>
      </c>
      <c r="B2443" t="inlineStr">
        <is>
          <t>Bear</t>
        </is>
      </c>
      <c r="C2443" t="n">
        <v>576.7</v>
      </c>
      <c r="D2443" s="22" t="n">
        <v>45335</v>
      </c>
      <c r="E2443" t="n">
        <v>641.2</v>
      </c>
      <c r="F2443" s="22" t="n">
        <v>45349</v>
      </c>
      <c r="G2443" t="n">
        <v>-11.18432460551413</v>
      </c>
    </row>
    <row r="2444">
      <c r="A2444" t="inlineStr">
        <is>
          <t>THYROCARE</t>
        </is>
      </c>
      <c r="B2444" t="inlineStr">
        <is>
          <t>Bull</t>
        </is>
      </c>
      <c r="C2444" t="n">
        <v>559.95</v>
      </c>
      <c r="D2444" s="22" t="n">
        <v>45260</v>
      </c>
      <c r="E2444" t="n">
        <v>607.75</v>
      </c>
      <c r="F2444" s="22" t="n">
        <v>45331</v>
      </c>
      <c r="G2444" t="n">
        <v>8.536476471113485</v>
      </c>
    </row>
    <row r="2445">
      <c r="A2445" t="inlineStr">
        <is>
          <t>THYROCARE</t>
        </is>
      </c>
      <c r="B2445" t="inlineStr">
        <is>
          <t>Bear</t>
        </is>
      </c>
      <c r="C2445" t="n">
        <v>539.9</v>
      </c>
      <c r="D2445" s="22" t="n">
        <v>45226</v>
      </c>
      <c r="E2445" t="n">
        <v>571</v>
      </c>
      <c r="F2445" s="22" t="n">
        <v>45258</v>
      </c>
      <c r="G2445" t="n">
        <v>-5.760325986293763</v>
      </c>
    </row>
    <row r="2446">
      <c r="A2446" t="inlineStr">
        <is>
          <t>THYROCARE</t>
        </is>
      </c>
      <c r="B2446" t="inlineStr">
        <is>
          <t>Bull</t>
        </is>
      </c>
      <c r="C2446" t="n">
        <v>469.75</v>
      </c>
      <c r="D2446" s="22" t="n">
        <v>45086</v>
      </c>
      <c r="E2446" t="n">
        <v>517.6</v>
      </c>
      <c r="F2446" s="22" t="n">
        <v>45224</v>
      </c>
      <c r="G2446" t="n">
        <v>10.18626929217669</v>
      </c>
    </row>
    <row r="2447">
      <c r="A2447" t="inlineStr">
        <is>
          <t>THYROCARE</t>
        </is>
      </c>
      <c r="B2447" t="inlineStr">
        <is>
          <t>Bear</t>
        </is>
      </c>
      <c r="C2447" t="n">
        <v>641.45</v>
      </c>
      <c r="D2447" s="22" t="n">
        <v>44859</v>
      </c>
      <c r="E2447" t="n">
        <v>474.8</v>
      </c>
      <c r="F2447" s="22" t="n">
        <v>45084</v>
      </c>
      <c r="G2447" t="n">
        <v>25.98020110686726</v>
      </c>
    </row>
    <row r="2448">
      <c r="A2448" t="inlineStr">
        <is>
          <t>TI</t>
        </is>
      </c>
      <c r="B2448" t="inlineStr">
        <is>
          <t>Bull</t>
        </is>
      </c>
      <c r="C2448" t="n">
        <v>262.5</v>
      </c>
      <c r="D2448" s="22" t="n">
        <v>45532</v>
      </c>
      <c r="E2448" t="n">
        <v>453.95</v>
      </c>
      <c r="F2448" s="22" t="n">
        <v>45660</v>
      </c>
      <c r="G2448" t="n">
        <v>72.93333333333332</v>
      </c>
    </row>
    <row r="2449">
      <c r="A2449" t="inlineStr">
        <is>
          <t>TI</t>
        </is>
      </c>
      <c r="B2449" t="inlineStr">
        <is>
          <t>Bear</t>
        </is>
      </c>
      <c r="C2449" t="n">
        <v>240.9</v>
      </c>
      <c r="D2449" s="22" t="n">
        <v>45516</v>
      </c>
      <c r="E2449" t="n">
        <v>255.8</v>
      </c>
      <c r="F2449" s="22" t="n">
        <v>45530</v>
      </c>
      <c r="G2449" t="n">
        <v>-6.185139061851393</v>
      </c>
    </row>
    <row r="2450">
      <c r="A2450" t="inlineStr">
        <is>
          <t>TI</t>
        </is>
      </c>
      <c r="B2450" t="inlineStr">
        <is>
          <t>Bull</t>
        </is>
      </c>
      <c r="C2450" t="n">
        <v>251.7</v>
      </c>
      <c r="D2450" s="22" t="n">
        <v>45504</v>
      </c>
      <c r="E2450" t="n">
        <v>238.7</v>
      </c>
      <c r="F2450" s="22" t="n">
        <v>45512</v>
      </c>
      <c r="G2450" t="n">
        <v>-5.164878823996822</v>
      </c>
    </row>
    <row r="2451">
      <c r="A2451" t="inlineStr">
        <is>
          <t>TI</t>
        </is>
      </c>
      <c r="B2451" t="inlineStr">
        <is>
          <t>Bear</t>
        </is>
      </c>
      <c r="C2451" t="n">
        <v>235.5</v>
      </c>
      <c r="D2451" s="22" t="n">
        <v>45496</v>
      </c>
      <c r="E2451" t="n">
        <v>258.05</v>
      </c>
      <c r="F2451" s="22" t="n">
        <v>45502</v>
      </c>
      <c r="G2451" t="n">
        <v>-9.575371549893848</v>
      </c>
    </row>
    <row r="2452">
      <c r="A2452" t="inlineStr">
        <is>
          <t>TI</t>
        </is>
      </c>
      <c r="B2452" t="inlineStr">
        <is>
          <t>Bull</t>
        </is>
      </c>
      <c r="C2452" t="n">
        <v>235.75</v>
      </c>
      <c r="D2452" s="22" t="n">
        <v>45406</v>
      </c>
      <c r="E2452" t="n">
        <v>239.7</v>
      </c>
      <c r="F2452" s="22" t="n">
        <v>45492</v>
      </c>
      <c r="G2452" t="n">
        <v>1.67550371155885</v>
      </c>
    </row>
    <row r="2453">
      <c r="A2453" t="inlineStr">
        <is>
          <t>TI</t>
        </is>
      </c>
      <c r="B2453" t="inlineStr">
        <is>
          <t>Bear</t>
        </is>
      </c>
      <c r="C2453" t="n">
        <v>237.2</v>
      </c>
      <c r="D2453" s="22" t="n">
        <v>45321</v>
      </c>
      <c r="E2453" t="n">
        <v>227.4</v>
      </c>
      <c r="F2453" s="22" t="n">
        <v>45404</v>
      </c>
      <c r="G2453" t="n">
        <v>4.131534569983129</v>
      </c>
    </row>
    <row r="2454">
      <c r="A2454" t="inlineStr">
        <is>
          <t>TI</t>
        </is>
      </c>
      <c r="B2454" t="inlineStr">
        <is>
          <t>Bull</t>
        </is>
      </c>
      <c r="C2454" t="n">
        <v>118.75</v>
      </c>
      <c r="D2454" s="22" t="n">
        <v>45028</v>
      </c>
      <c r="E2454" t="n">
        <v>238.75</v>
      </c>
      <c r="F2454" s="22" t="n">
        <v>45316</v>
      </c>
      <c r="G2454" t="n">
        <v>101.0526315789474</v>
      </c>
    </row>
    <row r="2455">
      <c r="A2455" t="inlineStr">
        <is>
          <t>TIMETECHNO</t>
        </is>
      </c>
      <c r="B2455" t="inlineStr">
        <is>
          <t>Bull</t>
        </is>
      </c>
      <c r="C2455" t="n">
        <v>449.45</v>
      </c>
      <c r="D2455" s="22" t="n">
        <v>45625</v>
      </c>
      <c r="E2455" t="n">
        <v>489.95</v>
      </c>
      <c r="F2455" s="22" t="n">
        <v>45660</v>
      </c>
      <c r="G2455" t="n">
        <v>9.011013460896651</v>
      </c>
    </row>
    <row r="2456">
      <c r="A2456" t="inlineStr">
        <is>
          <t>TIMETECHNO</t>
        </is>
      </c>
      <c r="B2456" t="inlineStr">
        <is>
          <t>Bear</t>
        </is>
      </c>
      <c r="C2456" t="n">
        <v>371.5</v>
      </c>
      <c r="D2456" s="22" t="n">
        <v>45617</v>
      </c>
      <c r="E2456" t="n">
        <v>426.65</v>
      </c>
      <c r="F2456" s="22" t="n">
        <v>45623</v>
      </c>
      <c r="G2456" t="n">
        <v>-14.84522207267832</v>
      </c>
    </row>
    <row r="2457">
      <c r="A2457" t="inlineStr">
        <is>
          <t>TIMETECHNO</t>
        </is>
      </c>
      <c r="B2457" t="inlineStr">
        <is>
          <t>Bull</t>
        </is>
      </c>
      <c r="C2457" t="n">
        <v>217.35</v>
      </c>
      <c r="D2457" s="22" t="n">
        <v>45336</v>
      </c>
      <c r="E2457" t="n">
        <v>375.4</v>
      </c>
      <c r="F2457" s="22" t="n">
        <v>45614</v>
      </c>
      <c r="G2457" t="n">
        <v>72.71681619507706</v>
      </c>
    </row>
    <row r="2458">
      <c r="A2458" t="inlineStr">
        <is>
          <t>TIMETECHNO</t>
        </is>
      </c>
      <c r="B2458" t="inlineStr">
        <is>
          <t>Bear</t>
        </is>
      </c>
      <c r="C2458" t="n">
        <v>163.8</v>
      </c>
      <c r="D2458" s="22" t="n">
        <v>45327</v>
      </c>
      <c r="E2458" t="n">
        <v>173.65</v>
      </c>
      <c r="F2458" s="22" t="n">
        <v>45334</v>
      </c>
      <c r="G2458" t="n">
        <v>-6.01343101343101</v>
      </c>
    </row>
    <row r="2459">
      <c r="A2459" t="inlineStr">
        <is>
          <t>TIMETECHNO</t>
        </is>
      </c>
      <c r="B2459" t="inlineStr">
        <is>
          <t>Bull</t>
        </is>
      </c>
      <c r="C2459" t="n">
        <v>84.2</v>
      </c>
      <c r="D2459" s="22" t="n">
        <v>45044</v>
      </c>
      <c r="E2459" t="n">
        <v>173.25</v>
      </c>
      <c r="F2459" s="22" t="n">
        <v>45323</v>
      </c>
      <c r="G2459" t="n">
        <v>105.7600950118765</v>
      </c>
    </row>
    <row r="2460">
      <c r="A2460" t="inlineStr">
        <is>
          <t>TORNTPHARM</t>
        </is>
      </c>
      <c r="B2460" t="inlineStr">
        <is>
          <t>Bull</t>
        </is>
      </c>
      <c r="C2460" t="n">
        <v>3327.85</v>
      </c>
      <c r="D2460" s="22" t="n">
        <v>45638</v>
      </c>
      <c r="E2460" t="n">
        <v>3402.85</v>
      </c>
      <c r="F2460" s="22" t="n">
        <v>45660</v>
      </c>
      <c r="G2460" t="n">
        <v>2.253707348588428</v>
      </c>
    </row>
    <row r="2461">
      <c r="A2461" t="inlineStr">
        <is>
          <t>TORNTPHARM</t>
        </is>
      </c>
      <c r="B2461" t="inlineStr">
        <is>
          <t>Bear</t>
        </is>
      </c>
      <c r="C2461" t="n">
        <v>3205.3</v>
      </c>
      <c r="D2461" s="22" t="n">
        <v>45597</v>
      </c>
      <c r="E2461" t="n">
        <v>3350</v>
      </c>
      <c r="F2461" s="22" t="n">
        <v>45636</v>
      </c>
      <c r="G2461" t="n">
        <v>-4.514398028265679</v>
      </c>
    </row>
    <row r="2462">
      <c r="A2462" t="inlineStr">
        <is>
          <t>TORNTPHARM</t>
        </is>
      </c>
      <c r="B2462" t="inlineStr">
        <is>
          <t>Bull</t>
        </is>
      </c>
      <c r="C2462" t="n">
        <v>1930.35</v>
      </c>
      <c r="D2462" s="22" t="n">
        <v>45229</v>
      </c>
      <c r="E2462" t="n">
        <v>3137.8</v>
      </c>
      <c r="F2462" s="22" t="n">
        <v>45595</v>
      </c>
      <c r="G2462" t="n">
        <v>62.55083275053749</v>
      </c>
    </row>
    <row r="2463">
      <c r="A2463" t="inlineStr">
        <is>
          <t>TORNTPHARM</t>
        </is>
      </c>
      <c r="B2463" t="inlineStr">
        <is>
          <t>Bear</t>
        </is>
      </c>
      <c r="C2463" t="n">
        <v>1867.25</v>
      </c>
      <c r="D2463" s="22" t="n">
        <v>45180</v>
      </c>
      <c r="E2463" t="n">
        <v>1889.65</v>
      </c>
      <c r="F2463" s="22" t="n">
        <v>45225</v>
      </c>
      <c r="G2463" t="n">
        <v>-1.199625117150895</v>
      </c>
    </row>
    <row r="2464">
      <c r="A2464" t="inlineStr">
        <is>
          <t>TORNTPHARM</t>
        </is>
      </c>
      <c r="B2464" t="inlineStr">
        <is>
          <t>Bull</t>
        </is>
      </c>
      <c r="C2464" t="n">
        <v>1574.75</v>
      </c>
      <c r="D2464" s="22" t="n">
        <v>45022</v>
      </c>
      <c r="E2464" t="n">
        <v>1891.5</v>
      </c>
      <c r="F2464" s="22" t="n">
        <v>45176</v>
      </c>
      <c r="G2464" t="n">
        <v>20.1143038577552</v>
      </c>
    </row>
    <row r="2465">
      <c r="A2465" t="inlineStr">
        <is>
          <t>TORNTPOWER</t>
        </is>
      </c>
      <c r="B2465" t="inlineStr">
        <is>
          <t>Bear</t>
        </is>
      </c>
      <c r="C2465" t="n">
        <v>1658.7</v>
      </c>
      <c r="D2465" s="22" t="n">
        <v>45608</v>
      </c>
      <c r="E2465" t="n">
        <v>1513.45</v>
      </c>
      <c r="F2465" s="22" t="n">
        <v>45660</v>
      </c>
      <c r="G2465" t="n">
        <v>8.756857780189305</v>
      </c>
    </row>
    <row r="2466">
      <c r="A2466" t="inlineStr">
        <is>
          <t>TRIVENI</t>
        </is>
      </c>
      <c r="B2466" t="inlineStr">
        <is>
          <t>Bull</t>
        </is>
      </c>
      <c r="C2466" t="n">
        <v>461.2</v>
      </c>
      <c r="D2466" s="22" t="n">
        <v>45638</v>
      </c>
      <c r="E2466" t="n">
        <v>447.4</v>
      </c>
      <c r="F2466" s="22" t="n">
        <v>45660</v>
      </c>
      <c r="G2466" t="n">
        <v>-2.992194275802257</v>
      </c>
    </row>
    <row r="2467">
      <c r="A2467" t="inlineStr">
        <is>
          <t>TRIVENI</t>
        </is>
      </c>
      <c r="B2467" t="inlineStr">
        <is>
          <t>Bear</t>
        </is>
      </c>
      <c r="C2467" t="n">
        <v>394.3</v>
      </c>
      <c r="D2467" s="22" t="n">
        <v>45587</v>
      </c>
      <c r="E2467" t="n">
        <v>474.9</v>
      </c>
      <c r="F2467" s="22" t="n">
        <v>45636</v>
      </c>
      <c r="G2467" t="n">
        <v>-20.44128835911741</v>
      </c>
    </row>
    <row r="2468">
      <c r="A2468" t="inlineStr">
        <is>
          <t>TRIVENI</t>
        </is>
      </c>
      <c r="B2468" t="inlineStr">
        <is>
          <t>Bull</t>
        </is>
      </c>
      <c r="C2468" t="n">
        <v>394.3</v>
      </c>
      <c r="D2468" s="22" t="n">
        <v>45457</v>
      </c>
      <c r="E2468" t="n">
        <v>421.9</v>
      </c>
      <c r="F2468" s="22" t="n">
        <v>45583</v>
      </c>
      <c r="G2468" t="n">
        <v>6.999746386000498</v>
      </c>
    </row>
    <row r="2469">
      <c r="A2469" t="inlineStr">
        <is>
          <t>TRIVENI</t>
        </is>
      </c>
      <c r="B2469" t="inlineStr">
        <is>
          <t>Bear</t>
        </is>
      </c>
      <c r="C2469" t="n">
        <v>305.35</v>
      </c>
      <c r="D2469" s="22" t="n">
        <v>45447</v>
      </c>
      <c r="E2469" t="n">
        <v>372.15</v>
      </c>
      <c r="F2469" s="22" t="n">
        <v>45455</v>
      </c>
      <c r="G2469" t="n">
        <v>-21.87653512362861</v>
      </c>
    </row>
    <row r="2470">
      <c r="A2470" t="inlineStr">
        <is>
          <t>TRIVENI</t>
        </is>
      </c>
      <c r="B2470" t="inlineStr">
        <is>
          <t>Bull</t>
        </is>
      </c>
      <c r="C2470" t="n">
        <v>356.25</v>
      </c>
      <c r="D2470" s="22" t="n">
        <v>45406</v>
      </c>
      <c r="E2470" t="n">
        <v>328.2</v>
      </c>
      <c r="F2470" s="22" t="n">
        <v>45443</v>
      </c>
      <c r="G2470" t="n">
        <v>-7.873684210526319</v>
      </c>
    </row>
    <row r="2471">
      <c r="A2471" t="inlineStr">
        <is>
          <t>TRIVENI</t>
        </is>
      </c>
      <c r="B2471" t="inlineStr">
        <is>
          <t>Bear</t>
        </is>
      </c>
      <c r="C2471" t="n">
        <v>346.35</v>
      </c>
      <c r="D2471" s="22" t="n">
        <v>45273</v>
      </c>
      <c r="E2471" t="n">
        <v>359.9</v>
      </c>
      <c r="F2471" s="22" t="n">
        <v>45404</v>
      </c>
      <c r="G2471" t="n">
        <v>-3.912227515518971</v>
      </c>
    </row>
    <row r="2472">
      <c r="A2472" t="inlineStr">
        <is>
          <t>TRIVENI</t>
        </is>
      </c>
      <c r="B2472" t="inlineStr">
        <is>
          <t>Bull</t>
        </is>
      </c>
      <c r="C2472" t="n">
        <v>293.1</v>
      </c>
      <c r="D2472" s="22" t="n">
        <v>45085</v>
      </c>
      <c r="E2472" t="n">
        <v>345.25</v>
      </c>
      <c r="F2472" s="22" t="n">
        <v>45271</v>
      </c>
      <c r="G2472" t="n">
        <v>17.79256226543841</v>
      </c>
    </row>
    <row r="2473">
      <c r="A2473" t="inlineStr">
        <is>
          <t>TRIVENI</t>
        </is>
      </c>
      <c r="B2473" t="inlineStr">
        <is>
          <t>Bear</t>
        </is>
      </c>
      <c r="C2473" t="n">
        <v>262.05</v>
      </c>
      <c r="D2473" s="22" t="n">
        <v>45062</v>
      </c>
      <c r="E2473" t="n">
        <v>277.4</v>
      </c>
      <c r="F2473" s="22" t="n">
        <v>45083</v>
      </c>
      <c r="G2473" t="n">
        <v>-5.857660751764917</v>
      </c>
    </row>
    <row r="2474">
      <c r="A2474" t="inlineStr">
        <is>
          <t>TTKPRESTIG</t>
        </is>
      </c>
      <c r="B2474" t="inlineStr">
        <is>
          <t>Bear</t>
        </is>
      </c>
      <c r="C2474" t="n">
        <v>879.45</v>
      </c>
      <c r="D2474" s="22" t="n">
        <v>45561</v>
      </c>
      <c r="E2474" t="n">
        <v>822.1</v>
      </c>
      <c r="F2474" s="22" t="n">
        <v>45660</v>
      </c>
      <c r="G2474" t="n">
        <v>6.521121155267499</v>
      </c>
    </row>
    <row r="2475">
      <c r="A2475" t="inlineStr">
        <is>
          <t>TTKPRESTIG</t>
        </is>
      </c>
      <c r="B2475" t="inlineStr">
        <is>
          <t>Bull</t>
        </is>
      </c>
      <c r="C2475" t="n">
        <v>743.9</v>
      </c>
      <c r="D2475" s="22" t="n">
        <v>45455</v>
      </c>
      <c r="E2475" t="n">
        <v>879.25</v>
      </c>
      <c r="F2475" s="22" t="n">
        <v>45559</v>
      </c>
      <c r="G2475" t="n">
        <v>18.194649818524</v>
      </c>
    </row>
    <row r="2476">
      <c r="A2476" t="inlineStr">
        <is>
          <t>TTKPRESTIG</t>
        </is>
      </c>
      <c r="B2476" t="inlineStr">
        <is>
          <t>Bear</t>
        </is>
      </c>
      <c r="C2476" t="n">
        <v>746</v>
      </c>
      <c r="D2476" s="22" t="n">
        <v>45344</v>
      </c>
      <c r="E2476" t="n">
        <v>737.55</v>
      </c>
      <c r="F2476" s="22" t="n">
        <v>45453</v>
      </c>
      <c r="G2476" t="n">
        <v>1.132707774798934</v>
      </c>
    </row>
    <row r="2477">
      <c r="A2477" t="inlineStr">
        <is>
          <t>TTKPRESTIG</t>
        </is>
      </c>
      <c r="B2477" t="inlineStr">
        <is>
          <t>Bull</t>
        </is>
      </c>
      <c r="C2477" t="n">
        <v>779.8</v>
      </c>
      <c r="D2477" s="22" t="n">
        <v>45316</v>
      </c>
      <c r="E2477" t="n">
        <v>757.5</v>
      </c>
      <c r="F2477" s="22" t="n">
        <v>45342</v>
      </c>
      <c r="G2477" t="n">
        <v>-2.859707617337773</v>
      </c>
    </row>
    <row r="2478">
      <c r="A2478" t="inlineStr">
        <is>
          <t>TTKPRESTIG</t>
        </is>
      </c>
      <c r="B2478" t="inlineStr">
        <is>
          <t>Bear</t>
        </is>
      </c>
      <c r="C2478" t="n">
        <v>765</v>
      </c>
      <c r="D2478" s="22" t="n">
        <v>45258</v>
      </c>
      <c r="E2478" t="n">
        <v>766</v>
      </c>
      <c r="F2478" s="22" t="n">
        <v>45314</v>
      </c>
      <c r="G2478" t="n">
        <v>-0.130718954248366</v>
      </c>
    </row>
    <row r="2479">
      <c r="A2479" t="inlineStr">
        <is>
          <t>TTKPRESTIG</t>
        </is>
      </c>
      <c r="B2479" t="inlineStr">
        <is>
          <t>Bull</t>
        </is>
      </c>
      <c r="C2479" t="n">
        <v>749</v>
      </c>
      <c r="D2479" s="22" t="n">
        <v>45097</v>
      </c>
      <c r="E2479" t="n">
        <v>769.65</v>
      </c>
      <c r="F2479" s="22" t="n">
        <v>45253</v>
      </c>
      <c r="G2479" t="n">
        <v>2.75700934579439</v>
      </c>
    </row>
    <row r="2480">
      <c r="A2480" t="inlineStr">
        <is>
          <t>TTKPRESTIG</t>
        </is>
      </c>
      <c r="B2480" t="inlineStr">
        <is>
          <t>Bear</t>
        </is>
      </c>
      <c r="C2480" t="n">
        <v>901.5</v>
      </c>
      <c r="D2480" s="22" t="n">
        <v>44872</v>
      </c>
      <c r="E2480" t="n">
        <v>739</v>
      </c>
      <c r="F2480" s="22" t="n">
        <v>45093</v>
      </c>
      <c r="G2480" t="n">
        <v>18.0255130338325</v>
      </c>
    </row>
    <row r="2481">
      <c r="A2481" t="inlineStr">
        <is>
          <t>TIINDIA</t>
        </is>
      </c>
      <c r="B2481" t="inlineStr">
        <is>
          <t>Bear</t>
        </is>
      </c>
      <c r="C2481" t="n">
        <v>3561.8</v>
      </c>
      <c r="D2481" s="22" t="n">
        <v>45608</v>
      </c>
      <c r="E2481" t="n">
        <v>3609.65</v>
      </c>
      <c r="F2481" s="22" t="n">
        <v>45660</v>
      </c>
      <c r="G2481" t="n">
        <v>-1.343421865348978</v>
      </c>
    </row>
    <row r="2482">
      <c r="A2482" t="inlineStr">
        <is>
          <t>TIINDIA</t>
        </is>
      </c>
      <c r="B2482" t="inlineStr">
        <is>
          <t>Bull</t>
        </is>
      </c>
      <c r="C2482" t="n">
        <v>4242.1</v>
      </c>
      <c r="D2482" s="22" t="n">
        <v>45559</v>
      </c>
      <c r="E2482" t="n">
        <v>3890.55</v>
      </c>
      <c r="F2482" s="22" t="n">
        <v>45604</v>
      </c>
      <c r="G2482" t="n">
        <v>-8.287169090780514</v>
      </c>
    </row>
    <row r="2483">
      <c r="A2483" t="inlineStr">
        <is>
          <t>TIINDIA</t>
        </is>
      </c>
      <c r="B2483" t="inlineStr">
        <is>
          <t>Bear</t>
        </is>
      </c>
      <c r="C2483" t="n">
        <v>3896.85</v>
      </c>
      <c r="D2483" s="22" t="n">
        <v>45544</v>
      </c>
      <c r="E2483" t="n">
        <v>4291.95</v>
      </c>
      <c r="F2483" s="22" t="n">
        <v>45555</v>
      </c>
      <c r="G2483" t="n">
        <v>-10.13895838946842</v>
      </c>
    </row>
    <row r="2484">
      <c r="A2484" t="inlineStr">
        <is>
          <t>TIINDIA</t>
        </is>
      </c>
      <c r="B2484" t="inlineStr">
        <is>
          <t>Bull</t>
        </is>
      </c>
      <c r="C2484" t="n">
        <v>4004.55</v>
      </c>
      <c r="D2484" s="22" t="n">
        <v>45533</v>
      </c>
      <c r="E2484" t="n">
        <v>4072.55</v>
      </c>
      <c r="F2484" s="22" t="n">
        <v>45540</v>
      </c>
      <c r="G2484" t="n">
        <v>1.698068447141377</v>
      </c>
    </row>
    <row r="2485">
      <c r="A2485" t="inlineStr">
        <is>
          <t>TIINDIA</t>
        </is>
      </c>
      <c r="B2485" t="inlineStr">
        <is>
          <t>Bear</t>
        </is>
      </c>
      <c r="C2485" t="n">
        <v>4011.25</v>
      </c>
      <c r="D2485" s="22" t="n">
        <v>45520</v>
      </c>
      <c r="E2485" t="n">
        <v>4158.65</v>
      </c>
      <c r="F2485" s="22" t="n">
        <v>45531</v>
      </c>
      <c r="G2485" t="n">
        <v>-3.674665004674344</v>
      </c>
    </row>
    <row r="2486">
      <c r="A2486" t="inlineStr">
        <is>
          <t>TIINDIA</t>
        </is>
      </c>
      <c r="B2486" t="inlineStr">
        <is>
          <t>Bull</t>
        </is>
      </c>
      <c r="C2486" t="n">
        <v>3819.45</v>
      </c>
      <c r="D2486" s="22" t="n">
        <v>45415</v>
      </c>
      <c r="E2486" t="n">
        <v>3973.95</v>
      </c>
      <c r="F2486" s="22" t="n">
        <v>45517</v>
      </c>
      <c r="G2486" t="n">
        <v>4.045085025330873</v>
      </c>
    </row>
    <row r="2487">
      <c r="A2487" t="inlineStr">
        <is>
          <t>TIINDIA</t>
        </is>
      </c>
      <c r="B2487" t="inlineStr">
        <is>
          <t>Bear</t>
        </is>
      </c>
      <c r="C2487" t="n">
        <v>3567.75</v>
      </c>
      <c r="D2487" s="22" t="n">
        <v>45392</v>
      </c>
      <c r="E2487" t="n">
        <v>3742.6</v>
      </c>
      <c r="F2487" s="22" t="n">
        <v>45412</v>
      </c>
      <c r="G2487" t="n">
        <v>-4.900847873309506</v>
      </c>
    </row>
    <row r="2488">
      <c r="A2488" t="inlineStr">
        <is>
          <t>TIINDIA</t>
        </is>
      </c>
      <c r="B2488" t="inlineStr">
        <is>
          <t>Bull</t>
        </is>
      </c>
      <c r="C2488" t="n">
        <v>3736.6</v>
      </c>
      <c r="D2488" s="22" t="n">
        <v>45379</v>
      </c>
      <c r="E2488" t="n">
        <v>3549.75</v>
      </c>
      <c r="F2488" s="22" t="n">
        <v>45390</v>
      </c>
      <c r="G2488" t="n">
        <v>-5.000535245945509</v>
      </c>
    </row>
    <row r="2489">
      <c r="A2489" t="inlineStr">
        <is>
          <t>TIINDIA</t>
        </is>
      </c>
      <c r="B2489" t="inlineStr">
        <is>
          <t>Bear</t>
        </is>
      </c>
      <c r="C2489" t="n">
        <v>3533.5</v>
      </c>
      <c r="D2489" s="22" t="n">
        <v>45350</v>
      </c>
      <c r="E2489" t="n">
        <v>3742.45</v>
      </c>
      <c r="F2489" s="22" t="n">
        <v>45377</v>
      </c>
      <c r="G2489" t="n">
        <v>-5.913400311306066</v>
      </c>
    </row>
    <row r="2490">
      <c r="A2490" t="inlineStr">
        <is>
          <t>TIINDIA</t>
        </is>
      </c>
      <c r="B2490" t="inlineStr">
        <is>
          <t>Bull</t>
        </is>
      </c>
      <c r="C2490" t="n">
        <v>3141.15</v>
      </c>
      <c r="D2490" s="22" t="n">
        <v>45236</v>
      </c>
      <c r="E2490" t="n">
        <v>3571.7</v>
      </c>
      <c r="F2490" s="22" t="n">
        <v>45348</v>
      </c>
      <c r="G2490" t="n">
        <v>13.70676344650844</v>
      </c>
    </row>
    <row r="2491">
      <c r="A2491" t="inlineStr">
        <is>
          <t>TIINDIA</t>
        </is>
      </c>
      <c r="B2491" t="inlineStr">
        <is>
          <t>Bear</t>
        </is>
      </c>
      <c r="C2491" t="n">
        <v>2926.95</v>
      </c>
      <c r="D2491" s="22" t="n">
        <v>45210</v>
      </c>
      <c r="E2491" t="n">
        <v>3138.2</v>
      </c>
      <c r="F2491" s="22" t="n">
        <v>45232</v>
      </c>
      <c r="G2491" t="n">
        <v>-7.217410615145459</v>
      </c>
    </row>
    <row r="2492">
      <c r="A2492" t="inlineStr">
        <is>
          <t>TIINDIA</t>
        </is>
      </c>
      <c r="B2492" t="inlineStr">
        <is>
          <t>Bull</t>
        </is>
      </c>
      <c r="C2492" t="n">
        <v>3313</v>
      </c>
      <c r="D2492" s="22" t="n">
        <v>45177</v>
      </c>
      <c r="E2492" t="n">
        <v>2932</v>
      </c>
      <c r="F2492" s="22" t="n">
        <v>45208</v>
      </c>
      <c r="G2492" t="n">
        <v>-11.50015092061576</v>
      </c>
    </row>
    <row r="2493">
      <c r="A2493" t="inlineStr">
        <is>
          <t>TIINDIA</t>
        </is>
      </c>
      <c r="B2493" t="inlineStr">
        <is>
          <t>Bear</t>
        </is>
      </c>
      <c r="C2493" t="n">
        <v>2763.9</v>
      </c>
      <c r="D2493" s="22" t="n">
        <v>45155</v>
      </c>
      <c r="E2493" t="n">
        <v>3146.3</v>
      </c>
      <c r="F2493" s="22" t="n">
        <v>45175</v>
      </c>
      <c r="G2493" t="n">
        <v>-13.83552226925721</v>
      </c>
    </row>
    <row r="2494">
      <c r="A2494" t="inlineStr">
        <is>
          <t>TIINDIA</t>
        </is>
      </c>
      <c r="B2494" t="inlineStr">
        <is>
          <t>Bull</t>
        </is>
      </c>
      <c r="C2494" t="n">
        <v>2767.35</v>
      </c>
      <c r="D2494" s="22" t="n">
        <v>45057</v>
      </c>
      <c r="E2494" t="n">
        <v>2862</v>
      </c>
      <c r="F2494" s="22" t="n">
        <v>45152</v>
      </c>
      <c r="G2494" t="n">
        <v>3.420239579380999</v>
      </c>
    </row>
    <row r="2495">
      <c r="A2495" t="inlineStr">
        <is>
          <t>ULTRACEMCO</t>
        </is>
      </c>
      <c r="B2495" t="inlineStr">
        <is>
          <t>Bull</t>
        </is>
      </c>
      <c r="C2495" t="n">
        <v>11932.8</v>
      </c>
      <c r="D2495" s="22" t="n">
        <v>45631</v>
      </c>
      <c r="E2495" t="n">
        <v>11786</v>
      </c>
      <c r="F2495" s="22" t="n">
        <v>45660</v>
      </c>
      <c r="G2495" t="n">
        <v>-1.230222579780096</v>
      </c>
    </row>
    <row r="2496">
      <c r="A2496" t="inlineStr">
        <is>
          <t>ULTRACEMCO</t>
        </is>
      </c>
      <c r="B2496" t="inlineStr">
        <is>
          <t>Bear</t>
        </is>
      </c>
      <c r="C2496" t="n">
        <v>11069.3</v>
      </c>
      <c r="D2496" s="22" t="n">
        <v>45583</v>
      </c>
      <c r="E2496" t="n">
        <v>11852.35</v>
      </c>
      <c r="F2496" s="22" t="n">
        <v>45629</v>
      </c>
      <c r="G2496" t="n">
        <v>-7.074069724372825</v>
      </c>
    </row>
    <row r="2497">
      <c r="A2497" t="inlineStr">
        <is>
          <t>ULTRACEMCO</t>
        </is>
      </c>
      <c r="B2497" t="inlineStr">
        <is>
          <t>Bull</t>
        </is>
      </c>
      <c r="C2497" t="n">
        <v>10170.55</v>
      </c>
      <c r="D2497" s="22" t="n">
        <v>45435</v>
      </c>
      <c r="E2497" t="n">
        <v>11322.3</v>
      </c>
      <c r="F2497" s="22" t="n">
        <v>45581</v>
      </c>
      <c r="G2497" t="n">
        <v>11.32436298921887</v>
      </c>
    </row>
    <row r="2498">
      <c r="A2498" t="inlineStr">
        <is>
          <t>ULTRACEMCO</t>
        </is>
      </c>
      <c r="B2498" t="inlineStr">
        <is>
          <t>Bear</t>
        </is>
      </c>
      <c r="C2498" t="n">
        <v>9696.950000000001</v>
      </c>
      <c r="D2498" s="22" t="n">
        <v>45365</v>
      </c>
      <c r="E2498" t="n">
        <v>9789.4</v>
      </c>
      <c r="F2498" s="22" t="n">
        <v>45433</v>
      </c>
      <c r="G2498" t="n">
        <v>-0.9533925615786294</v>
      </c>
    </row>
    <row r="2499">
      <c r="A2499" t="inlineStr">
        <is>
          <t>ULTRACEMCO</t>
        </is>
      </c>
      <c r="B2499" t="inlineStr">
        <is>
          <t>Bull</t>
        </is>
      </c>
      <c r="C2499" t="n">
        <v>8461.049999999999</v>
      </c>
      <c r="D2499" s="22" t="n">
        <v>45219</v>
      </c>
      <c r="E2499" t="n">
        <v>9615.5</v>
      </c>
      <c r="F2499" s="22" t="n">
        <v>45363</v>
      </c>
      <c r="G2499" t="n">
        <v>13.64428764751421</v>
      </c>
    </row>
    <row r="2500">
      <c r="A2500" t="inlineStr">
        <is>
          <t>ULTRACEMCO</t>
        </is>
      </c>
      <c r="B2500" t="inlineStr">
        <is>
          <t>Bear</t>
        </is>
      </c>
      <c r="C2500" t="n">
        <v>8158.3</v>
      </c>
      <c r="D2500" s="22" t="n">
        <v>45209</v>
      </c>
      <c r="E2500" t="n">
        <v>8278.299999999999</v>
      </c>
      <c r="F2500" s="22" t="n">
        <v>45217</v>
      </c>
      <c r="G2500" t="n">
        <v>-1.470894671684041</v>
      </c>
    </row>
    <row r="2501">
      <c r="A2501" t="inlineStr">
        <is>
          <t>ULTRACEMCO</t>
        </is>
      </c>
      <c r="B2501" t="inlineStr">
        <is>
          <t>Bull</t>
        </is>
      </c>
      <c r="C2501" t="n">
        <v>6820.9</v>
      </c>
      <c r="D2501" s="22" t="n">
        <v>44866</v>
      </c>
      <c r="E2501" t="n">
        <v>8195.450000000001</v>
      </c>
      <c r="F2501" s="22" t="n">
        <v>45205</v>
      </c>
      <c r="G2501" t="n">
        <v>20.15203272295447</v>
      </c>
    </row>
    <row r="2502">
      <c r="A2502" t="inlineStr">
        <is>
          <t>UNIPARTS</t>
        </is>
      </c>
      <c r="B2502" t="inlineStr">
        <is>
          <t>Bear</t>
        </is>
      </c>
      <c r="C2502" t="n">
        <v>510.9</v>
      </c>
      <c r="D2502" s="22" t="n">
        <v>45364</v>
      </c>
      <c r="E2502" t="n">
        <v>418</v>
      </c>
      <c r="F2502" s="22" t="n">
        <v>45660</v>
      </c>
      <c r="G2502" t="n">
        <v>18.18359757291055</v>
      </c>
    </row>
    <row r="2503">
      <c r="A2503" t="inlineStr">
        <is>
          <t>UNIPARTS</t>
        </is>
      </c>
      <c r="B2503" t="inlineStr">
        <is>
          <t>Bull</t>
        </is>
      </c>
      <c r="C2503" t="n">
        <v>580.7</v>
      </c>
      <c r="D2503" s="22" t="n">
        <v>45353</v>
      </c>
      <c r="E2503" t="n">
        <v>560.35</v>
      </c>
      <c r="F2503" s="22" t="n">
        <v>45362</v>
      </c>
      <c r="G2503" t="n">
        <v>-3.504391251937321</v>
      </c>
    </row>
    <row r="2504">
      <c r="A2504" t="inlineStr">
        <is>
          <t>UNIPARTS</t>
        </is>
      </c>
      <c r="B2504" t="inlineStr">
        <is>
          <t>Bear</t>
        </is>
      </c>
      <c r="C2504" t="n">
        <v>547.45</v>
      </c>
      <c r="D2504" s="22" t="n">
        <v>45336</v>
      </c>
      <c r="E2504" t="n">
        <v>582.65</v>
      </c>
      <c r="F2504" s="22" t="n">
        <v>45351</v>
      </c>
      <c r="G2504" t="n">
        <v>-6.429810941638493</v>
      </c>
    </row>
    <row r="2505">
      <c r="A2505" t="inlineStr">
        <is>
          <t>UNIPARTS</t>
        </is>
      </c>
      <c r="B2505" t="inlineStr">
        <is>
          <t>Bull</t>
        </is>
      </c>
      <c r="C2505" t="n">
        <v>570.05</v>
      </c>
      <c r="D2505" s="22" t="n">
        <v>45295</v>
      </c>
      <c r="E2505" t="n">
        <v>528.8</v>
      </c>
      <c r="F2505" s="22" t="n">
        <v>45334</v>
      </c>
      <c r="G2505" t="n">
        <v>-7.236207350232436</v>
      </c>
    </row>
    <row r="2506">
      <c r="A2506" t="inlineStr">
        <is>
          <t>UNIPARTS</t>
        </is>
      </c>
      <c r="B2506" t="inlineStr">
        <is>
          <t>Bear</t>
        </is>
      </c>
      <c r="C2506" t="n">
        <v>594.7</v>
      </c>
      <c r="D2506" s="22" t="n">
        <v>45183</v>
      </c>
      <c r="E2506" t="n">
        <v>576</v>
      </c>
      <c r="F2506" s="22" t="n">
        <v>45293</v>
      </c>
      <c r="G2506" t="n">
        <v>3.144442576088792</v>
      </c>
    </row>
    <row r="2507">
      <c r="A2507" t="inlineStr">
        <is>
          <t>UNITDSPR</t>
        </is>
      </c>
      <c r="B2507" t="inlineStr">
        <is>
          <t>Bull</t>
        </is>
      </c>
      <c r="C2507" t="n">
        <v>1532.2</v>
      </c>
      <c r="D2507" s="22" t="n">
        <v>45628</v>
      </c>
      <c r="E2507" t="n">
        <v>1682.45</v>
      </c>
      <c r="F2507" s="22" t="n">
        <v>45660</v>
      </c>
      <c r="G2507" t="n">
        <v>9.806161075577601</v>
      </c>
    </row>
    <row r="2508">
      <c r="A2508" t="inlineStr">
        <is>
          <t>UNITDSPR</t>
        </is>
      </c>
      <c r="B2508" t="inlineStr">
        <is>
          <t>Bear</t>
        </is>
      </c>
      <c r="C2508" t="n">
        <v>1453.15</v>
      </c>
      <c r="D2508" s="22" t="n">
        <v>45597</v>
      </c>
      <c r="E2508" t="n">
        <v>1502.75</v>
      </c>
      <c r="F2508" s="22" t="n">
        <v>45624</v>
      </c>
      <c r="G2508" t="n">
        <v>-3.413274610329278</v>
      </c>
    </row>
    <row r="2509">
      <c r="A2509" t="inlineStr">
        <is>
          <t>UNITDSPR</t>
        </is>
      </c>
      <c r="B2509" t="inlineStr">
        <is>
          <t>Bull</t>
        </is>
      </c>
      <c r="C2509" t="n">
        <v>787.05</v>
      </c>
      <c r="D2509" s="22" t="n">
        <v>45051</v>
      </c>
      <c r="E2509" t="n">
        <v>1445.85</v>
      </c>
      <c r="F2509" s="22" t="n">
        <v>45595</v>
      </c>
      <c r="G2509" t="n">
        <v>83.70497427101201</v>
      </c>
    </row>
    <row r="2510">
      <c r="A2510" t="inlineStr">
        <is>
          <t>USHAMART</t>
        </is>
      </c>
      <c r="B2510" t="inlineStr">
        <is>
          <t>Bear</t>
        </is>
      </c>
      <c r="C2510" t="n">
        <v>374.15</v>
      </c>
      <c r="D2510" s="22" t="n">
        <v>45650</v>
      </c>
      <c r="E2510" t="n">
        <v>367.55</v>
      </c>
      <c r="F2510" s="22" t="n">
        <v>45660</v>
      </c>
      <c r="G2510" t="n">
        <v>1.763998396365085</v>
      </c>
    </row>
    <row r="2511">
      <c r="A2511" t="inlineStr">
        <is>
          <t>USHAMART</t>
        </is>
      </c>
      <c r="B2511" t="inlineStr">
        <is>
          <t>Bull</t>
        </is>
      </c>
      <c r="C2511" t="n">
        <v>430.15</v>
      </c>
      <c r="D2511" s="22" t="n">
        <v>45579</v>
      </c>
      <c r="E2511" t="n">
        <v>371.85</v>
      </c>
      <c r="F2511" s="22" t="n">
        <v>45646</v>
      </c>
      <c r="G2511" t="n">
        <v>-13.55341160060443</v>
      </c>
    </row>
    <row r="2512">
      <c r="A2512" t="inlineStr">
        <is>
          <t>USHAMART</t>
        </is>
      </c>
      <c r="B2512" t="inlineStr">
        <is>
          <t>Bear</t>
        </is>
      </c>
      <c r="C2512" t="n">
        <v>352.9</v>
      </c>
      <c r="D2512" s="22" t="n">
        <v>45511</v>
      </c>
      <c r="E2512" t="n">
        <v>367.15</v>
      </c>
      <c r="F2512" s="22" t="n">
        <v>45575</v>
      </c>
      <c r="G2512" t="n">
        <v>-4.03797109662794</v>
      </c>
    </row>
    <row r="2513">
      <c r="A2513" t="inlineStr">
        <is>
          <t>USHAMART</t>
        </is>
      </c>
      <c r="B2513" t="inlineStr">
        <is>
          <t>Bull</t>
        </is>
      </c>
      <c r="C2513" t="n">
        <v>342.2</v>
      </c>
      <c r="D2513" s="22" t="n">
        <v>45390</v>
      </c>
      <c r="E2513" t="n">
        <v>348.85</v>
      </c>
      <c r="F2513" s="22" t="n">
        <v>45509</v>
      </c>
      <c r="G2513" t="n">
        <v>1.943308007013453</v>
      </c>
    </row>
    <row r="2514">
      <c r="A2514" t="inlineStr">
        <is>
          <t>USHAMART</t>
        </is>
      </c>
      <c r="B2514" t="inlineStr">
        <is>
          <t>Bear</t>
        </is>
      </c>
      <c r="C2514" t="n">
        <v>329.05</v>
      </c>
      <c r="D2514" s="22" t="n">
        <v>45351</v>
      </c>
      <c r="E2514" t="n">
        <v>339</v>
      </c>
      <c r="F2514" s="22" t="n">
        <v>45386</v>
      </c>
      <c r="G2514" t="n">
        <v>-3.023856556754289</v>
      </c>
    </row>
    <row r="2515">
      <c r="A2515" t="inlineStr">
        <is>
          <t>USHAMART</t>
        </is>
      </c>
      <c r="B2515" t="inlineStr">
        <is>
          <t>Bull</t>
        </is>
      </c>
      <c r="C2515" t="n">
        <v>350.4</v>
      </c>
      <c r="D2515" s="22" t="n">
        <v>45311</v>
      </c>
      <c r="E2515" t="n">
        <v>322.75</v>
      </c>
      <c r="F2515" s="22" t="n">
        <v>45349</v>
      </c>
      <c r="G2515" t="n">
        <v>-7.890981735159812</v>
      </c>
    </row>
    <row r="2516">
      <c r="A2516" t="inlineStr">
        <is>
          <t>USHAMART</t>
        </is>
      </c>
      <c r="B2516" t="inlineStr">
        <is>
          <t>Bear</t>
        </is>
      </c>
      <c r="C2516" t="n">
        <v>294.1</v>
      </c>
      <c r="D2516" s="22" t="n">
        <v>45273</v>
      </c>
      <c r="E2516" t="n">
        <v>308.55</v>
      </c>
      <c r="F2516" s="22" t="n">
        <v>45309</v>
      </c>
      <c r="G2516" t="n">
        <v>-4.913294797687857</v>
      </c>
    </row>
    <row r="2517">
      <c r="A2517" t="inlineStr">
        <is>
          <t>USHAMART</t>
        </is>
      </c>
      <c r="B2517" t="inlineStr">
        <is>
          <t>Bull</t>
        </is>
      </c>
      <c r="C2517" t="n">
        <v>334.25</v>
      </c>
      <c r="D2517" s="22" t="n">
        <v>45260</v>
      </c>
      <c r="E2517" t="n">
        <v>308.85</v>
      </c>
      <c r="F2517" s="22" t="n">
        <v>45271</v>
      </c>
      <c r="G2517" t="n">
        <v>-7.599102468212409</v>
      </c>
    </row>
    <row r="2518">
      <c r="A2518" t="inlineStr">
        <is>
          <t>USHAMART</t>
        </is>
      </c>
      <c r="B2518" t="inlineStr">
        <is>
          <t>Bear</t>
        </is>
      </c>
      <c r="C2518" t="n">
        <v>314.6</v>
      </c>
      <c r="D2518" s="22" t="n">
        <v>45218</v>
      </c>
      <c r="E2518" t="n">
        <v>326.85</v>
      </c>
      <c r="F2518" s="22" t="n">
        <v>45258</v>
      </c>
      <c r="G2518" t="n">
        <v>-3.893833439287985</v>
      </c>
    </row>
    <row r="2519">
      <c r="A2519" t="inlineStr">
        <is>
          <t>USHAMART</t>
        </is>
      </c>
      <c r="B2519" t="inlineStr">
        <is>
          <t>Bull</t>
        </is>
      </c>
      <c r="C2519" t="n">
        <v>148.25</v>
      </c>
      <c r="D2519" s="22" t="n">
        <v>44915</v>
      </c>
      <c r="E2519" t="n">
        <v>328.75</v>
      </c>
      <c r="F2519" s="22" t="n">
        <v>45216</v>
      </c>
      <c r="G2519" t="n">
        <v>121.7537942664418</v>
      </c>
    </row>
    <row r="2520">
      <c r="A2520" t="inlineStr">
        <is>
          <t>UTIAMC</t>
        </is>
      </c>
      <c r="B2520" t="inlineStr">
        <is>
          <t>Bull</t>
        </is>
      </c>
      <c r="C2520" t="n">
        <v>919.2</v>
      </c>
      <c r="D2520" s="22" t="n">
        <v>45394</v>
      </c>
      <c r="E2520" t="n">
        <v>1362.2</v>
      </c>
      <c r="F2520" s="22" t="n">
        <v>45660</v>
      </c>
      <c r="G2520" t="n">
        <v>48.19408181026979</v>
      </c>
    </row>
    <row r="2521">
      <c r="A2521" t="inlineStr">
        <is>
          <t>UTIAMC</t>
        </is>
      </c>
      <c r="B2521" t="inlineStr">
        <is>
          <t>Bear</t>
        </is>
      </c>
      <c r="C2521" t="n">
        <v>837.75</v>
      </c>
      <c r="D2521" s="22" t="n">
        <v>45366</v>
      </c>
      <c r="E2521" t="n">
        <v>915</v>
      </c>
      <c r="F2521" s="22" t="n">
        <v>45391</v>
      </c>
      <c r="G2521" t="n">
        <v>-9.221128021486123</v>
      </c>
    </row>
    <row r="2522">
      <c r="A2522" t="inlineStr">
        <is>
          <t>UTIAMC</t>
        </is>
      </c>
      <c r="B2522" t="inlineStr">
        <is>
          <t>Bull</t>
        </is>
      </c>
      <c r="C2522" t="n">
        <v>790.35</v>
      </c>
      <c r="D2522" s="22" t="n">
        <v>45251</v>
      </c>
      <c r="E2522" t="n">
        <v>811.5</v>
      </c>
      <c r="F2522" s="22" t="n">
        <v>45364</v>
      </c>
      <c r="G2522" t="n">
        <v>2.676029607136076</v>
      </c>
    </row>
    <row r="2523">
      <c r="A2523" t="inlineStr">
        <is>
          <t>UTIAMC</t>
        </is>
      </c>
      <c r="B2523" t="inlineStr">
        <is>
          <t>Bear</t>
        </is>
      </c>
      <c r="C2523" t="n">
        <v>753.6</v>
      </c>
      <c r="D2523" s="22" t="n">
        <v>45229</v>
      </c>
      <c r="E2523" t="n">
        <v>786.8</v>
      </c>
      <c r="F2523" s="22" t="n">
        <v>45247</v>
      </c>
      <c r="G2523" t="n">
        <v>-4.40552016985137</v>
      </c>
    </row>
    <row r="2524">
      <c r="A2524" t="inlineStr">
        <is>
          <t>UTIAMC</t>
        </is>
      </c>
      <c r="B2524" t="inlineStr">
        <is>
          <t>Bull</t>
        </is>
      </c>
      <c r="C2524" t="n">
        <v>820.2</v>
      </c>
      <c r="D2524" s="22" t="n">
        <v>45180</v>
      </c>
      <c r="E2524" t="n">
        <v>743.1</v>
      </c>
      <c r="F2524" s="22" t="n">
        <v>45225</v>
      </c>
      <c r="G2524" t="n">
        <v>-9.400146305779082</v>
      </c>
    </row>
    <row r="2525">
      <c r="A2525" t="inlineStr">
        <is>
          <t>UTIAMC</t>
        </is>
      </c>
      <c r="B2525" t="inlineStr">
        <is>
          <t>Bear</t>
        </is>
      </c>
      <c r="C2525" t="n">
        <v>746.9</v>
      </c>
      <c r="D2525" s="22" t="n">
        <v>45170</v>
      </c>
      <c r="E2525" t="n">
        <v>793.35</v>
      </c>
      <c r="F2525" s="22" t="n">
        <v>45176</v>
      </c>
      <c r="G2525" t="n">
        <v>-6.219038693265504</v>
      </c>
    </row>
    <row r="2526">
      <c r="A2526" t="inlineStr">
        <is>
          <t>UTIAMC</t>
        </is>
      </c>
      <c r="B2526" t="inlineStr">
        <is>
          <t>Bull</t>
        </is>
      </c>
      <c r="C2526" t="n">
        <v>706</v>
      </c>
      <c r="D2526" s="22" t="n">
        <v>45078</v>
      </c>
      <c r="E2526" t="n">
        <v>751.3</v>
      </c>
      <c r="F2526" s="22" t="n">
        <v>45168</v>
      </c>
      <c r="G2526" t="n">
        <v>6.416430594900843</v>
      </c>
    </row>
    <row r="2527">
      <c r="A2527" t="inlineStr">
        <is>
          <t>UTIAMC</t>
        </is>
      </c>
      <c r="B2527" t="inlineStr">
        <is>
          <t>Bear</t>
        </is>
      </c>
      <c r="C2527" t="n">
        <v>744.35</v>
      </c>
      <c r="D2527" s="22" t="n">
        <v>44957</v>
      </c>
      <c r="E2527" t="n">
        <v>705.1</v>
      </c>
      <c r="F2527" s="22" t="n">
        <v>45076</v>
      </c>
      <c r="G2527" t="n">
        <v>5.273057029623161</v>
      </c>
    </row>
    <row r="2528">
      <c r="A2528" t="inlineStr">
        <is>
          <t>VADILALIND</t>
        </is>
      </c>
      <c r="B2528" t="inlineStr">
        <is>
          <t>Bull</t>
        </is>
      </c>
      <c r="C2528" t="n">
        <v>3929.55</v>
      </c>
      <c r="D2528" s="22" t="n">
        <v>45636</v>
      </c>
      <c r="E2528" t="n">
        <v>3975.4</v>
      </c>
      <c r="F2528" s="22" t="n">
        <v>45660</v>
      </c>
      <c r="G2528" t="n">
        <v>1.166800269750987</v>
      </c>
    </row>
    <row r="2529">
      <c r="A2529" t="inlineStr">
        <is>
          <t>VADILALIND</t>
        </is>
      </c>
      <c r="B2529" t="inlineStr">
        <is>
          <t>Bear</t>
        </is>
      </c>
      <c r="C2529" t="n">
        <v>3942.75</v>
      </c>
      <c r="D2529" s="22" t="n">
        <v>45561</v>
      </c>
      <c r="E2529" t="n">
        <v>4203.4</v>
      </c>
      <c r="F2529" s="22" t="n">
        <v>45632</v>
      </c>
      <c r="G2529" t="n">
        <v>-6.610868048950596</v>
      </c>
    </row>
    <row r="2530">
      <c r="A2530" t="inlineStr">
        <is>
          <t>VADILALIND</t>
        </is>
      </c>
      <c r="B2530" t="inlineStr">
        <is>
          <t>Bull</t>
        </is>
      </c>
      <c r="C2530" t="n">
        <v>4383.9</v>
      </c>
      <c r="D2530" s="22" t="n">
        <v>45551</v>
      </c>
      <c r="E2530" t="n">
        <v>3933.4</v>
      </c>
      <c r="F2530" s="22" t="n">
        <v>45559</v>
      </c>
      <c r="G2530" t="n">
        <v>-10.27623805287528</v>
      </c>
    </row>
    <row r="2531">
      <c r="A2531" t="inlineStr">
        <is>
          <t>VADILALIND</t>
        </is>
      </c>
      <c r="B2531" t="inlineStr">
        <is>
          <t>Bear</t>
        </is>
      </c>
      <c r="C2531" t="n">
        <v>4306.9</v>
      </c>
      <c r="D2531" s="22" t="n">
        <v>45484</v>
      </c>
      <c r="E2531" t="n">
        <v>4522.15</v>
      </c>
      <c r="F2531" s="22" t="n">
        <v>45547</v>
      </c>
      <c r="G2531" t="n">
        <v>-4.997794237154334</v>
      </c>
    </row>
    <row r="2532">
      <c r="A2532" t="inlineStr">
        <is>
          <t>VADILALIND</t>
        </is>
      </c>
      <c r="B2532" t="inlineStr">
        <is>
          <t>Bull</t>
        </is>
      </c>
      <c r="C2532" t="n">
        <v>2575</v>
      </c>
      <c r="D2532" s="22" t="n">
        <v>45306</v>
      </c>
      <c r="E2532" t="n">
        <v>4342.65</v>
      </c>
      <c r="F2532" s="22" t="n">
        <v>45482</v>
      </c>
      <c r="G2532" t="n">
        <v>68.64660194174755</v>
      </c>
    </row>
    <row r="2533">
      <c r="A2533" t="inlineStr">
        <is>
          <t>VADILALIND</t>
        </is>
      </c>
      <c r="B2533" t="inlineStr">
        <is>
          <t>Bear</t>
        </is>
      </c>
      <c r="C2533" t="n">
        <v>2609.25</v>
      </c>
      <c r="D2533" s="22" t="n">
        <v>45173</v>
      </c>
      <c r="E2533" t="n">
        <v>2590</v>
      </c>
      <c r="F2533" s="22" t="n">
        <v>45302</v>
      </c>
      <c r="G2533" t="n">
        <v>0.7377598926894702</v>
      </c>
    </row>
    <row r="2534">
      <c r="A2534" t="inlineStr">
        <is>
          <t>VADILALIND</t>
        </is>
      </c>
      <c r="B2534" t="inlineStr">
        <is>
          <t>Bull</t>
        </is>
      </c>
      <c r="C2534" t="n">
        <v>2422.85</v>
      </c>
      <c r="D2534" s="22" t="n">
        <v>45065</v>
      </c>
      <c r="E2534" t="n">
        <v>2660</v>
      </c>
      <c r="F2534" s="22" t="n">
        <v>45169</v>
      </c>
      <c r="G2534" t="n">
        <v>9.7880595166849</v>
      </c>
    </row>
    <row r="2535">
      <c r="A2535" t="inlineStr">
        <is>
          <t>VADILALIND</t>
        </is>
      </c>
      <c r="B2535" t="inlineStr">
        <is>
          <t>Bear</t>
        </is>
      </c>
      <c r="C2535" t="n">
        <v>2603</v>
      </c>
      <c r="D2535" s="22" t="n">
        <v>44981</v>
      </c>
      <c r="E2535" t="n">
        <v>2381.25</v>
      </c>
      <c r="F2535" s="22" t="n">
        <v>45063</v>
      </c>
      <c r="G2535" t="n">
        <v>8.519016519400692</v>
      </c>
    </row>
    <row r="2536">
      <c r="A2536" t="inlineStr">
        <is>
          <t>VBL</t>
        </is>
      </c>
      <c r="B2536" t="inlineStr">
        <is>
          <t>Bull</t>
        </is>
      </c>
      <c r="C2536" t="n">
        <v>621.2</v>
      </c>
      <c r="D2536" s="22" t="n">
        <v>45625</v>
      </c>
      <c r="E2536" t="n">
        <v>652.2</v>
      </c>
      <c r="F2536" s="22" t="n">
        <v>45660</v>
      </c>
      <c r="G2536" t="n">
        <v>4.990341274951706</v>
      </c>
    </row>
    <row r="2537">
      <c r="A2537" t="inlineStr">
        <is>
          <t>VBL</t>
        </is>
      </c>
      <c r="B2537" t="inlineStr">
        <is>
          <t>Bear</t>
        </is>
      </c>
      <c r="C2537" t="n">
        <v>542.05</v>
      </c>
      <c r="D2537" s="22" t="n">
        <v>45572</v>
      </c>
      <c r="E2537" t="n">
        <v>613</v>
      </c>
      <c r="F2537" s="22" t="n">
        <v>45623</v>
      </c>
      <c r="G2537" t="n">
        <v>-13.08919841343051</v>
      </c>
    </row>
    <row r="2538">
      <c r="A2538" t="inlineStr">
        <is>
          <t>VBL</t>
        </is>
      </c>
      <c r="B2538" t="inlineStr">
        <is>
          <t>Bull</t>
        </is>
      </c>
      <c r="C2538" t="n">
        <v>621.05</v>
      </c>
      <c r="D2538" s="22" t="n">
        <v>45551</v>
      </c>
      <c r="E2538" t="n">
        <v>587.75</v>
      </c>
      <c r="F2538" s="22" t="n">
        <v>45568</v>
      </c>
      <c r="G2538" t="n">
        <v>-5.36188712664036</v>
      </c>
    </row>
    <row r="2539">
      <c r="A2539" t="inlineStr">
        <is>
          <t>VBL</t>
        </is>
      </c>
      <c r="B2539" t="inlineStr">
        <is>
          <t>Bear</t>
        </is>
      </c>
      <c r="C2539" t="n">
        <v>589.3</v>
      </c>
      <c r="D2539" s="22" t="n">
        <v>45516</v>
      </c>
      <c r="E2539" t="n">
        <v>645.6</v>
      </c>
      <c r="F2539" s="22" t="n">
        <v>45547</v>
      </c>
      <c r="G2539" t="n">
        <v>-9.553707788902098</v>
      </c>
    </row>
    <row r="2540">
      <c r="A2540" t="inlineStr">
        <is>
          <t>VBL</t>
        </is>
      </c>
      <c r="B2540" t="inlineStr">
        <is>
          <t>Bull</t>
        </is>
      </c>
      <c r="C2540" t="n">
        <v>256.64</v>
      </c>
      <c r="D2540" s="22" t="n">
        <v>44974</v>
      </c>
      <c r="E2540" t="n">
        <v>595.8200000000001</v>
      </c>
      <c r="F2540" s="22" t="n">
        <v>45512</v>
      </c>
      <c r="G2540" t="n">
        <v>132.1617830423941</v>
      </c>
    </row>
    <row r="2541">
      <c r="A2541" t="inlineStr">
        <is>
          <t>VEDL</t>
        </is>
      </c>
      <c r="B2541" t="inlineStr">
        <is>
          <t>Bear</t>
        </is>
      </c>
      <c r="C2541" t="n">
        <v>449.75</v>
      </c>
      <c r="D2541" s="22" t="n">
        <v>45659</v>
      </c>
      <c r="E2541" t="n">
        <v>458.25</v>
      </c>
      <c r="F2541" s="22" t="n">
        <v>45660</v>
      </c>
      <c r="G2541" t="n">
        <v>-1.8899388549194</v>
      </c>
    </row>
    <row r="2542">
      <c r="A2542" t="inlineStr">
        <is>
          <t>VEDL</t>
        </is>
      </c>
      <c r="B2542" t="inlineStr">
        <is>
          <t>Bull</t>
        </is>
      </c>
      <c r="C2542" t="n">
        <v>500.25</v>
      </c>
      <c r="D2542" s="22" t="n">
        <v>45636</v>
      </c>
      <c r="E2542" t="n">
        <v>444.45</v>
      </c>
      <c r="F2542" s="22" t="n">
        <v>45657</v>
      </c>
      <c r="G2542" t="n">
        <v>-11.1544227886057</v>
      </c>
    </row>
    <row r="2543">
      <c r="A2543" t="inlineStr">
        <is>
          <t>VEDL</t>
        </is>
      </c>
      <c r="B2543" t="inlineStr">
        <is>
          <t>Bear</t>
        </is>
      </c>
      <c r="C2543" t="n">
        <v>444.75</v>
      </c>
      <c r="D2543" s="22" t="n">
        <v>45608</v>
      </c>
      <c r="E2543" t="n">
        <v>501.4</v>
      </c>
      <c r="F2543" s="22" t="n">
        <v>45632</v>
      </c>
      <c r="G2543" t="n">
        <v>-12.73749297358066</v>
      </c>
    </row>
    <row r="2544">
      <c r="A2544" t="inlineStr">
        <is>
          <t>VEDL</t>
        </is>
      </c>
      <c r="B2544" t="inlineStr">
        <is>
          <t>Bull</t>
        </is>
      </c>
      <c r="C2544" t="n">
        <v>463.9</v>
      </c>
      <c r="D2544" s="22" t="n">
        <v>45531</v>
      </c>
      <c r="E2544" t="n">
        <v>457.9</v>
      </c>
      <c r="F2544" s="22" t="n">
        <v>45604</v>
      </c>
      <c r="G2544" t="n">
        <v>-1.293382194438457</v>
      </c>
    </row>
    <row r="2545">
      <c r="A2545" t="inlineStr">
        <is>
          <t>VEDL</t>
        </is>
      </c>
      <c r="B2545" t="inlineStr">
        <is>
          <t>Bear</t>
        </is>
      </c>
      <c r="C2545" t="n">
        <v>428.85</v>
      </c>
      <c r="D2545" s="22" t="n">
        <v>45513</v>
      </c>
      <c r="E2545" t="n">
        <v>449.3</v>
      </c>
      <c r="F2545" s="22" t="n">
        <v>45527</v>
      </c>
      <c r="G2545" t="n">
        <v>-4.768567098052929</v>
      </c>
    </row>
    <row r="2546">
      <c r="A2546" t="inlineStr">
        <is>
          <t>VEDL</t>
        </is>
      </c>
      <c r="B2546" t="inlineStr">
        <is>
          <t>Bull</t>
        </is>
      </c>
      <c r="C2546" t="n">
        <v>238.8</v>
      </c>
      <c r="D2546" s="22" t="n">
        <v>45246</v>
      </c>
      <c r="E2546" t="n">
        <v>432.3</v>
      </c>
      <c r="F2546" s="22" t="n">
        <v>45511</v>
      </c>
      <c r="G2546" t="n">
        <v>81.03015075376884</v>
      </c>
    </row>
    <row r="2547">
      <c r="A2547" t="inlineStr">
        <is>
          <t>VEDL</t>
        </is>
      </c>
      <c r="B2547" t="inlineStr">
        <is>
          <t>Bear</t>
        </is>
      </c>
      <c r="C2547" t="n">
        <v>276.75</v>
      </c>
      <c r="D2547" s="22" t="n">
        <v>45086</v>
      </c>
      <c r="E2547" t="n">
        <v>241.95</v>
      </c>
      <c r="F2547" s="22" t="n">
        <v>45243</v>
      </c>
      <c r="G2547" t="n">
        <v>12.57452574525746</v>
      </c>
    </row>
    <row r="2548">
      <c r="A2548" t="inlineStr">
        <is>
          <t>VEDL</t>
        </is>
      </c>
      <c r="B2548" t="inlineStr">
        <is>
          <t>Bull</t>
        </is>
      </c>
      <c r="C2548" t="n">
        <v>300.35</v>
      </c>
      <c r="D2548" s="22" t="n">
        <v>45075</v>
      </c>
      <c r="E2548" t="n">
        <v>278.45</v>
      </c>
      <c r="F2548" s="22" t="n">
        <v>45084</v>
      </c>
      <c r="G2548" t="n">
        <v>-7.291493257865834</v>
      </c>
    </row>
    <row r="2549">
      <c r="A2549" t="inlineStr">
        <is>
          <t>VEDL</t>
        </is>
      </c>
      <c r="B2549" t="inlineStr">
        <is>
          <t>Bear</t>
        </is>
      </c>
      <c r="C2549" t="n">
        <v>294.45</v>
      </c>
      <c r="D2549" s="22" t="n">
        <v>44981</v>
      </c>
      <c r="E2549" t="n">
        <v>295.8</v>
      </c>
      <c r="F2549" s="22" t="n">
        <v>45071</v>
      </c>
      <c r="G2549" t="n">
        <v>-0.4584819154355655</v>
      </c>
    </row>
    <row r="2550">
      <c r="A2550" t="inlineStr">
        <is>
          <t>VIDHIING</t>
        </is>
      </c>
      <c r="B2550" t="inlineStr">
        <is>
          <t>Bull</t>
        </is>
      </c>
      <c r="C2550" t="n">
        <v>492.05</v>
      </c>
      <c r="D2550" s="22" t="n">
        <v>45560</v>
      </c>
      <c r="E2550" t="n">
        <v>552.7</v>
      </c>
      <c r="F2550" s="22" t="n">
        <v>45660</v>
      </c>
      <c r="G2550" t="n">
        <v>12.32598313179556</v>
      </c>
    </row>
    <row r="2551">
      <c r="A2551" t="inlineStr">
        <is>
          <t>VIDHIING</t>
        </is>
      </c>
      <c r="B2551" t="inlineStr">
        <is>
          <t>Bear</t>
        </is>
      </c>
      <c r="C2551" t="n">
        <v>438.4</v>
      </c>
      <c r="D2551" s="22" t="n">
        <v>45545</v>
      </c>
      <c r="E2551" t="n">
        <v>445.75</v>
      </c>
      <c r="F2551" s="22" t="n">
        <v>45558</v>
      </c>
      <c r="G2551" t="n">
        <v>-1.676551094890516</v>
      </c>
    </row>
    <row r="2552">
      <c r="A2552" t="inlineStr">
        <is>
          <t>VIDHIING</t>
        </is>
      </c>
      <c r="B2552" t="inlineStr">
        <is>
          <t>Bull</t>
        </is>
      </c>
      <c r="C2552" t="n">
        <v>452</v>
      </c>
      <c r="D2552" s="22" t="n">
        <v>45532</v>
      </c>
      <c r="E2552" t="n">
        <v>445.1</v>
      </c>
      <c r="F2552" s="22" t="n">
        <v>45541</v>
      </c>
      <c r="G2552" t="n">
        <v>-1.526548672566367</v>
      </c>
    </row>
    <row r="2553">
      <c r="A2553" t="inlineStr">
        <is>
          <t>VIDHIING</t>
        </is>
      </c>
      <c r="B2553" t="inlineStr">
        <is>
          <t>Bear</t>
        </is>
      </c>
      <c r="C2553" t="n">
        <v>441.8</v>
      </c>
      <c r="D2553" s="22" t="n">
        <v>45523</v>
      </c>
      <c r="E2553" t="n">
        <v>455.7</v>
      </c>
      <c r="F2553" s="22" t="n">
        <v>45530</v>
      </c>
      <c r="G2553" t="n">
        <v>-3.146220009053866</v>
      </c>
    </row>
    <row r="2554">
      <c r="A2554" t="inlineStr">
        <is>
          <t>VIDHIING</t>
        </is>
      </c>
      <c r="B2554" t="inlineStr">
        <is>
          <t>Bull</t>
        </is>
      </c>
      <c r="C2554" t="n">
        <v>462.35</v>
      </c>
      <c r="D2554" s="22" t="n">
        <v>45511</v>
      </c>
      <c r="E2554" t="n">
        <v>433.65</v>
      </c>
      <c r="F2554" s="22" t="n">
        <v>45518</v>
      </c>
      <c r="G2554" t="n">
        <v>-6.207418622255876</v>
      </c>
    </row>
    <row r="2555">
      <c r="A2555" t="inlineStr">
        <is>
          <t>VIDHIING</t>
        </is>
      </c>
      <c r="B2555" t="inlineStr">
        <is>
          <t>Bear</t>
        </is>
      </c>
      <c r="C2555" t="n">
        <v>446.1</v>
      </c>
      <c r="D2555" s="22" t="n">
        <v>45469</v>
      </c>
      <c r="E2555" t="n">
        <v>469.4</v>
      </c>
      <c r="F2555" s="22" t="n">
        <v>45509</v>
      </c>
      <c r="G2555" t="n">
        <v>-5.223044160502119</v>
      </c>
    </row>
    <row r="2556">
      <c r="A2556" t="inlineStr">
        <is>
          <t>VIDHIING</t>
        </is>
      </c>
      <c r="B2556" t="inlineStr">
        <is>
          <t>Bull</t>
        </is>
      </c>
      <c r="C2556" t="n">
        <v>430.4</v>
      </c>
      <c r="D2556" s="22" t="n">
        <v>45343</v>
      </c>
      <c r="E2556" t="n">
        <v>443.5</v>
      </c>
      <c r="F2556" s="22" t="n">
        <v>45467</v>
      </c>
      <c r="G2556" t="n">
        <v>3.043680297397775</v>
      </c>
    </row>
    <row r="2557">
      <c r="A2557" t="inlineStr">
        <is>
          <t>VIDHIING</t>
        </is>
      </c>
      <c r="B2557" t="inlineStr">
        <is>
          <t>Bear</t>
        </is>
      </c>
      <c r="C2557" t="n">
        <v>424.8</v>
      </c>
      <c r="D2557" s="22" t="n">
        <v>45310</v>
      </c>
      <c r="E2557" t="n">
        <v>420.95</v>
      </c>
      <c r="F2557" s="22" t="n">
        <v>45341</v>
      </c>
      <c r="G2557" t="n">
        <v>0.9063088512241108</v>
      </c>
    </row>
    <row r="2558">
      <c r="A2558" t="inlineStr">
        <is>
          <t>VIDHIING</t>
        </is>
      </c>
      <c r="B2558" t="inlineStr">
        <is>
          <t>Bull</t>
        </is>
      </c>
      <c r="C2558" t="n">
        <v>436</v>
      </c>
      <c r="D2558" s="22" t="n">
        <v>45303</v>
      </c>
      <c r="E2558" t="n">
        <v>412</v>
      </c>
      <c r="F2558" s="22" t="n">
        <v>45308</v>
      </c>
      <c r="G2558" t="n">
        <v>-5.504587155963304</v>
      </c>
    </row>
    <row r="2559">
      <c r="A2559" t="inlineStr">
        <is>
          <t>VIDHIING</t>
        </is>
      </c>
      <c r="B2559" t="inlineStr">
        <is>
          <t>Bear</t>
        </is>
      </c>
      <c r="C2559" t="n">
        <v>414.7</v>
      </c>
      <c r="D2559" s="22" t="n">
        <v>45281</v>
      </c>
      <c r="E2559" t="n">
        <v>435.7</v>
      </c>
      <c r="F2559" s="22" t="n">
        <v>45301</v>
      </c>
      <c r="G2559" t="n">
        <v>-5.063901615625753</v>
      </c>
    </row>
    <row r="2560">
      <c r="A2560" t="inlineStr">
        <is>
          <t>VIDHIING</t>
        </is>
      </c>
      <c r="B2560" t="inlineStr">
        <is>
          <t>Bull</t>
        </is>
      </c>
      <c r="C2560" t="n">
        <v>431.9</v>
      </c>
      <c r="D2560" s="22" t="n">
        <v>45245</v>
      </c>
      <c r="E2560" t="n">
        <v>418.75</v>
      </c>
      <c r="F2560" s="22" t="n">
        <v>45279</v>
      </c>
      <c r="G2560" t="n">
        <v>-3.044686269969895</v>
      </c>
    </row>
    <row r="2561">
      <c r="A2561" t="inlineStr">
        <is>
          <t>VIDHIING</t>
        </is>
      </c>
      <c r="B2561" t="inlineStr">
        <is>
          <t>Bear</t>
        </is>
      </c>
      <c r="C2561" t="n">
        <v>416</v>
      </c>
      <c r="D2561" s="22" t="n">
        <v>45231</v>
      </c>
      <c r="E2561" t="n">
        <v>422.5</v>
      </c>
      <c r="F2561" s="22" t="n">
        <v>45242</v>
      </c>
      <c r="G2561" t="n">
        <v>-1.5625</v>
      </c>
    </row>
    <row r="2562">
      <c r="A2562" t="inlineStr">
        <is>
          <t>VIDHIING</t>
        </is>
      </c>
      <c r="B2562" t="inlineStr">
        <is>
          <t>Bull</t>
        </is>
      </c>
      <c r="C2562" t="n">
        <v>366.4</v>
      </c>
      <c r="D2562" s="22" t="n">
        <v>45089</v>
      </c>
      <c r="E2562" t="n">
        <v>418</v>
      </c>
      <c r="F2562" s="22" t="n">
        <v>45229</v>
      </c>
      <c r="G2562" t="n">
        <v>14.08296943231442</v>
      </c>
    </row>
    <row r="2563">
      <c r="A2563" t="inlineStr">
        <is>
          <t>VIDHIING</t>
        </is>
      </c>
      <c r="B2563" t="inlineStr">
        <is>
          <t>Bear</t>
        </is>
      </c>
      <c r="C2563" t="n">
        <v>354.8</v>
      </c>
      <c r="D2563" s="22" t="n">
        <v>45082</v>
      </c>
      <c r="E2563" t="n">
        <v>364.75</v>
      </c>
      <c r="F2563" s="22" t="n">
        <v>45085</v>
      </c>
      <c r="G2563" t="n">
        <v>-2.804396843291992</v>
      </c>
    </row>
    <row r="2564">
      <c r="A2564" t="inlineStr">
        <is>
          <t>VIDHIING</t>
        </is>
      </c>
      <c r="B2564" t="inlineStr">
        <is>
          <t>Bull</t>
        </is>
      </c>
      <c r="C2564" t="n">
        <v>367</v>
      </c>
      <c r="D2564" s="22" t="n">
        <v>45033</v>
      </c>
      <c r="E2564" t="n">
        <v>351.25</v>
      </c>
      <c r="F2564" s="22" t="n">
        <v>45078</v>
      </c>
      <c r="G2564" t="n">
        <v>-4.291553133514987</v>
      </c>
    </row>
    <row r="2565">
      <c r="A2565" t="inlineStr">
        <is>
          <t>VIJAYA</t>
        </is>
      </c>
      <c r="B2565" t="inlineStr">
        <is>
          <t>Bull</t>
        </is>
      </c>
      <c r="C2565" t="n">
        <v>665</v>
      </c>
      <c r="D2565" s="22" t="n">
        <v>45387</v>
      </c>
      <c r="E2565" t="n">
        <v>1113.1</v>
      </c>
      <c r="F2565" s="22" t="n">
        <v>45660</v>
      </c>
      <c r="G2565" t="n">
        <v>67.38345864661652</v>
      </c>
    </row>
    <row r="2566">
      <c r="A2566" t="inlineStr">
        <is>
          <t>VIJAYA</t>
        </is>
      </c>
      <c r="B2566" t="inlineStr">
        <is>
          <t>Bear</t>
        </is>
      </c>
      <c r="C2566" t="n">
        <v>622.6</v>
      </c>
      <c r="D2566" s="22" t="n">
        <v>45357</v>
      </c>
      <c r="E2566" t="n">
        <v>648.85</v>
      </c>
      <c r="F2566" s="22" t="n">
        <v>45385</v>
      </c>
      <c r="G2566" t="n">
        <v>-4.216190170253775</v>
      </c>
    </row>
    <row r="2567">
      <c r="A2567" t="inlineStr">
        <is>
          <t>VIJAYA</t>
        </is>
      </c>
      <c r="B2567" t="inlineStr">
        <is>
          <t>Bull</t>
        </is>
      </c>
      <c r="C2567" t="n">
        <v>405.05</v>
      </c>
      <c r="D2567" s="22" t="n">
        <v>45091</v>
      </c>
      <c r="E2567" t="n">
        <v>618.25</v>
      </c>
      <c r="F2567" s="22" t="n">
        <v>45355</v>
      </c>
      <c r="G2567" t="n">
        <v>52.63547710159239</v>
      </c>
    </row>
    <row r="2568">
      <c r="A2568" t="inlineStr">
        <is>
          <t>VIJAYA</t>
        </is>
      </c>
      <c r="B2568" t="inlineStr">
        <is>
          <t>Bear</t>
        </is>
      </c>
      <c r="C2568" t="n">
        <v>437.15</v>
      </c>
      <c r="D2568" s="22" t="n">
        <v>44925</v>
      </c>
      <c r="E2568" t="n">
        <v>390.55</v>
      </c>
      <c r="F2568" s="22" t="n">
        <v>45089</v>
      </c>
      <c r="G2568" t="n">
        <v>10.65995653665789</v>
      </c>
    </row>
    <row r="2569">
      <c r="A2569" t="inlineStr">
        <is>
          <t>VIMTALABS</t>
        </is>
      </c>
      <c r="B2569" t="inlineStr">
        <is>
          <t>Bull</t>
        </is>
      </c>
      <c r="C2569" t="n">
        <v>578.4</v>
      </c>
      <c r="D2569" s="22" t="n">
        <v>45603</v>
      </c>
      <c r="E2569" t="n">
        <v>946.15</v>
      </c>
      <c r="F2569" s="22" t="n">
        <v>45660</v>
      </c>
      <c r="G2569" t="n">
        <v>63.58056708160444</v>
      </c>
    </row>
    <row r="2570">
      <c r="A2570" t="inlineStr">
        <is>
          <t>VIMTALABS</t>
        </is>
      </c>
      <c r="B2570" t="inlineStr">
        <is>
          <t>Bear</t>
        </is>
      </c>
      <c r="C2570" t="n">
        <v>534.65</v>
      </c>
      <c r="D2570" s="22" t="n">
        <v>45573</v>
      </c>
      <c r="E2570" t="n">
        <v>570.45</v>
      </c>
      <c r="F2570" s="22" t="n">
        <v>45601</v>
      </c>
      <c r="G2570" t="n">
        <v>-6.695969325727125</v>
      </c>
    </row>
    <row r="2571">
      <c r="A2571" t="inlineStr">
        <is>
          <t>VIMTALABS</t>
        </is>
      </c>
      <c r="B2571" t="inlineStr">
        <is>
          <t>Bull</t>
        </is>
      </c>
      <c r="C2571" t="n">
        <v>521.85</v>
      </c>
      <c r="D2571" s="22" t="n">
        <v>45478</v>
      </c>
      <c r="E2571" t="n">
        <v>528.2</v>
      </c>
      <c r="F2571" s="22" t="n">
        <v>45569</v>
      </c>
      <c r="G2571" t="n">
        <v>1.216824758072247</v>
      </c>
    </row>
    <row r="2572">
      <c r="A2572" t="inlineStr">
        <is>
          <t>VIMTALABS</t>
        </is>
      </c>
      <c r="B2572" t="inlineStr">
        <is>
          <t>Bear</t>
        </is>
      </c>
      <c r="C2572" t="n">
        <v>480.85</v>
      </c>
      <c r="D2572" s="22" t="n">
        <v>45474</v>
      </c>
      <c r="E2572" t="n">
        <v>481.95</v>
      </c>
      <c r="F2572" s="22" t="n">
        <v>45476</v>
      </c>
      <c r="G2572" t="n">
        <v>-0.2287615680565594</v>
      </c>
    </row>
    <row r="2573">
      <c r="A2573" t="inlineStr">
        <is>
          <t>VIMTALABS</t>
        </is>
      </c>
      <c r="B2573" t="inlineStr">
        <is>
          <t>Bull</t>
        </is>
      </c>
      <c r="C2573" t="n">
        <v>496.4</v>
      </c>
      <c r="D2573" s="22" t="n">
        <v>45461</v>
      </c>
      <c r="E2573" t="n">
        <v>480.45</v>
      </c>
      <c r="F2573" s="22" t="n">
        <v>45470</v>
      </c>
      <c r="G2573" t="n">
        <v>-3.213134568896049</v>
      </c>
    </row>
    <row r="2574">
      <c r="A2574" t="inlineStr">
        <is>
          <t>VIMTALABS</t>
        </is>
      </c>
      <c r="B2574" t="inlineStr">
        <is>
          <t>Bear</t>
        </is>
      </c>
      <c r="C2574" t="n">
        <v>475.45</v>
      </c>
      <c r="D2574" s="22" t="n">
        <v>45448</v>
      </c>
      <c r="E2574" t="n">
        <v>500.35</v>
      </c>
      <c r="F2574" s="22" t="n">
        <v>45456</v>
      </c>
      <c r="G2574" t="n">
        <v>-5.237143758544544</v>
      </c>
    </row>
    <row r="2575">
      <c r="A2575" t="inlineStr">
        <is>
          <t>VIMTALABS</t>
        </is>
      </c>
      <c r="B2575" t="inlineStr">
        <is>
          <t>Bull</t>
        </is>
      </c>
      <c r="C2575" t="n">
        <v>560.35</v>
      </c>
      <c r="D2575" s="22" t="n">
        <v>45407</v>
      </c>
      <c r="E2575" t="n">
        <v>475.75</v>
      </c>
      <c r="F2575" s="22" t="n">
        <v>45446</v>
      </c>
      <c r="G2575" t="n">
        <v>-15.09770679039886</v>
      </c>
    </row>
    <row r="2576">
      <c r="A2576" t="inlineStr">
        <is>
          <t>VIMTALABS</t>
        </is>
      </c>
      <c r="B2576" t="inlineStr">
        <is>
          <t>Bear</t>
        </is>
      </c>
      <c r="C2576" t="n">
        <v>449.05</v>
      </c>
      <c r="D2576" s="22" t="n">
        <v>45373</v>
      </c>
      <c r="E2576" t="n">
        <v>478.1</v>
      </c>
      <c r="F2576" s="22" t="n">
        <v>45405</v>
      </c>
      <c r="G2576" t="n">
        <v>-6.469212782540922</v>
      </c>
    </row>
    <row r="2577">
      <c r="A2577" t="inlineStr">
        <is>
          <t>VIMTALABS</t>
        </is>
      </c>
      <c r="B2577" t="inlineStr">
        <is>
          <t>Bull</t>
        </is>
      </c>
      <c r="C2577" t="n">
        <v>474.6</v>
      </c>
      <c r="D2577" s="22" t="n">
        <v>45327</v>
      </c>
      <c r="E2577" t="n">
        <v>444.2</v>
      </c>
      <c r="F2577" s="22" t="n">
        <v>45371</v>
      </c>
      <c r="G2577" t="n">
        <v>-6.405394016013492</v>
      </c>
    </row>
    <row r="2578">
      <c r="A2578" t="inlineStr">
        <is>
          <t>VIMTALABS</t>
        </is>
      </c>
      <c r="B2578" t="inlineStr">
        <is>
          <t>Bear</t>
        </is>
      </c>
      <c r="C2578" t="n">
        <v>454.4</v>
      </c>
      <c r="D2578" s="22" t="n">
        <v>45230</v>
      </c>
      <c r="E2578" t="n">
        <v>457</v>
      </c>
      <c r="F2578" s="22" t="n">
        <v>45323</v>
      </c>
      <c r="G2578" t="n">
        <v>-0.5721830985915544</v>
      </c>
    </row>
    <row r="2579">
      <c r="A2579" t="inlineStr">
        <is>
          <t>VIMTALABS</t>
        </is>
      </c>
      <c r="B2579" t="inlineStr">
        <is>
          <t>Bull</t>
        </is>
      </c>
      <c r="C2579" t="n">
        <v>365.3</v>
      </c>
      <c r="D2579" s="22" t="n">
        <v>45035</v>
      </c>
      <c r="E2579" t="n">
        <v>505.7</v>
      </c>
      <c r="F2579" s="22" t="n">
        <v>45226</v>
      </c>
      <c r="G2579" t="n">
        <v>38.43416370106761</v>
      </c>
    </row>
    <row r="2580">
      <c r="A2580" t="inlineStr">
        <is>
          <t>VINATIORGA</t>
        </is>
      </c>
      <c r="B2580" t="inlineStr">
        <is>
          <t>Bear</t>
        </is>
      </c>
      <c r="C2580" t="n">
        <v>1955.35</v>
      </c>
      <c r="D2580" s="22" t="n">
        <v>45587</v>
      </c>
      <c r="E2580" t="n">
        <v>1784.2</v>
      </c>
      <c r="F2580" s="22" t="n">
        <v>45660</v>
      </c>
      <c r="G2580" t="n">
        <v>8.752908686424417</v>
      </c>
    </row>
    <row r="2581">
      <c r="A2581" t="inlineStr">
        <is>
          <t>VINATIORGA</t>
        </is>
      </c>
      <c r="B2581" t="inlineStr">
        <is>
          <t>Bull</t>
        </is>
      </c>
      <c r="C2581" t="n">
        <v>2124.3</v>
      </c>
      <c r="D2581" s="22" t="n">
        <v>45566</v>
      </c>
      <c r="E2581" t="n">
        <v>1929.3</v>
      </c>
      <c r="F2581" s="22" t="n">
        <v>45583</v>
      </c>
      <c r="G2581" t="n">
        <v>-9.179494421691862</v>
      </c>
    </row>
    <row r="2582">
      <c r="A2582" t="inlineStr">
        <is>
          <t>VINATIORGA</t>
        </is>
      </c>
      <c r="B2582" t="inlineStr">
        <is>
          <t>Bear</t>
        </is>
      </c>
      <c r="C2582" t="n">
        <v>1900.65</v>
      </c>
      <c r="D2582" s="22" t="n">
        <v>45545</v>
      </c>
      <c r="E2582" t="n">
        <v>2062.4</v>
      </c>
      <c r="F2582" s="22" t="n">
        <v>45562</v>
      </c>
      <c r="G2582" t="n">
        <v>-8.51024649462026</v>
      </c>
    </row>
    <row r="2583">
      <c r="A2583" t="inlineStr">
        <is>
          <t>VINATIORGA</t>
        </is>
      </c>
      <c r="B2583" t="inlineStr">
        <is>
          <t>Bull</t>
        </is>
      </c>
      <c r="C2583" t="n">
        <v>1771.05</v>
      </c>
      <c r="D2583" s="22" t="n">
        <v>45434</v>
      </c>
      <c r="E2583" t="n">
        <v>1925.65</v>
      </c>
      <c r="F2583" s="22" t="n">
        <v>45541</v>
      </c>
      <c r="G2583" t="n">
        <v>8.729284887496126</v>
      </c>
    </row>
    <row r="2584">
      <c r="A2584" t="inlineStr">
        <is>
          <t>VINATIORGA</t>
        </is>
      </c>
      <c r="B2584" t="inlineStr">
        <is>
          <t>Bear</t>
        </is>
      </c>
      <c r="C2584" t="n">
        <v>1832</v>
      </c>
      <c r="D2584" s="22" t="n">
        <v>45211</v>
      </c>
      <c r="E2584" t="n">
        <v>1667.2</v>
      </c>
      <c r="F2584" s="22" t="n">
        <v>45430</v>
      </c>
      <c r="G2584" t="n">
        <v>8.995633187772924</v>
      </c>
    </row>
    <row r="2585">
      <c r="A2585" t="inlineStr">
        <is>
          <t>VINATIORGA</t>
        </is>
      </c>
      <c r="B2585" t="inlineStr">
        <is>
          <t>Bull</t>
        </is>
      </c>
      <c r="C2585" t="n">
        <v>1918.35</v>
      </c>
      <c r="D2585" s="22" t="n">
        <v>45175</v>
      </c>
      <c r="E2585" t="n">
        <v>1828</v>
      </c>
      <c r="F2585" s="22" t="n">
        <v>45209</v>
      </c>
      <c r="G2585" t="n">
        <v>-4.709776630958892</v>
      </c>
    </row>
    <row r="2586">
      <c r="A2586" t="inlineStr">
        <is>
          <t>VINATIORGA</t>
        </is>
      </c>
      <c r="B2586" t="inlineStr">
        <is>
          <t>Bear</t>
        </is>
      </c>
      <c r="C2586" t="n">
        <v>1821</v>
      </c>
      <c r="D2586" s="22" t="n">
        <v>45159</v>
      </c>
      <c r="E2586" t="n">
        <v>1850.15</v>
      </c>
      <c r="F2586" s="22" t="n">
        <v>45173</v>
      </c>
      <c r="G2586" t="n">
        <v>-1.600768808347067</v>
      </c>
    </row>
    <row r="2587">
      <c r="A2587" t="inlineStr">
        <is>
          <t>VINATIORGA</t>
        </is>
      </c>
      <c r="B2587" t="inlineStr">
        <is>
          <t>Bull</t>
        </is>
      </c>
      <c r="C2587" t="n">
        <v>1875</v>
      </c>
      <c r="D2587" s="22" t="n">
        <v>45146</v>
      </c>
      <c r="E2587" t="n">
        <v>1817</v>
      </c>
      <c r="F2587" s="22" t="n">
        <v>45155</v>
      </c>
      <c r="G2587" t="n">
        <v>-3.093333333333333</v>
      </c>
    </row>
    <row r="2588">
      <c r="A2588" t="inlineStr">
        <is>
          <t>VINATIORGA</t>
        </is>
      </c>
      <c r="B2588" t="inlineStr">
        <is>
          <t>Bear</t>
        </is>
      </c>
      <c r="C2588" t="n">
        <v>1774.65</v>
      </c>
      <c r="D2588" s="22" t="n">
        <v>45071</v>
      </c>
      <c r="E2588" t="n">
        <v>1859</v>
      </c>
      <c r="F2588" s="22" t="n">
        <v>45142</v>
      </c>
      <c r="G2588" t="n">
        <v>-4.753049897162816</v>
      </c>
    </row>
    <row r="2589">
      <c r="A2589" t="inlineStr">
        <is>
          <t>VINATIORGA</t>
        </is>
      </c>
      <c r="B2589" t="inlineStr">
        <is>
          <t>Bull</t>
        </is>
      </c>
      <c r="C2589" t="n">
        <v>1967.75</v>
      </c>
      <c r="D2589" s="22" t="n">
        <v>45034</v>
      </c>
      <c r="E2589" t="n">
        <v>1793.3</v>
      </c>
      <c r="F2589" s="22" t="n">
        <v>45069</v>
      </c>
      <c r="G2589" t="n">
        <v>-8.8654554694448</v>
      </c>
    </row>
    <row r="2590">
      <c r="A2590" t="inlineStr">
        <is>
          <t>VISHNU</t>
        </is>
      </c>
      <c r="B2590" t="inlineStr">
        <is>
          <t>Bear</t>
        </is>
      </c>
      <c r="C2590" t="n">
        <v>400</v>
      </c>
      <c r="D2590" s="22" t="n">
        <v>45623</v>
      </c>
      <c r="E2590" t="n">
        <v>400.6</v>
      </c>
      <c r="F2590" s="22" t="n">
        <v>45660</v>
      </c>
      <c r="G2590" t="n">
        <v>-0.1500000000000057</v>
      </c>
    </row>
    <row r="2591">
      <c r="A2591" t="inlineStr">
        <is>
          <t>VISHNU</t>
        </is>
      </c>
      <c r="B2591" t="inlineStr">
        <is>
          <t>Bull</t>
        </is>
      </c>
      <c r="C2591" t="n">
        <v>451.05</v>
      </c>
      <c r="D2591" s="22" t="n">
        <v>45581</v>
      </c>
      <c r="E2591" t="n">
        <v>397.8</v>
      </c>
      <c r="F2591" s="22" t="n">
        <v>45621</v>
      </c>
      <c r="G2591" t="n">
        <v>-11.80578649817093</v>
      </c>
    </row>
    <row r="2592">
      <c r="A2592" t="inlineStr">
        <is>
          <t>VISHNU</t>
        </is>
      </c>
      <c r="B2592" t="inlineStr">
        <is>
          <t>Bear</t>
        </is>
      </c>
      <c r="C2592" t="n">
        <v>400.4</v>
      </c>
      <c r="D2592" s="22" t="n">
        <v>45544</v>
      </c>
      <c r="E2592" t="n">
        <v>409</v>
      </c>
      <c r="F2592" s="22" t="n">
        <v>45579</v>
      </c>
      <c r="G2592" t="n">
        <v>-2.147852147852154</v>
      </c>
    </row>
    <row r="2593">
      <c r="A2593" t="inlineStr">
        <is>
          <t>VISHNU</t>
        </is>
      </c>
      <c r="B2593" t="inlineStr">
        <is>
          <t>Bull</t>
        </is>
      </c>
      <c r="C2593" t="n">
        <v>319.75</v>
      </c>
      <c r="D2593" s="22" t="n">
        <v>45439</v>
      </c>
      <c r="E2593" t="n">
        <v>406</v>
      </c>
      <c r="F2593" s="22" t="n">
        <v>45540</v>
      </c>
      <c r="G2593" t="n">
        <v>26.97419859265051</v>
      </c>
    </row>
    <row r="2594">
      <c r="A2594" t="inlineStr">
        <is>
          <t>VISHNU</t>
        </is>
      </c>
      <c r="B2594" t="inlineStr">
        <is>
          <t>Bear</t>
        </is>
      </c>
      <c r="C2594" t="n">
        <v>282.4</v>
      </c>
      <c r="D2594" s="22" t="n">
        <v>45421</v>
      </c>
      <c r="E2594" t="n">
        <v>318.45</v>
      </c>
      <c r="F2594" s="22" t="n">
        <v>45435</v>
      </c>
      <c r="G2594" t="n">
        <v>-12.76558073654391</v>
      </c>
    </row>
    <row r="2595">
      <c r="A2595" t="inlineStr">
        <is>
          <t>VISHNU</t>
        </is>
      </c>
      <c r="B2595" t="inlineStr">
        <is>
          <t>Bull</t>
        </is>
      </c>
      <c r="C2595" t="n">
        <v>332.25</v>
      </c>
      <c r="D2595" s="22" t="n">
        <v>45387</v>
      </c>
      <c r="E2595" t="n">
        <v>301.95</v>
      </c>
      <c r="F2595" s="22" t="n">
        <v>45419</v>
      </c>
      <c r="G2595" t="n">
        <v>-9.119638826185104</v>
      </c>
    </row>
    <row r="2596">
      <c r="A2596" t="inlineStr">
        <is>
          <t>VISHNU</t>
        </is>
      </c>
      <c r="B2596" t="inlineStr">
        <is>
          <t>Bear</t>
        </is>
      </c>
      <c r="C2596" t="n">
        <v>320.65</v>
      </c>
      <c r="D2596" s="22" t="n">
        <v>45320</v>
      </c>
      <c r="E2596" t="n">
        <v>330.85</v>
      </c>
      <c r="F2596" s="22" t="n">
        <v>45385</v>
      </c>
      <c r="G2596" t="n">
        <v>-3.181038515515374</v>
      </c>
    </row>
    <row r="2597">
      <c r="A2597" t="inlineStr">
        <is>
          <t>VISHNU</t>
        </is>
      </c>
      <c r="B2597" t="inlineStr">
        <is>
          <t>Bull</t>
        </is>
      </c>
      <c r="C2597" t="n">
        <v>349.15</v>
      </c>
      <c r="D2597" s="22" t="n">
        <v>45281</v>
      </c>
      <c r="E2597" t="n">
        <v>321.5</v>
      </c>
      <c r="F2597" s="22" t="n">
        <v>45315</v>
      </c>
      <c r="G2597" t="n">
        <v>-7.919232421595297</v>
      </c>
    </row>
    <row r="2598">
      <c r="A2598" t="inlineStr">
        <is>
          <t>VISHNU</t>
        </is>
      </c>
      <c r="B2598" t="inlineStr">
        <is>
          <t>Bear</t>
        </is>
      </c>
      <c r="C2598" t="n">
        <v>327.1</v>
      </c>
      <c r="D2598" s="22" t="n">
        <v>45195</v>
      </c>
      <c r="E2598" t="n">
        <v>353.35</v>
      </c>
      <c r="F2598" s="22" t="n">
        <v>45279</v>
      </c>
      <c r="G2598" t="n">
        <v>-8.025068786303882</v>
      </c>
    </row>
    <row r="2599">
      <c r="A2599" t="inlineStr">
        <is>
          <t>VISHNU</t>
        </is>
      </c>
      <c r="B2599" t="inlineStr">
        <is>
          <t>Bull</t>
        </is>
      </c>
      <c r="C2599" t="n">
        <v>344.85</v>
      </c>
      <c r="D2599" s="22" t="n">
        <v>45184</v>
      </c>
      <c r="E2599" t="n">
        <v>328.4</v>
      </c>
      <c r="F2599" s="22" t="n">
        <v>45191</v>
      </c>
      <c r="G2599" t="n">
        <v>-4.770189937654065</v>
      </c>
    </row>
    <row r="2600">
      <c r="A2600" t="inlineStr">
        <is>
          <t>VISHNU</t>
        </is>
      </c>
      <c r="B2600" t="inlineStr">
        <is>
          <t>Bear</t>
        </is>
      </c>
      <c r="C2600" t="n">
        <v>323</v>
      </c>
      <c r="D2600" s="22" t="n">
        <v>45155</v>
      </c>
      <c r="E2600" t="n">
        <v>343.15</v>
      </c>
      <c r="F2600" s="22" t="n">
        <v>45182</v>
      </c>
      <c r="G2600" t="n">
        <v>-6.23839009287925</v>
      </c>
    </row>
    <row r="2601">
      <c r="A2601" t="inlineStr">
        <is>
          <t>VISHNU</t>
        </is>
      </c>
      <c r="B2601" t="inlineStr">
        <is>
          <t>Bull</t>
        </is>
      </c>
      <c r="C2601" t="n">
        <v>368.2</v>
      </c>
      <c r="D2601" s="22" t="n">
        <v>45086</v>
      </c>
      <c r="E2601" t="n">
        <v>316.9</v>
      </c>
      <c r="F2601" s="22" t="n">
        <v>45152</v>
      </c>
      <c r="G2601" t="n">
        <v>-13.9326453014666</v>
      </c>
    </row>
    <row r="2602">
      <c r="A2602" t="inlineStr">
        <is>
          <t>VISHNU</t>
        </is>
      </c>
      <c r="B2602" t="inlineStr">
        <is>
          <t>Bear</t>
        </is>
      </c>
      <c r="C2602" t="n">
        <v>1778</v>
      </c>
      <c r="D2602" s="22" t="n">
        <v>44872</v>
      </c>
      <c r="E2602" t="n">
        <v>370.95</v>
      </c>
      <c r="F2602" s="22" t="n">
        <v>45084</v>
      </c>
      <c r="G2602" t="n">
        <v>79.13667041619797</v>
      </c>
    </row>
    <row r="2603">
      <c r="A2603" t="inlineStr">
        <is>
          <t>VOLTAS</t>
        </is>
      </c>
      <c r="B2603" t="inlineStr">
        <is>
          <t>Bull</t>
        </is>
      </c>
      <c r="C2603" t="n">
        <v>1826.95</v>
      </c>
      <c r="D2603" s="22" t="n">
        <v>45658</v>
      </c>
      <c r="E2603" t="n">
        <v>1824.7</v>
      </c>
      <c r="F2603" s="22" t="n">
        <v>45660</v>
      </c>
      <c r="G2603" t="n">
        <v>-0.1231560798051397</v>
      </c>
    </row>
    <row r="2604">
      <c r="A2604" t="inlineStr">
        <is>
          <t>VOLTAS</t>
        </is>
      </c>
      <c r="B2604" t="inlineStr">
        <is>
          <t>Bear</t>
        </is>
      </c>
      <c r="C2604" t="n">
        <v>1711.3</v>
      </c>
      <c r="D2604" s="22" t="n">
        <v>45652</v>
      </c>
      <c r="E2604" t="n">
        <v>1771</v>
      </c>
      <c r="F2604" s="22" t="n">
        <v>45656</v>
      </c>
      <c r="G2604" t="n">
        <v>-3.488575936422605</v>
      </c>
    </row>
    <row r="2605">
      <c r="A2605" t="inlineStr">
        <is>
          <t>VOLTAS</t>
        </is>
      </c>
      <c r="B2605" t="inlineStr">
        <is>
          <t>Bull</t>
        </is>
      </c>
      <c r="C2605" t="n">
        <v>1808.1</v>
      </c>
      <c r="D2605" s="22" t="n">
        <v>45642</v>
      </c>
      <c r="E2605" t="n">
        <v>1695.55</v>
      </c>
      <c r="F2605" s="22" t="n">
        <v>45649</v>
      </c>
      <c r="G2605" t="n">
        <v>-6.224766329295943</v>
      </c>
    </row>
    <row r="2606">
      <c r="A2606" t="inlineStr">
        <is>
          <t>VOLTAS</t>
        </is>
      </c>
      <c r="B2606" t="inlineStr">
        <is>
          <t>Bear</t>
        </is>
      </c>
      <c r="C2606" t="n">
        <v>1694.7</v>
      </c>
      <c r="D2606" s="22" t="n">
        <v>45601</v>
      </c>
      <c r="E2606" t="n">
        <v>1787.65</v>
      </c>
      <c r="F2606" s="22" t="n">
        <v>45638</v>
      </c>
      <c r="G2606" t="n">
        <v>-5.48474656281348</v>
      </c>
    </row>
    <row r="2607">
      <c r="A2607" t="inlineStr">
        <is>
          <t>VOLTAS</t>
        </is>
      </c>
      <c r="B2607" t="inlineStr">
        <is>
          <t>Bull</t>
        </is>
      </c>
      <c r="C2607" t="n">
        <v>851.25</v>
      </c>
      <c r="D2607" s="22" t="n">
        <v>45272</v>
      </c>
      <c r="E2607" t="n">
        <v>1642.85</v>
      </c>
      <c r="F2607" s="22" t="n">
        <v>45597</v>
      </c>
      <c r="G2607" t="n">
        <v>92.99265785609397</v>
      </c>
    </row>
    <row r="2608">
      <c r="A2608" t="inlineStr">
        <is>
          <t>VOLTAS</t>
        </is>
      </c>
      <c r="B2608" t="inlineStr">
        <is>
          <t>Bear</t>
        </is>
      </c>
      <c r="C2608" t="n">
        <v>828.9</v>
      </c>
      <c r="D2608" s="22" t="n">
        <v>45225</v>
      </c>
      <c r="E2608" t="n">
        <v>855.45</v>
      </c>
      <c r="F2608" s="22" t="n">
        <v>45268</v>
      </c>
      <c r="G2608" t="n">
        <v>-3.203040173724221</v>
      </c>
    </row>
    <row r="2609">
      <c r="A2609" t="inlineStr">
        <is>
          <t>VOLTAS</t>
        </is>
      </c>
      <c r="B2609" t="inlineStr">
        <is>
          <t>Bull</t>
        </is>
      </c>
      <c r="C2609" t="n">
        <v>846</v>
      </c>
      <c r="D2609" s="22" t="n">
        <v>45147</v>
      </c>
      <c r="E2609" t="n">
        <v>821.3</v>
      </c>
      <c r="F2609" s="22" t="n">
        <v>45222</v>
      </c>
      <c r="G2609" t="n">
        <v>-2.919621749408989</v>
      </c>
    </row>
    <row r="2610">
      <c r="A2610" t="inlineStr">
        <is>
          <t>VOLTAS</t>
        </is>
      </c>
      <c r="B2610" t="inlineStr">
        <is>
          <t>Bear</t>
        </is>
      </c>
      <c r="C2610" t="n">
        <v>816.55</v>
      </c>
      <c r="D2610" s="22" t="n">
        <v>45016</v>
      </c>
      <c r="E2610" t="n">
        <v>823</v>
      </c>
      <c r="F2610" s="22" t="n">
        <v>45145</v>
      </c>
      <c r="G2610" t="n">
        <v>-0.7899087624762777</v>
      </c>
    </row>
    <row r="2611">
      <c r="A2611" t="inlineStr">
        <is>
          <t>VSTIND</t>
        </is>
      </c>
      <c r="B2611" t="inlineStr">
        <is>
          <t>Bear</t>
        </is>
      </c>
      <c r="C2611" t="n">
        <v>358.8</v>
      </c>
      <c r="D2611" s="22" t="n">
        <v>45569</v>
      </c>
      <c r="E2611" t="n">
        <v>340.5</v>
      </c>
      <c r="F2611" s="22" t="n">
        <v>45660</v>
      </c>
      <c r="G2611" t="n">
        <v>5.100334448160538</v>
      </c>
    </row>
    <row r="2612">
      <c r="A2612" t="inlineStr">
        <is>
          <t>VSTIND</t>
        </is>
      </c>
      <c r="B2612" t="inlineStr">
        <is>
          <t>Bull</t>
        </is>
      </c>
      <c r="C2612" t="n">
        <v>309</v>
      </c>
      <c r="D2612" s="22" t="n">
        <v>45282</v>
      </c>
      <c r="E2612" t="n">
        <v>374</v>
      </c>
      <c r="F2612" s="22" t="n">
        <v>45566</v>
      </c>
      <c r="G2612" t="n">
        <v>21.03559870550162</v>
      </c>
    </row>
    <row r="2613">
      <c r="A2613" t="inlineStr">
        <is>
          <t>VSTIND</t>
        </is>
      </c>
      <c r="B2613" t="inlineStr">
        <is>
          <t>Bear</t>
        </is>
      </c>
      <c r="C2613" t="n">
        <v>310.55</v>
      </c>
      <c r="D2613" s="22" t="n">
        <v>45197</v>
      </c>
      <c r="E2613" t="n">
        <v>305.18</v>
      </c>
      <c r="F2613" s="22" t="n">
        <v>45280</v>
      </c>
      <c r="G2613" t="n">
        <v>1.72919014651425</v>
      </c>
    </row>
    <row r="2614">
      <c r="A2614" t="inlineStr">
        <is>
          <t>VSTIND</t>
        </is>
      </c>
      <c r="B2614" t="inlineStr">
        <is>
          <t>Bull</t>
        </is>
      </c>
      <c r="C2614" t="n">
        <v>332.04</v>
      </c>
      <c r="D2614" s="22" t="n">
        <v>45170</v>
      </c>
      <c r="E2614" t="n">
        <v>316.85</v>
      </c>
      <c r="F2614" s="22" t="n">
        <v>45195</v>
      </c>
      <c r="G2614" t="n">
        <v>-4.574750030116852</v>
      </c>
    </row>
    <row r="2615">
      <c r="A2615" t="inlineStr">
        <is>
          <t>VSTIND</t>
        </is>
      </c>
      <c r="B2615" t="inlineStr">
        <is>
          <t>Bear</t>
        </is>
      </c>
      <c r="C2615" t="n">
        <v>319.09</v>
      </c>
      <c r="D2615" s="22" t="n">
        <v>45162</v>
      </c>
      <c r="E2615" t="n">
        <v>332.26</v>
      </c>
      <c r="F2615" s="22" t="n">
        <v>45168</v>
      </c>
      <c r="G2615" t="n">
        <v>-4.12736218621706</v>
      </c>
    </row>
    <row r="2616">
      <c r="A2616" t="inlineStr">
        <is>
          <t>VSTIND</t>
        </is>
      </c>
      <c r="B2616" t="inlineStr">
        <is>
          <t>Bull</t>
        </is>
      </c>
      <c r="C2616" t="n">
        <v>297.73</v>
      </c>
      <c r="D2616" s="22" t="n">
        <v>45022</v>
      </c>
      <c r="E2616" t="n">
        <v>318.18</v>
      </c>
      <c r="F2616" s="22" t="n">
        <v>45160</v>
      </c>
      <c r="G2616" t="n">
        <v>6.868639371242397</v>
      </c>
    </row>
    <row r="2617">
      <c r="A2617" t="inlineStr">
        <is>
          <t>WELSPUNLIV</t>
        </is>
      </c>
      <c r="B2617" t="inlineStr">
        <is>
          <t>Bull</t>
        </is>
      </c>
      <c r="C2617" t="n">
        <v>169.37</v>
      </c>
      <c r="D2617" s="22" t="n">
        <v>45638</v>
      </c>
      <c r="E2617" t="n">
        <v>163.49</v>
      </c>
      <c r="F2617" s="22" t="n">
        <v>45660</v>
      </c>
      <c r="G2617" t="n">
        <v>-3.471689201157227</v>
      </c>
    </row>
    <row r="2618">
      <c r="A2618" t="inlineStr">
        <is>
          <t>WELSPUNLIV</t>
        </is>
      </c>
      <c r="B2618" t="inlineStr">
        <is>
          <t>Bear</t>
        </is>
      </c>
      <c r="C2618" t="n">
        <v>165.51</v>
      </c>
      <c r="D2618" s="22" t="n">
        <v>45562</v>
      </c>
      <c r="E2618" t="n">
        <v>172.7</v>
      </c>
      <c r="F2618" s="22" t="n">
        <v>45636</v>
      </c>
      <c r="G2618" t="n">
        <v>-4.344148389825387</v>
      </c>
    </row>
    <row r="2619">
      <c r="A2619" t="inlineStr">
        <is>
          <t>WELSPUNLIV</t>
        </is>
      </c>
      <c r="B2619" t="inlineStr">
        <is>
          <t>Bull</t>
        </is>
      </c>
      <c r="C2619" t="n">
        <v>153.66</v>
      </c>
      <c r="D2619" s="22" t="n">
        <v>45471</v>
      </c>
      <c r="E2619" t="n">
        <v>168.56</v>
      </c>
      <c r="F2619" s="22" t="n">
        <v>45560</v>
      </c>
      <c r="G2619" t="n">
        <v>9.696733046986857</v>
      </c>
    </row>
    <row r="2620">
      <c r="A2620" t="inlineStr">
        <is>
          <t>WELSPUNLIV</t>
        </is>
      </c>
      <c r="B2620" t="inlineStr">
        <is>
          <t>Bear</t>
        </is>
      </c>
      <c r="C2620" t="n">
        <v>141.55</v>
      </c>
      <c r="D2620" s="22" t="n">
        <v>45420</v>
      </c>
      <c r="E2620" t="n">
        <v>150.47</v>
      </c>
      <c r="F2620" s="22" t="n">
        <v>45469</v>
      </c>
      <c r="G2620" t="n">
        <v>-6.30166019074531</v>
      </c>
    </row>
    <row r="2621">
      <c r="A2621" t="inlineStr">
        <is>
          <t>WELSPUNLIV</t>
        </is>
      </c>
      <c r="B2621" t="inlineStr">
        <is>
          <t>Bull</t>
        </is>
      </c>
      <c r="C2621" t="n">
        <v>159.4</v>
      </c>
      <c r="D2621" s="22" t="n">
        <v>45406</v>
      </c>
      <c r="E2621" t="n">
        <v>149.8</v>
      </c>
      <c r="F2621" s="22" t="n">
        <v>45418</v>
      </c>
      <c r="G2621" t="n">
        <v>-6.022584692597236</v>
      </c>
    </row>
    <row r="2622">
      <c r="A2622" t="inlineStr">
        <is>
          <t>WELSPUNLIV</t>
        </is>
      </c>
      <c r="B2622" t="inlineStr">
        <is>
          <t>Bear</t>
        </is>
      </c>
      <c r="C2622" t="n">
        <v>148.9</v>
      </c>
      <c r="D2622" s="22" t="n">
        <v>45404</v>
      </c>
      <c r="E2622" t="n">
        <v>148.9</v>
      </c>
      <c r="F2622" s="22" t="n">
        <v>45404</v>
      </c>
      <c r="G2622" t="n">
        <v>0</v>
      </c>
    </row>
    <row r="2623">
      <c r="A2623" t="inlineStr">
        <is>
          <t>WELSPUNLIV</t>
        </is>
      </c>
      <c r="B2623" t="inlineStr">
        <is>
          <t>Bull</t>
        </is>
      </c>
      <c r="C2623" t="n">
        <v>151.45</v>
      </c>
      <c r="D2623" s="22" t="n">
        <v>45394</v>
      </c>
      <c r="E2623" t="n">
        <v>147.2</v>
      </c>
      <c r="F2623" s="22" t="n">
        <v>45400</v>
      </c>
      <c r="G2623" t="n">
        <v>-2.806206668867613</v>
      </c>
    </row>
    <row r="2624">
      <c r="A2624" t="inlineStr">
        <is>
          <t>WELSPUNLIV</t>
        </is>
      </c>
      <c r="B2624" t="inlineStr">
        <is>
          <t>Bear</t>
        </is>
      </c>
      <c r="C2624" t="n">
        <v>147.5</v>
      </c>
      <c r="D2624" s="22" t="n">
        <v>45365</v>
      </c>
      <c r="E2624" t="n">
        <v>154.25</v>
      </c>
      <c r="F2624" s="22" t="n">
        <v>45391</v>
      </c>
      <c r="G2624" t="n">
        <v>-4.576271186440678</v>
      </c>
    </row>
    <row r="2625">
      <c r="A2625" t="inlineStr">
        <is>
          <t>WELSPUNLIV</t>
        </is>
      </c>
      <c r="B2625" t="inlineStr">
        <is>
          <t>Bull</t>
        </is>
      </c>
      <c r="C2625" t="n">
        <v>156.25</v>
      </c>
      <c r="D2625" s="22" t="n">
        <v>45324</v>
      </c>
      <c r="E2625" t="n">
        <v>148.15</v>
      </c>
      <c r="F2625" s="22" t="n">
        <v>45363</v>
      </c>
      <c r="G2625" t="n">
        <v>-5.183999999999997</v>
      </c>
    </row>
    <row r="2626">
      <c r="A2626" t="inlineStr">
        <is>
          <t>WELSPUNLIV</t>
        </is>
      </c>
      <c r="B2626" t="inlineStr">
        <is>
          <t>Bear</t>
        </is>
      </c>
      <c r="C2626" t="n">
        <v>137.4</v>
      </c>
      <c r="D2626" s="22" t="n">
        <v>45316</v>
      </c>
      <c r="E2626" t="n">
        <v>163.8</v>
      </c>
      <c r="F2626" s="22" t="n">
        <v>45322</v>
      </c>
      <c r="G2626" t="n">
        <v>-19.21397379912664</v>
      </c>
    </row>
    <row r="2627">
      <c r="A2627" t="inlineStr">
        <is>
          <t>WELSPUNLIV</t>
        </is>
      </c>
      <c r="B2627" t="inlineStr">
        <is>
          <t>Bull</t>
        </is>
      </c>
      <c r="C2627" t="n">
        <v>81.15000000000001</v>
      </c>
      <c r="D2627" s="22" t="n">
        <v>45029</v>
      </c>
      <c r="E2627" t="n">
        <v>142.35</v>
      </c>
      <c r="F2627" s="22" t="n">
        <v>45314</v>
      </c>
      <c r="G2627" t="n">
        <v>75.41589648798519</v>
      </c>
    </row>
    <row r="2628">
      <c r="A2628" t="inlineStr">
        <is>
          <t>WENDT</t>
        </is>
      </c>
      <c r="B2628" t="inlineStr">
        <is>
          <t>Bull</t>
        </is>
      </c>
      <c r="C2628" t="n">
        <v>15330.2</v>
      </c>
      <c r="D2628" s="22" t="n">
        <v>45581</v>
      </c>
      <c r="E2628" t="n">
        <v>16383.5</v>
      </c>
      <c r="F2628" s="22" t="n">
        <v>45660</v>
      </c>
      <c r="G2628" t="n">
        <v>6.870751849290937</v>
      </c>
    </row>
    <row r="2629">
      <c r="A2629" t="inlineStr">
        <is>
          <t>WENDT</t>
        </is>
      </c>
      <c r="B2629" t="inlineStr">
        <is>
          <t>Bear</t>
        </is>
      </c>
      <c r="C2629" t="n">
        <v>14881.8</v>
      </c>
      <c r="D2629" s="22" t="n">
        <v>45527</v>
      </c>
      <c r="E2629" t="n">
        <v>15729.7</v>
      </c>
      <c r="F2629" s="22" t="n">
        <v>45579</v>
      </c>
      <c r="G2629" t="n">
        <v>-5.697563466784942</v>
      </c>
    </row>
    <row r="2630">
      <c r="A2630" t="inlineStr">
        <is>
          <t>WENDT</t>
        </is>
      </c>
      <c r="B2630" t="inlineStr">
        <is>
          <t>Bull</t>
        </is>
      </c>
      <c r="C2630" t="n">
        <v>14096.95</v>
      </c>
      <c r="D2630" s="22" t="n">
        <v>45412</v>
      </c>
      <c r="E2630" t="n">
        <v>14930.5</v>
      </c>
      <c r="F2630" s="22" t="n">
        <v>45525</v>
      </c>
      <c r="G2630" t="n">
        <v>5.912981176779368</v>
      </c>
    </row>
    <row r="2631">
      <c r="A2631" t="inlineStr">
        <is>
          <t>WENDT</t>
        </is>
      </c>
      <c r="B2631" t="inlineStr">
        <is>
          <t>Bear</t>
        </is>
      </c>
      <c r="C2631" t="n">
        <v>13056</v>
      </c>
      <c r="D2631" s="22" t="n">
        <v>45320</v>
      </c>
      <c r="E2631" t="n">
        <v>13080.95</v>
      </c>
      <c r="F2631" s="22" t="n">
        <v>45408</v>
      </c>
      <c r="G2631" t="n">
        <v>-0.1910998774509859</v>
      </c>
    </row>
    <row r="2632">
      <c r="A2632" t="inlineStr">
        <is>
          <t>WENDT</t>
        </is>
      </c>
      <c r="B2632" t="inlineStr">
        <is>
          <t>Bull</t>
        </is>
      </c>
      <c r="C2632" t="n">
        <v>13954.3</v>
      </c>
      <c r="D2632" s="22" t="n">
        <v>45260</v>
      </c>
      <c r="E2632" t="n">
        <v>12989.95</v>
      </c>
      <c r="F2632" s="22" t="n">
        <v>45315</v>
      </c>
      <c r="G2632" t="n">
        <v>-6.91077302336913</v>
      </c>
    </row>
    <row r="2633">
      <c r="A2633" t="inlineStr">
        <is>
          <t>WENDT</t>
        </is>
      </c>
      <c r="B2633" t="inlineStr">
        <is>
          <t>Bear</t>
        </is>
      </c>
      <c r="C2633" t="n">
        <v>12385</v>
      </c>
      <c r="D2633" s="22" t="n">
        <v>45231</v>
      </c>
      <c r="E2633" t="n">
        <v>14350</v>
      </c>
      <c r="F2633" s="22" t="n">
        <v>45258</v>
      </c>
      <c r="G2633" t="n">
        <v>-15.86596689543803</v>
      </c>
    </row>
    <row r="2634">
      <c r="A2634" t="inlineStr">
        <is>
          <t>WENDT</t>
        </is>
      </c>
      <c r="B2634" t="inlineStr">
        <is>
          <t>Bull</t>
        </is>
      </c>
      <c r="C2634" t="n">
        <v>8395.75</v>
      </c>
      <c r="D2634" s="22" t="n">
        <v>44950</v>
      </c>
      <c r="E2634" t="n">
        <v>12380.55</v>
      </c>
      <c r="F2634" s="22" t="n">
        <v>45229</v>
      </c>
      <c r="G2634" t="n">
        <v>47.46210880505017</v>
      </c>
    </row>
    <row r="2635">
      <c r="A2635" t="inlineStr">
        <is>
          <t>WSTCSTPAPR</t>
        </is>
      </c>
      <c r="B2635" t="inlineStr">
        <is>
          <t>Bear</t>
        </is>
      </c>
      <c r="C2635" t="n">
        <v>561.55</v>
      </c>
      <c r="D2635" s="22" t="n">
        <v>45650</v>
      </c>
      <c r="E2635" t="n">
        <v>561.45</v>
      </c>
      <c r="F2635" s="22" t="n">
        <v>45660</v>
      </c>
      <c r="G2635" t="n">
        <v>0.01780785326327292</v>
      </c>
    </row>
    <row r="2636">
      <c r="A2636" t="inlineStr">
        <is>
          <t>WSTCSTPAPR</t>
        </is>
      </c>
      <c r="B2636" t="inlineStr">
        <is>
          <t>Bull</t>
        </is>
      </c>
      <c r="C2636" t="n">
        <v>615.8</v>
      </c>
      <c r="D2636" s="22" t="n">
        <v>45635</v>
      </c>
      <c r="E2636" t="n">
        <v>555.95</v>
      </c>
      <c r="F2636" s="22" t="n">
        <v>45646</v>
      </c>
      <c r="G2636" t="n">
        <v>-9.719064631373808</v>
      </c>
    </row>
    <row r="2637">
      <c r="A2637" t="inlineStr">
        <is>
          <t>WSTCSTPAPR</t>
        </is>
      </c>
      <c r="B2637" t="inlineStr">
        <is>
          <t>Bear</t>
        </is>
      </c>
      <c r="C2637" t="n">
        <v>631.65</v>
      </c>
      <c r="D2637" s="22" t="n">
        <v>45503</v>
      </c>
      <c r="E2637" t="n">
        <v>622.65</v>
      </c>
      <c r="F2637" s="22" t="n">
        <v>45631</v>
      </c>
      <c r="G2637" t="n">
        <v>1.424839705533127</v>
      </c>
    </row>
    <row r="2638">
      <c r="A2638" t="inlineStr">
        <is>
          <t>WSTCSTPAPR</t>
        </is>
      </c>
      <c r="B2638" t="inlineStr">
        <is>
          <t>Bull</t>
        </is>
      </c>
      <c r="C2638" t="n">
        <v>682</v>
      </c>
      <c r="D2638" s="22" t="n">
        <v>45462</v>
      </c>
      <c r="E2638" t="n">
        <v>622.5</v>
      </c>
      <c r="F2638" s="22" t="n">
        <v>45499</v>
      </c>
      <c r="G2638" t="n">
        <v>-8.724340175953079</v>
      </c>
    </row>
    <row r="2639">
      <c r="A2639" t="inlineStr">
        <is>
          <t>WSTCSTPAPR</t>
        </is>
      </c>
      <c r="B2639" t="inlineStr">
        <is>
          <t>Bear</t>
        </is>
      </c>
      <c r="C2639" t="n">
        <v>598.75</v>
      </c>
      <c r="D2639" s="22" t="n">
        <v>45441</v>
      </c>
      <c r="E2639" t="n">
        <v>677.75</v>
      </c>
      <c r="F2639" s="22" t="n">
        <v>45457</v>
      </c>
      <c r="G2639" t="n">
        <v>-13.19415448851774</v>
      </c>
    </row>
    <row r="2640">
      <c r="A2640" t="inlineStr">
        <is>
          <t>WSTCSTPAPR</t>
        </is>
      </c>
      <c r="B2640" t="inlineStr">
        <is>
          <t>Bull</t>
        </is>
      </c>
      <c r="C2640" t="n">
        <v>650.1</v>
      </c>
      <c r="D2640" s="22" t="n">
        <v>45419</v>
      </c>
      <c r="E2640" t="n">
        <v>616.5</v>
      </c>
      <c r="F2640" s="22" t="n">
        <v>45439</v>
      </c>
      <c r="G2640" t="n">
        <v>-5.168435625288421</v>
      </c>
    </row>
    <row r="2641">
      <c r="A2641" t="inlineStr">
        <is>
          <t>WSTCSTPAPR</t>
        </is>
      </c>
      <c r="B2641" t="inlineStr">
        <is>
          <t>Bear</t>
        </is>
      </c>
      <c r="C2641" t="n">
        <v>622.7</v>
      </c>
      <c r="D2641" s="22" t="n">
        <v>45336</v>
      </c>
      <c r="E2641" t="n">
        <v>683.45</v>
      </c>
      <c r="F2641" s="22" t="n">
        <v>45415</v>
      </c>
      <c r="G2641" t="n">
        <v>-9.755901718323431</v>
      </c>
    </row>
    <row r="2642">
      <c r="A2642" t="inlineStr">
        <is>
          <t>WSTCSTPAPR</t>
        </is>
      </c>
      <c r="B2642" t="inlineStr">
        <is>
          <t>Bull</t>
        </is>
      </c>
      <c r="C2642" t="n">
        <v>727.15</v>
      </c>
      <c r="D2642" s="22" t="n">
        <v>45282</v>
      </c>
      <c r="E2642" t="n">
        <v>649.25</v>
      </c>
      <c r="F2642" s="22" t="n">
        <v>45334</v>
      </c>
      <c r="G2642" t="n">
        <v>-10.71305782850856</v>
      </c>
    </row>
    <row r="2643">
      <c r="A2643" t="inlineStr">
        <is>
          <t>WSTCSTPAPR</t>
        </is>
      </c>
      <c r="B2643" t="inlineStr">
        <is>
          <t>Bear</t>
        </is>
      </c>
      <c r="C2643" t="n">
        <v>653.45</v>
      </c>
      <c r="D2643" s="22" t="n">
        <v>45264</v>
      </c>
      <c r="E2643" t="n">
        <v>724.45</v>
      </c>
      <c r="F2643" s="22" t="n">
        <v>45280</v>
      </c>
      <c r="G2643" t="n">
        <v>-10.8654066875813</v>
      </c>
    </row>
    <row r="2644">
      <c r="A2644" t="inlineStr">
        <is>
          <t>WSTCSTPAPR</t>
        </is>
      </c>
      <c r="B2644" t="inlineStr">
        <is>
          <t>Bull</t>
        </is>
      </c>
      <c r="C2644" t="n">
        <v>568.75</v>
      </c>
      <c r="D2644" s="22" t="n">
        <v>45156</v>
      </c>
      <c r="E2644" t="n">
        <v>651.25</v>
      </c>
      <c r="F2644" s="22" t="n">
        <v>45260</v>
      </c>
      <c r="G2644" t="n">
        <v>14.50549450549451</v>
      </c>
    </row>
    <row r="2645">
      <c r="A2645" t="inlineStr">
        <is>
          <t>WSTCSTPAPR</t>
        </is>
      </c>
      <c r="B2645" t="inlineStr">
        <is>
          <t>Bear</t>
        </is>
      </c>
      <c r="C2645" t="n">
        <v>517.25</v>
      </c>
      <c r="D2645" s="22" t="n">
        <v>45083</v>
      </c>
      <c r="E2645" t="n">
        <v>556</v>
      </c>
      <c r="F2645" s="22" t="n">
        <v>45154</v>
      </c>
      <c r="G2645" t="n">
        <v>-7.49154180763654</v>
      </c>
    </row>
    <row r="2646">
      <c r="A2646" t="inlineStr">
        <is>
          <t>WSTCSTPAPR</t>
        </is>
      </c>
      <c r="B2646" t="inlineStr">
        <is>
          <t>Bull</t>
        </is>
      </c>
      <c r="C2646" t="n">
        <v>546.05</v>
      </c>
      <c r="D2646" s="22" t="n">
        <v>45021</v>
      </c>
      <c r="E2646" t="n">
        <v>519.7</v>
      </c>
      <c r="F2646" s="22" t="n">
        <v>45079</v>
      </c>
      <c r="G2646" t="n">
        <v>-4.825565424411668</v>
      </c>
    </row>
    <row r="2647">
      <c r="A2647" t="inlineStr">
        <is>
          <t>XPROINDIA</t>
        </is>
      </c>
      <c r="B2647" t="inlineStr">
        <is>
          <t>Bull</t>
        </is>
      </c>
      <c r="C2647" t="n">
        <v>1095.45</v>
      </c>
      <c r="D2647" s="22" t="n">
        <v>45609</v>
      </c>
      <c r="E2647" t="n">
        <v>1524.5</v>
      </c>
      <c r="F2647" s="22" t="n">
        <v>45660</v>
      </c>
      <c r="G2647" t="n">
        <v>39.16655255830936</v>
      </c>
    </row>
    <row r="2648">
      <c r="A2648" t="inlineStr">
        <is>
          <t>XPROINDIA</t>
        </is>
      </c>
      <c r="B2648" t="inlineStr">
        <is>
          <t>Bear</t>
        </is>
      </c>
      <c r="C2648" t="n">
        <v>1036.85</v>
      </c>
      <c r="D2648" s="22" t="n">
        <v>45593</v>
      </c>
      <c r="E2648" t="n">
        <v>1153</v>
      </c>
      <c r="F2648" s="22" t="n">
        <v>45607</v>
      </c>
      <c r="G2648" t="n">
        <v>-11.20219896802817</v>
      </c>
    </row>
    <row r="2649">
      <c r="A2649" t="inlineStr">
        <is>
          <t>XPROINDIA</t>
        </is>
      </c>
      <c r="B2649" t="inlineStr">
        <is>
          <t>Bull</t>
        </is>
      </c>
      <c r="C2649" t="n">
        <v>1113.7</v>
      </c>
      <c r="D2649" s="22" t="n">
        <v>45587</v>
      </c>
      <c r="E2649" t="n">
        <v>1080.8</v>
      </c>
      <c r="F2649" s="22" t="n">
        <v>45589</v>
      </c>
      <c r="G2649" t="n">
        <v>-2.954116907605288</v>
      </c>
    </row>
    <row r="2650">
      <c r="A2650" t="inlineStr">
        <is>
          <t>XPROINDIA</t>
        </is>
      </c>
      <c r="B2650" t="inlineStr">
        <is>
          <t>Bear</t>
        </is>
      </c>
      <c r="C2650" t="n">
        <v>1133.75</v>
      </c>
      <c r="D2650" s="22" t="n">
        <v>45580</v>
      </c>
      <c r="E2650" t="n">
        <v>1160.65</v>
      </c>
      <c r="F2650" s="22" t="n">
        <v>45583</v>
      </c>
      <c r="G2650" t="n">
        <v>-2.372657111356127</v>
      </c>
    </row>
    <row r="2651">
      <c r="A2651" t="inlineStr">
        <is>
          <t>XPROINDIA</t>
        </is>
      </c>
      <c r="B2651" t="inlineStr">
        <is>
          <t>Bull</t>
        </is>
      </c>
      <c r="C2651" t="n">
        <v>1060.4</v>
      </c>
      <c r="D2651" s="22" t="n">
        <v>45516</v>
      </c>
      <c r="E2651" t="n">
        <v>1098.95</v>
      </c>
      <c r="F2651" s="22" t="n">
        <v>45576</v>
      </c>
      <c r="G2651" t="n">
        <v>3.635420596001504</v>
      </c>
    </row>
    <row r="2652">
      <c r="A2652" t="inlineStr">
        <is>
          <t>XPROINDIA</t>
        </is>
      </c>
      <c r="B2652" t="inlineStr">
        <is>
          <t>Bear</t>
        </is>
      </c>
      <c r="C2652" t="n">
        <v>1070.15</v>
      </c>
      <c r="D2652" s="22" t="n">
        <v>45369</v>
      </c>
      <c r="E2652" t="n">
        <v>1045.3</v>
      </c>
      <c r="F2652" s="22" t="n">
        <v>45512</v>
      </c>
      <c r="G2652" t="n">
        <v>2.322104377890962</v>
      </c>
    </row>
    <row r="2653">
      <c r="A2653" t="inlineStr">
        <is>
          <t>XPROINDIA</t>
        </is>
      </c>
      <c r="B2653" t="inlineStr">
        <is>
          <t>Bull</t>
        </is>
      </c>
      <c r="C2653" t="n">
        <v>1183.3</v>
      </c>
      <c r="D2653" s="22" t="n">
        <v>45278</v>
      </c>
      <c r="E2653" t="n">
        <v>1091.7</v>
      </c>
      <c r="F2653" s="22" t="n">
        <v>45365</v>
      </c>
      <c r="G2653" t="n">
        <v>-7.741063128538825</v>
      </c>
    </row>
    <row r="2654">
      <c r="A2654" t="inlineStr">
        <is>
          <t>XPROINDIA</t>
        </is>
      </c>
      <c r="B2654" t="inlineStr">
        <is>
          <t>Bear</t>
        </is>
      </c>
      <c r="C2654" t="n">
        <v>881.85</v>
      </c>
      <c r="D2654" s="22" t="n">
        <v>45240</v>
      </c>
      <c r="E2654" t="n">
        <v>1039.15</v>
      </c>
      <c r="F2654" s="22" t="n">
        <v>45274</v>
      </c>
      <c r="G2654" t="n">
        <v>-17.83750070873732</v>
      </c>
    </row>
    <row r="2655">
      <c r="A2655" t="inlineStr">
        <is>
          <t>XPROINDIA</t>
        </is>
      </c>
      <c r="B2655" t="inlineStr">
        <is>
          <t>Bull</t>
        </is>
      </c>
      <c r="C2655" t="n">
        <v>676.05</v>
      </c>
      <c r="D2655" s="22" t="n">
        <v>45009</v>
      </c>
      <c r="E2655" t="n">
        <v>905.2</v>
      </c>
      <c r="F2655" s="22" t="n">
        <v>45238</v>
      </c>
      <c r="G2655" t="n">
        <v>33.89542193624733</v>
      </c>
    </row>
    <row r="2656">
      <c r="A2656" t="inlineStr">
        <is>
          <t>YASHO</t>
        </is>
      </c>
      <c r="B2656" t="inlineStr">
        <is>
          <t>Bull</t>
        </is>
      </c>
      <c r="C2656" t="n">
        <v>2054.05</v>
      </c>
      <c r="D2656" s="22" t="n">
        <v>45644</v>
      </c>
      <c r="E2656" t="n">
        <v>2120.6</v>
      </c>
      <c r="F2656" s="22" t="n">
        <v>45660</v>
      </c>
      <c r="G2656" t="n">
        <v>3.239940605145918</v>
      </c>
    </row>
    <row r="2657">
      <c r="A2657" t="inlineStr">
        <is>
          <t>YASHO</t>
        </is>
      </c>
      <c r="B2657" t="inlineStr">
        <is>
          <t>Bear</t>
        </is>
      </c>
      <c r="C2657" t="n">
        <v>1879.05</v>
      </c>
      <c r="D2657" s="22" t="n">
        <v>45589</v>
      </c>
      <c r="E2657" t="n">
        <v>2089.55</v>
      </c>
      <c r="F2657" s="22" t="n">
        <v>45642</v>
      </c>
      <c r="G2657" t="n">
        <v>-11.2024693329076</v>
      </c>
    </row>
    <row r="2658">
      <c r="A2658" t="inlineStr">
        <is>
          <t>YASHO</t>
        </is>
      </c>
      <c r="B2658" t="inlineStr">
        <is>
          <t>Bull</t>
        </is>
      </c>
      <c r="C2658" t="n">
        <v>2066.25</v>
      </c>
      <c r="D2658" s="22" t="n">
        <v>45532</v>
      </c>
      <c r="E2658" t="n">
        <v>1855.05</v>
      </c>
      <c r="F2658" s="22" t="n">
        <v>45587</v>
      </c>
      <c r="G2658" t="n">
        <v>-10.22141560798548</v>
      </c>
    </row>
    <row r="2659">
      <c r="A2659" t="inlineStr">
        <is>
          <t>YASHO</t>
        </is>
      </c>
      <c r="B2659" t="inlineStr">
        <is>
          <t>Bear</t>
        </is>
      </c>
      <c r="C2659" t="n">
        <v>1713.3</v>
      </c>
      <c r="D2659" s="22" t="n">
        <v>45510</v>
      </c>
      <c r="E2659" t="n">
        <v>1927.6</v>
      </c>
      <c r="F2659" s="22" t="n">
        <v>45530</v>
      </c>
      <c r="G2659" t="n">
        <v>-12.50802544796591</v>
      </c>
    </row>
    <row r="2660">
      <c r="A2660" t="inlineStr">
        <is>
          <t>YASHO</t>
        </is>
      </c>
      <c r="B2660" t="inlineStr">
        <is>
          <t>Bull</t>
        </is>
      </c>
      <c r="C2660" t="n">
        <v>1914.9</v>
      </c>
      <c r="D2660" s="22" t="n">
        <v>45463</v>
      </c>
      <c r="E2660" t="n">
        <v>1732.5</v>
      </c>
      <c r="F2660" s="22" t="n">
        <v>45506</v>
      </c>
      <c r="G2660" t="n">
        <v>-9.525301582328064</v>
      </c>
    </row>
    <row r="2661">
      <c r="A2661" t="inlineStr">
        <is>
          <t>YASHO</t>
        </is>
      </c>
      <c r="B2661" t="inlineStr">
        <is>
          <t>Bear</t>
        </is>
      </c>
      <c r="C2661" t="n">
        <v>1724.6</v>
      </c>
      <c r="D2661" s="22" t="n">
        <v>45448</v>
      </c>
      <c r="E2661" t="n">
        <v>1899.45</v>
      </c>
      <c r="F2661" s="22" t="n">
        <v>45461</v>
      </c>
      <c r="G2661" t="n">
        <v>-10.13858285979358</v>
      </c>
    </row>
    <row r="2662">
      <c r="A2662" t="inlineStr">
        <is>
          <t>ZYDUSLIFE</t>
        </is>
      </c>
      <c r="B2662" t="inlineStr">
        <is>
          <t>Bear</t>
        </is>
      </c>
      <c r="C2662" t="n">
        <v>1100</v>
      </c>
      <c r="D2662" s="22" t="n">
        <v>45541</v>
      </c>
      <c r="E2662" t="n">
        <v>975.8</v>
      </c>
      <c r="F2662" s="22" t="n">
        <v>45660</v>
      </c>
      <c r="G2662" t="n">
        <v>11.29090909090909</v>
      </c>
    </row>
    <row r="2663">
      <c r="A2663" t="inlineStr">
        <is>
          <t>ZYDUSLIFE</t>
        </is>
      </c>
      <c r="B2663" t="inlineStr">
        <is>
          <t>Bull</t>
        </is>
      </c>
      <c r="C2663" t="n">
        <v>636.55</v>
      </c>
      <c r="D2663" s="22" t="n">
        <v>45247</v>
      </c>
      <c r="E2663" t="n">
        <v>1127.9</v>
      </c>
      <c r="F2663" s="22" t="n">
        <v>45539</v>
      </c>
      <c r="G2663" t="n">
        <v>77.18953734977616</v>
      </c>
    </row>
    <row r="2664">
      <c r="A2664" t="inlineStr">
        <is>
          <t>ZYDUSLIFE</t>
        </is>
      </c>
      <c r="B2664" t="inlineStr">
        <is>
          <t>Bear</t>
        </is>
      </c>
      <c r="C2664" t="n">
        <v>605.1</v>
      </c>
      <c r="D2664" s="22" t="n">
        <v>45203</v>
      </c>
      <c r="E2664" t="n">
        <v>621.15</v>
      </c>
      <c r="F2664" s="22" t="n">
        <v>45245</v>
      </c>
      <c r="G2664" t="n">
        <v>-2.652454139811594</v>
      </c>
    </row>
    <row r="2665">
      <c r="A2665" t="inlineStr">
        <is>
          <t>ZYDUSLIFE</t>
        </is>
      </c>
      <c r="B2665" t="inlineStr">
        <is>
          <t>Bull</t>
        </is>
      </c>
      <c r="C2665" t="n">
        <v>419.9</v>
      </c>
      <c r="D2665" s="22" t="n">
        <v>44838</v>
      </c>
      <c r="E2665" t="n">
        <v>615</v>
      </c>
      <c r="F2665" s="22" t="n">
        <v>45198</v>
      </c>
      <c r="G2665" t="n">
        <v>46.46344367706597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2024-12-20T11:54:36Z</dcterms:created>
  <dcterms:modified xsi:type="dcterms:W3CDTF">2025-01-04T07:40:26Z</dcterms:modified>
  <cp:lastModifiedBy>Akash Saini</cp:lastModifiedBy>
</cp:coreProperties>
</file>