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AVS-2024" sheetId="1" state="visible" r:id="rId1"/>
    <sheet name="indicators" sheetId="2" state="visible" r:id="rId2"/>
  </sheets>
  <definedNames>
    <definedName name="_xlnm._FilterDatabase" localSheetId="0" hidden="1">'AVS-2024'!$A$1:$BB$499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7">
    <font>
      <name val="Arial"/>
      <color rgb="FF000000"/>
      <sz val="10"/>
      <scheme val="minor"/>
    </font>
    <font>
      <name val="Arial"/>
      <b val="1"/>
      <color rgb="FF374151"/>
      <sz val="10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Calibri"/>
      <color theme="1"/>
      <sz val="11"/>
    </font>
    <font>
      <name val="Arial"/>
      <b val="1"/>
      <sz val="10"/>
    </font>
    <font>
      <b val="1"/>
    </font>
  </fonts>
  <fills count="5">
    <fill>
      <patternFill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3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3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3" fontId="2" fillId="3" borderId="1" applyAlignment="1" pivotButton="0" quotePrefix="0" xfId="0">
      <alignment horizontal="center" vertical="center"/>
    </xf>
    <xf numFmtId="3" fontId="2" fillId="0" borderId="0" applyAlignment="1" pivotButton="0" quotePrefix="0" xfId="0">
      <alignment horizontal="center" vertical="center"/>
    </xf>
    <xf numFmtId="3" fontId="2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3" fontId="2" fillId="4" borderId="0" applyAlignment="1" pivotButton="0" quotePrefix="0" xfId="0">
      <alignment horizontal="center" vertical="center"/>
    </xf>
    <xf numFmtId="0" fontId="3" fillId="4" borderId="0" pivotButton="0" quotePrefix="0" xfId="0"/>
    <xf numFmtId="0" fontId="4" fillId="0" borderId="1" applyAlignment="1" pivotButton="0" quotePrefix="0" xfId="0">
      <alignment horizontal="center"/>
    </xf>
    <xf numFmtId="3" fontId="3" fillId="0" borderId="1" applyAlignment="1" pivotButton="0" quotePrefix="0" xfId="0">
      <alignment horizontal="center"/>
    </xf>
    <xf numFmtId="10" fontId="3" fillId="0" borderId="1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10" fontId="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 vertical="top"/>
    </xf>
    <xf numFmtId="0" fontId="6" fillId="0" borderId="3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dxfs count="6">
    <dxf>
      <font>
        <b val="1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38761D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K499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28125" defaultRowHeight="15.75" customHeight="1"/>
  <cols>
    <col width="12.453125" customWidth="1" min="1" max="1"/>
    <col width="7.26953125" customWidth="1" min="2" max="2"/>
    <col width="7.7265625" customWidth="1" min="3" max="3"/>
    <col width="7.6328125" customWidth="1" min="4" max="5"/>
    <col width="11" customWidth="1" min="6" max="6"/>
    <col width="9.36328125" customWidth="1" min="7" max="7"/>
    <col width="10.26953125" customWidth="1" min="8" max="8"/>
    <col width="12.6328125" customWidth="1" min="9" max="9"/>
    <col width="9.36328125" customWidth="1" min="10" max="10"/>
    <col width="12.90625" customWidth="1" min="11" max="11"/>
    <col width="13.7265625" customWidth="1" min="12" max="13"/>
    <col width="13.453125" customWidth="1" min="14" max="14"/>
    <col width="10.6328125" customWidth="1" min="15" max="15"/>
    <col width="13.36328125" customWidth="1" min="16" max="16"/>
    <col width="10.453125" customWidth="1" min="17" max="17"/>
    <col width="6.36328125" customWidth="1" min="18" max="18"/>
    <col hidden="1" width="8.6328125" customWidth="1" min="19" max="19"/>
    <col hidden="1" width="4.36328125" customWidth="1" min="20" max="20"/>
    <col hidden="1" width="4.7265625" customWidth="1" min="21" max="22"/>
    <col hidden="1" width="13.36328125" customWidth="1" min="23" max="23"/>
    <col hidden="1" width="4.36328125" customWidth="1" min="24" max="24"/>
    <col hidden="1" width="10.453125" customWidth="1" min="25" max="25"/>
    <col hidden="1" width="5.36328125" customWidth="1" min="26" max="26"/>
    <col hidden="1" width="4.7265625" customWidth="1" min="27" max="27"/>
    <col hidden="1" width="6.36328125" customWidth="1" min="28" max="28"/>
    <col hidden="1" width="8.6328125" customWidth="1" min="29" max="29"/>
    <col hidden="1" width="4.36328125" customWidth="1" min="30" max="30"/>
    <col hidden="1" width="4.7265625" customWidth="1" min="31" max="32"/>
    <col hidden="1" width="13.453125" customWidth="1" min="33" max="33"/>
    <col hidden="1" width="3" customWidth="1" min="34" max="34"/>
    <col hidden="1" width="10.6328125" customWidth="1" min="35" max="35"/>
    <col hidden="1" width="5.36328125" customWidth="1" min="36" max="36"/>
    <col hidden="1" width="4.7265625" customWidth="1" min="37" max="37"/>
  </cols>
  <sheetData>
    <row r="1" ht="15.75" customHeight="1">
      <c r="A1" s="1" t="inlineStr">
        <is>
          <t>NSE Code</t>
        </is>
      </c>
      <c r="B1" s="2" t="inlineStr">
        <is>
          <t>CMP</t>
        </is>
      </c>
      <c r="C1" s="2" t="inlineStr">
        <is>
          <t>Open
Price</t>
        </is>
      </c>
      <c r="D1" s="2" t="inlineStr">
        <is>
          <t xml:space="preserve">High
Price </t>
        </is>
      </c>
      <c r="E1" s="2" t="inlineStr">
        <is>
          <t>Low
Price</t>
        </is>
      </c>
      <c r="F1" s="2" t="inlineStr">
        <is>
          <t>Preivious
Close</t>
        </is>
      </c>
      <c r="G1" s="2" t="inlineStr">
        <is>
          <t>Price
change</t>
        </is>
      </c>
      <c r="H1" s="2" t="inlineStr">
        <is>
          <t>Stock
Volume</t>
        </is>
      </c>
      <c r="I1" s="2" t="inlineStr">
        <is>
          <t>20 day AVG
Volume</t>
        </is>
      </c>
      <c r="J1" s="2" t="inlineStr">
        <is>
          <t>Volume
change</t>
        </is>
      </c>
      <c r="K1" s="2" t="inlineStr">
        <is>
          <t>5 days SMA</t>
        </is>
      </c>
      <c r="L1" s="2" t="inlineStr">
        <is>
          <t>13 days SMA</t>
        </is>
      </c>
      <c r="M1" s="2" t="inlineStr">
        <is>
          <t>21 days SMA</t>
        </is>
      </c>
      <c r="N1" s="3" t="inlineStr">
        <is>
          <t>Action_1</t>
        </is>
      </c>
      <c r="O1" s="4" t="inlineStr">
        <is>
          <t>Action_2</t>
        </is>
      </c>
      <c r="P1" s="5" t="inlineStr">
        <is>
          <t>Action_1</t>
        </is>
      </c>
      <c r="Q1" s="6" t="inlineStr">
        <is>
          <t>Action_2</t>
        </is>
      </c>
      <c r="R1" s="7" t="n"/>
      <c r="S1" s="8" t="inlineStr">
        <is>
          <t>Action</t>
        </is>
      </c>
      <c r="T1" s="8" t="inlineStr">
        <is>
          <t>x</t>
        </is>
      </c>
      <c r="U1" s="8" t="inlineStr">
        <is>
          <t>x</t>
        </is>
      </c>
      <c r="V1" s="9" t="inlineStr">
        <is>
          <t>x</t>
        </is>
      </c>
      <c r="W1" s="9" t="inlineStr">
        <is>
          <t>Action_1</t>
        </is>
      </c>
      <c r="X1" s="8" t="inlineStr">
        <is>
          <t>x</t>
        </is>
      </c>
      <c r="Y1" s="8" t="inlineStr">
        <is>
          <t>Action_2</t>
        </is>
      </c>
      <c r="Z1" s="8" t="inlineStr">
        <is>
          <t>xx</t>
        </is>
      </c>
      <c r="AA1" s="8" t="inlineStr">
        <is>
          <t>x</t>
        </is>
      </c>
      <c r="AB1" s="7" t="n"/>
      <c r="AC1" s="10" t="inlineStr">
        <is>
          <t>Action</t>
        </is>
      </c>
      <c r="AD1" s="10" t="inlineStr">
        <is>
          <t>x</t>
        </is>
      </c>
      <c r="AE1" s="10" t="inlineStr">
        <is>
          <t>x</t>
        </is>
      </c>
      <c r="AF1" s="11" t="inlineStr">
        <is>
          <t>x</t>
        </is>
      </c>
      <c r="AG1" s="11" t="inlineStr">
        <is>
          <t>Action_1</t>
        </is>
      </c>
      <c r="AH1" s="10" t="inlineStr">
        <is>
          <t>x</t>
        </is>
      </c>
      <c r="AI1" s="10" t="inlineStr">
        <is>
          <t>Action_2</t>
        </is>
      </c>
      <c r="AJ1" s="10" t="inlineStr">
        <is>
          <t>xx</t>
        </is>
      </c>
      <c r="AK1" s="10" t="inlineStr">
        <is>
          <t>x</t>
        </is>
      </c>
    </row>
    <row r="2" ht="15.75" customHeight="1">
      <c r="A2" s="12" t="inlineStr">
        <is>
          <t>AARTIPHARM</t>
        </is>
      </c>
      <c r="B2" s="13">
        <f>IFERROR(__xludf.DUMMYFUNCTION("GOOGLEFINANCE(""NSE:""&amp;A2,""PRICE"")"),624.65)</f>
        <v/>
      </c>
      <c r="C2" s="13">
        <f>IFERROR(__xludf.DUMMYFUNCTION("GOOGLEFINANCE(""NSE:""&amp;A2,""PRICEOPEN"")"),634.95)</f>
        <v/>
      </c>
      <c r="D2" s="13">
        <f>IFERROR(__xludf.DUMMYFUNCTION("GOOGLEFINANCE(""NSE:""&amp;A2,""HIGH"")"),636.8)</f>
        <v/>
      </c>
      <c r="E2" s="13">
        <f>IFERROR(__xludf.DUMMYFUNCTION("GOOGLEFINANCE(""NSE:""&amp;A2,""LOW"")"),620.55)</f>
        <v/>
      </c>
      <c r="F2" s="13">
        <f>IFERROR(__xludf.DUMMYFUNCTION("GOOGLEFINANCE(""NSE:""&amp;A2,""closeyest"")"),631.8)</f>
        <v/>
      </c>
      <c r="G2" s="14">
        <f>(B2-C2)/B2</f>
        <v/>
      </c>
      <c r="H2" s="13">
        <f>IFERROR(__xludf.DUMMYFUNCTION("GOOGLEFINANCE(""NSE:""&amp;A2,""VOLUME"")"),96917)</f>
        <v/>
      </c>
      <c r="I2" s="13">
        <f>IFERROR(__xludf.DUMMYFUNCTION("AVERAGE(index(GOOGLEFINANCE(""NSE:""&amp;$A2, ""volume"", today()-21, today()-1), , 2))"),"#N/A")</f>
        <v/>
      </c>
      <c r="J2" s="14">
        <f>(H2-I2)/I2</f>
        <v/>
      </c>
      <c r="K2" s="13">
        <f>IFERROR(__xludf.DUMMYFUNCTION("AVERAGE(index(GOOGLEFINANCE(""NSE:""&amp;$A2, ""close"", today()-6, today()-1), , 2))"),"#N/A")</f>
        <v/>
      </c>
      <c r="L2" s="13">
        <f>IFERROR(__xludf.DUMMYFUNCTION("AVERAGE(index(GOOGLEFINANCE(""NSE:""&amp;$A2, ""close"", today()-14, today()-1), , 2))"),"#N/A")</f>
        <v/>
      </c>
      <c r="M2" s="13">
        <f>IFERROR(__xludf.DUMMYFUNCTION("AVERAGE(index(GOOGLEFINANCE(""NSE:""&amp;$A2, ""close"", today()-22, today()-1), , 2))"),"#N/A")</f>
        <v/>
      </c>
      <c r="N2" s="13">
        <f>AG2</f>
        <v/>
      </c>
      <c r="O2" s="13">
        <f>AI2</f>
        <v/>
      </c>
      <c r="P2" s="13">
        <f>W2</f>
        <v/>
      </c>
      <c r="Q2" s="13">
        <f>Y2</f>
        <v/>
      </c>
      <c r="R2" s="15" t="n"/>
      <c r="S2" s="15">
        <f>LEFT(W2,2)&amp;LEFT(Y2,2)</f>
        <v/>
      </c>
      <c r="T2" s="15" t="n"/>
      <c r="U2" s="15">
        <f>IF(K2&lt;L2,1,0)</f>
        <v/>
      </c>
      <c r="V2" s="15">
        <f>IF(H2&gt;I2,1,0)</f>
        <v/>
      </c>
      <c r="W2" s="15">
        <f>IF(SUM(U2:V2)=2,"Anticipatory_Sell","No_Action")</f>
        <v/>
      </c>
      <c r="X2" s="15" t="n"/>
      <c r="Y2" s="15">
        <f>IF(SUM(Z2:AA2)=2,"Confirm_Sell","No_Action")</f>
        <v/>
      </c>
      <c r="Z2" s="15">
        <f>IF(H2&gt;I2,1,0)</f>
        <v/>
      </c>
      <c r="AA2" s="15">
        <f>IF(K2&lt;M2,1,0)</f>
        <v/>
      </c>
      <c r="AB2" s="15" t="n"/>
      <c r="AC2" s="15">
        <f>LEFT(AG2,2)&amp;LEFT(AI2,2)</f>
        <v/>
      </c>
      <c r="AD2" s="15" t="n"/>
      <c r="AE2" s="15">
        <f>IF(K2&gt;L2,1,0)</f>
        <v/>
      </c>
      <c r="AF2" s="16">
        <f>IF(H2&gt;I2,1,0)</f>
        <v/>
      </c>
      <c r="AG2" s="16">
        <f>IF(SUM(AE2:AF2)=2,"Anticipatory_Buy","No_Action")</f>
        <v/>
      </c>
      <c r="AH2" s="15" t="n"/>
      <c r="AI2" s="15">
        <f>IF(SUM(AJ2:AK2)=2,"Confirm_Buy","No_Action")</f>
        <v/>
      </c>
      <c r="AJ2" s="15">
        <f>IF(H2&gt;I2,1,0)</f>
        <v/>
      </c>
      <c r="AK2" s="15">
        <f>IF(K2&gt;M2,1,0)</f>
        <v/>
      </c>
    </row>
    <row r="3" ht="15.75" customHeight="1">
      <c r="A3" s="12" t="inlineStr">
        <is>
          <t>AAVAS</t>
        </is>
      </c>
      <c r="B3" s="13">
        <f>IFERROR(__xludf.DUMMYFUNCTION("GOOGLEFINANCE(""NSE:""&amp;A3,""PRICE"")"),1661.95)</f>
        <v/>
      </c>
      <c r="C3" s="13">
        <f>IFERROR(__xludf.DUMMYFUNCTION("GOOGLEFINANCE(""NSE:""&amp;A3,""PRICEOPEN"")"),1650.5)</f>
        <v/>
      </c>
      <c r="D3" s="13">
        <f>IFERROR(__xludf.DUMMYFUNCTION("GOOGLEFINANCE(""NSE:""&amp;A3,""HIGH"")"),1667.2)</f>
        <v/>
      </c>
      <c r="E3" s="13">
        <f>IFERROR(__xludf.DUMMYFUNCTION("GOOGLEFINANCE(""NSE:""&amp;A3,""LOW"")"),1645)</f>
        <v/>
      </c>
      <c r="F3" s="13">
        <f>IFERROR(__xludf.DUMMYFUNCTION("GOOGLEFINANCE(""NSE:""&amp;A3,""closeyest"")"),1653.15)</f>
        <v/>
      </c>
      <c r="G3" s="14">
        <f>(B3-C3)/B3</f>
        <v/>
      </c>
      <c r="H3" s="13">
        <f>IFERROR(__xludf.DUMMYFUNCTION("GOOGLEFINANCE(""NSE:""&amp;A3,""VOLUME"")"),57781)</f>
        <v/>
      </c>
      <c r="I3" s="13">
        <f>IFERROR(__xludf.DUMMYFUNCTION("AVERAGE(index(GOOGLEFINANCE(""NSE:""&amp;$A3, ""volume"", today()-21, today()-1), , 2))"),"#N/A")</f>
        <v/>
      </c>
      <c r="J3" s="14">
        <f>(H3-I3)/I3</f>
        <v/>
      </c>
      <c r="K3" s="13">
        <f>IFERROR(__xludf.DUMMYFUNCTION("AVERAGE(index(GOOGLEFINANCE(""NSE:""&amp;$A3, ""close"", today()-6, today()-1), , 2))"),"#N/A")</f>
        <v/>
      </c>
      <c r="L3" s="13">
        <f>IFERROR(__xludf.DUMMYFUNCTION("AVERAGE(index(GOOGLEFINANCE(""NSE:""&amp;$A3, ""close"", today()-14, today()-1), , 2))"),"#N/A")</f>
        <v/>
      </c>
      <c r="M3" s="13">
        <f>IFERROR(__xludf.DUMMYFUNCTION("AVERAGE(index(GOOGLEFINANCE(""NSE:""&amp;$A3, ""close"", today()-22, today()-1), , 2))"),"#N/A")</f>
        <v/>
      </c>
      <c r="N3" s="13">
        <f>AG3</f>
        <v/>
      </c>
      <c r="O3" s="13">
        <f>AI3</f>
        <v/>
      </c>
      <c r="P3" s="13">
        <f>W3</f>
        <v/>
      </c>
      <c r="Q3" s="13">
        <f>Y3</f>
        <v/>
      </c>
      <c r="R3" s="15" t="n"/>
      <c r="S3" s="15">
        <f>LEFT(W3,2)&amp;LEFT(Y3,2)</f>
        <v/>
      </c>
      <c r="T3" s="15" t="n"/>
      <c r="U3" s="15">
        <f>IF(K3&lt;L3,1,0)</f>
        <v/>
      </c>
      <c r="V3" s="15">
        <f>IF(H3&gt;I3,1,0)</f>
        <v/>
      </c>
      <c r="W3" s="15">
        <f>IF(SUM(U3:V3)=2,"Anticipatory_Sell","No_Action")</f>
        <v/>
      </c>
      <c r="X3" s="15" t="n"/>
      <c r="Y3" s="15">
        <f>IF(SUM(Z3:AA3)=2,"Confirm_Sell","No_Action")</f>
        <v/>
      </c>
      <c r="Z3" s="15">
        <f>IF(H3&gt;I3,1,0)</f>
        <v/>
      </c>
      <c r="AA3" s="15">
        <f>IF(K3&lt;M3,1,0)</f>
        <v/>
      </c>
      <c r="AB3" s="15" t="n"/>
      <c r="AC3" s="15">
        <f>LEFT(AG3,2)&amp;LEFT(AI3,2)</f>
        <v/>
      </c>
      <c r="AD3" s="15" t="n"/>
      <c r="AE3" s="15">
        <f>IF(K3&gt;L3,1,0)</f>
        <v/>
      </c>
      <c r="AF3" s="16">
        <f>IF(H3&gt;I3,1,0)</f>
        <v/>
      </c>
      <c r="AG3" s="16">
        <f>IF(SUM(AE3:AF3)=2,"Anticipatory_Buy","No_Action")</f>
        <v/>
      </c>
      <c r="AH3" s="15" t="n"/>
      <c r="AI3" s="15">
        <f>IF(SUM(AJ3:AK3)=2,"Confirm_Buy","No_Action")</f>
        <v/>
      </c>
      <c r="AJ3" s="15">
        <f>IF(H3&gt;I3,1,0)</f>
        <v/>
      </c>
      <c r="AK3" s="15">
        <f>IF(K3&gt;M3,1,0)</f>
        <v/>
      </c>
    </row>
    <row r="4" ht="15.75" customHeight="1">
      <c r="A4" s="12" t="inlineStr">
        <is>
          <t>ACC</t>
        </is>
      </c>
      <c r="B4" s="13">
        <f>IFERROR(__xludf.DUMMYFUNCTION("GOOGLEFINANCE(""NSE:""&amp;A4,""PRICE"")"),2263.05)</f>
        <v/>
      </c>
      <c r="C4" s="13">
        <f>IFERROR(__xludf.DUMMYFUNCTION("GOOGLEFINANCE(""NSE:""&amp;A4,""PRICEOPEN"")"),2258.35)</f>
        <v/>
      </c>
      <c r="D4" s="13">
        <f>IFERROR(__xludf.DUMMYFUNCTION("GOOGLEFINANCE(""NSE:""&amp;A4,""HIGH"")"),2273.05)</f>
        <v/>
      </c>
      <c r="E4" s="13">
        <f>IFERROR(__xludf.DUMMYFUNCTION("GOOGLEFINANCE(""NSE:""&amp;A4,""LOW"")"),2246.05)</f>
        <v/>
      </c>
      <c r="F4" s="13">
        <f>IFERROR(__xludf.DUMMYFUNCTION("GOOGLEFINANCE(""NSE:""&amp;A4,""closeyest"")"),2258.35)</f>
        <v/>
      </c>
      <c r="G4" s="14">
        <f>(B4-C4)/B4</f>
        <v/>
      </c>
      <c r="H4" s="13">
        <f>IFERROR(__xludf.DUMMYFUNCTION("GOOGLEFINANCE(""NSE:""&amp;A4,""VOLUME"")"),132854)</f>
        <v/>
      </c>
      <c r="I4" s="13">
        <f>IFERROR(__xludf.DUMMYFUNCTION("AVERAGE(index(GOOGLEFINANCE(""NSE:""&amp;$A4, ""volume"", today()-21, today()-1), , 2))"),"#N/A")</f>
        <v/>
      </c>
      <c r="J4" s="14">
        <f>(H4-I4)/I4</f>
        <v/>
      </c>
      <c r="K4" s="13">
        <f>IFERROR(__xludf.DUMMYFUNCTION("AVERAGE(index(GOOGLEFINANCE(""NSE:""&amp;$A4, ""close"", today()-6, today()-1), , 2))"),"#N/A")</f>
        <v/>
      </c>
      <c r="L4" s="13">
        <f>IFERROR(__xludf.DUMMYFUNCTION("AVERAGE(index(GOOGLEFINANCE(""NSE:""&amp;$A4, ""close"", today()-14, today()-1), , 2))"),"#N/A")</f>
        <v/>
      </c>
      <c r="M4" s="13">
        <f>IFERROR(__xludf.DUMMYFUNCTION("AVERAGE(index(GOOGLEFINANCE(""NSE:""&amp;$A4, ""close"", today()-22, today()-1), , 2))"),"#N/A")</f>
        <v/>
      </c>
      <c r="N4" s="13">
        <f>AG4</f>
        <v/>
      </c>
      <c r="O4" s="13">
        <f>AI4</f>
        <v/>
      </c>
      <c r="P4" s="13">
        <f>W4</f>
        <v/>
      </c>
      <c r="Q4" s="13">
        <f>Y4</f>
        <v/>
      </c>
      <c r="R4" s="15" t="n"/>
      <c r="S4" s="15">
        <f>LEFT(W4,2)&amp;LEFT(Y4,2)</f>
        <v/>
      </c>
      <c r="T4" s="15" t="n"/>
      <c r="U4" s="15">
        <f>IF(K4&lt;L4,1,0)</f>
        <v/>
      </c>
      <c r="V4" s="15">
        <f>IF(H4&gt;I4,1,0)</f>
        <v/>
      </c>
      <c r="W4" s="15">
        <f>IF(SUM(U4:V4)=2,"Anticipatory_Sell","No_Action")</f>
        <v/>
      </c>
      <c r="X4" s="15" t="n"/>
      <c r="Y4" s="15">
        <f>IF(SUM(Z4:AA4)=2,"Confirm_Sell","No_Action")</f>
        <v/>
      </c>
      <c r="Z4" s="15">
        <f>IF(H4&gt;I4,1,0)</f>
        <v/>
      </c>
      <c r="AA4" s="15">
        <f>IF(K4&lt;M4,1,0)</f>
        <v/>
      </c>
      <c r="AB4" s="15" t="n"/>
      <c r="AC4" s="15">
        <f>LEFT(AG4,2)&amp;LEFT(AI4,2)</f>
        <v/>
      </c>
      <c r="AD4" s="15" t="n"/>
      <c r="AE4" s="15">
        <f>IF(K4&gt;L4,1,0)</f>
        <v/>
      </c>
      <c r="AF4" s="16">
        <f>IF(H4&gt;I4,1,0)</f>
        <v/>
      </c>
      <c r="AG4" s="16">
        <f>IF(SUM(AE4:AF4)=2,"Anticipatory_Buy","No_Action")</f>
        <v/>
      </c>
      <c r="AH4" s="15" t="n"/>
      <c r="AI4" s="15">
        <f>IF(SUM(AJ4:AK4)=2,"Confirm_Buy","No_Action")</f>
        <v/>
      </c>
      <c r="AJ4" s="15">
        <f>IF(H4&gt;I4,1,0)</f>
        <v/>
      </c>
      <c r="AK4" s="15">
        <f>IF(K4&gt;M4,1,0)</f>
        <v/>
      </c>
    </row>
    <row r="5" ht="15.75" customHeight="1">
      <c r="A5" s="12" t="inlineStr">
        <is>
          <t>ADANIPORTS</t>
        </is>
      </c>
      <c r="B5" s="13">
        <f>IFERROR(__xludf.DUMMYFUNCTION("GOOGLEFINANCE(""NSE:""&amp;A5,""PRICE"")"),1266.35)</f>
        <v/>
      </c>
      <c r="C5" s="13">
        <f>IFERROR(__xludf.DUMMYFUNCTION("GOOGLEFINANCE(""NSE:""&amp;A5,""PRICEOPEN"")"),1257.8)</f>
        <v/>
      </c>
      <c r="D5" s="13">
        <f>IFERROR(__xludf.DUMMYFUNCTION("GOOGLEFINANCE(""NSE:""&amp;A5,""HIGH"")"),1277.55)</f>
        <v/>
      </c>
      <c r="E5" s="13">
        <f>IFERROR(__xludf.DUMMYFUNCTION("GOOGLEFINANCE(""NSE:""&amp;A5,""LOW"")"),1249)</f>
        <v/>
      </c>
      <c r="F5" s="13">
        <f>IFERROR(__xludf.DUMMYFUNCTION("GOOGLEFINANCE(""NSE:""&amp;A5,""closeyest"")"),1259.05)</f>
        <v/>
      </c>
      <c r="G5" s="14">
        <f>(B5-C5)/B5</f>
        <v/>
      </c>
      <c r="H5" s="13">
        <f>IFERROR(__xludf.DUMMYFUNCTION("GOOGLEFINANCE(""NSE:""&amp;A5,""VOLUME"")"),2849557)</f>
        <v/>
      </c>
      <c r="I5" s="13">
        <f>IFERROR(__xludf.DUMMYFUNCTION("AVERAGE(index(GOOGLEFINANCE(""NSE:""&amp;$A5, ""volume"", today()-21, today()-1), , 2))"),"#N/A")</f>
        <v/>
      </c>
      <c r="J5" s="14">
        <f>(H5-I5)/I5</f>
        <v/>
      </c>
      <c r="K5" s="13">
        <f>IFERROR(__xludf.DUMMYFUNCTION("AVERAGE(index(GOOGLEFINANCE(""NSE:""&amp;$A5, ""close"", today()-6, today()-1), , 2))"),"#N/A")</f>
        <v/>
      </c>
      <c r="L5" s="13">
        <f>IFERROR(__xludf.DUMMYFUNCTION("AVERAGE(index(GOOGLEFINANCE(""NSE:""&amp;$A5, ""close"", today()-14, today()-1), , 2))"),"#N/A")</f>
        <v/>
      </c>
      <c r="M5" s="13">
        <f>IFERROR(__xludf.DUMMYFUNCTION("AVERAGE(index(GOOGLEFINANCE(""NSE:""&amp;$A5, ""close"", today()-22, today()-1), , 2))"),"#N/A")</f>
        <v/>
      </c>
      <c r="N5" s="13">
        <f>AG5</f>
        <v/>
      </c>
      <c r="O5" s="13">
        <f>AI5</f>
        <v/>
      </c>
      <c r="P5" s="13">
        <f>W5</f>
        <v/>
      </c>
      <c r="Q5" s="13">
        <f>Y5</f>
        <v/>
      </c>
      <c r="R5" s="15" t="n"/>
      <c r="S5" s="15">
        <f>LEFT(W5,2)&amp;LEFT(Y5,2)</f>
        <v/>
      </c>
      <c r="T5" s="15" t="n"/>
      <c r="U5" s="15">
        <f>IF(K5&lt;L5,1,0)</f>
        <v/>
      </c>
      <c r="V5" s="15">
        <f>IF(H5&gt;I5,1,0)</f>
        <v/>
      </c>
      <c r="W5" s="15">
        <f>IF(SUM(U5:V5)=2,"Anticipatory_Sell","No_Action")</f>
        <v/>
      </c>
      <c r="X5" s="15" t="n"/>
      <c r="Y5" s="15">
        <f>IF(SUM(Z5:AA5)=2,"Confirm_Sell","No_Action")</f>
        <v/>
      </c>
      <c r="Z5" s="15">
        <f>IF(H5&gt;I5,1,0)</f>
        <v/>
      </c>
      <c r="AA5" s="15">
        <f>IF(K5&lt;M5,1,0)</f>
        <v/>
      </c>
      <c r="AB5" s="15" t="n"/>
      <c r="AC5" s="15">
        <f>LEFT(AG5,2)&amp;LEFT(AI5,2)</f>
        <v/>
      </c>
      <c r="AD5" s="15" t="n"/>
      <c r="AE5" s="15">
        <f>IF(K5&gt;L5,1,0)</f>
        <v/>
      </c>
      <c r="AF5" s="16">
        <f>IF(H5&gt;I5,1,0)</f>
        <v/>
      </c>
      <c r="AG5" s="16">
        <f>IF(SUM(AE5:AF5)=2,"Anticipatory_Buy","No_Action")</f>
        <v/>
      </c>
      <c r="AH5" s="15" t="n"/>
      <c r="AI5" s="15">
        <f>IF(SUM(AJ5:AK5)=2,"Confirm_Buy","No_Action")</f>
        <v/>
      </c>
      <c r="AJ5" s="15">
        <f>IF(H5&gt;I5,1,0)</f>
        <v/>
      </c>
      <c r="AK5" s="15">
        <f>IF(K5&gt;M5,1,0)</f>
        <v/>
      </c>
    </row>
    <row r="6" ht="15.75" customHeight="1">
      <c r="A6" s="12" t="inlineStr">
        <is>
          <t>ADANIPOWER</t>
        </is>
      </c>
      <c r="B6" s="13">
        <f>IFERROR(__xludf.DUMMYFUNCTION("GOOGLEFINANCE(""NSE:""&amp;A6,""PRICE"")"),536)</f>
        <v/>
      </c>
      <c r="C6" s="13">
        <f>IFERROR(__xludf.DUMMYFUNCTION("GOOGLEFINANCE(""NSE:""&amp;A6,""PRICEOPEN"")"),539)</f>
        <v/>
      </c>
      <c r="D6" s="13">
        <f>IFERROR(__xludf.DUMMYFUNCTION("GOOGLEFINANCE(""NSE:""&amp;A6,""HIGH"")"),544.15)</f>
        <v/>
      </c>
      <c r="E6" s="13">
        <f>IFERROR(__xludf.DUMMYFUNCTION("GOOGLEFINANCE(""NSE:""&amp;A6,""LOW"")"),534.2)</f>
        <v/>
      </c>
      <c r="F6" s="13">
        <f>IFERROR(__xludf.DUMMYFUNCTION("GOOGLEFINANCE(""NSE:""&amp;A6,""closeyest"")"),536.1)</f>
        <v/>
      </c>
      <c r="G6" s="14">
        <f>(B6-C6)/B6</f>
        <v/>
      </c>
      <c r="H6" s="13">
        <f>IFERROR(__xludf.DUMMYFUNCTION("GOOGLEFINANCE(""NSE:""&amp;A6,""VOLUME"")"),3749073)</f>
        <v/>
      </c>
      <c r="I6" s="13">
        <f>IFERROR(__xludf.DUMMYFUNCTION("AVERAGE(index(GOOGLEFINANCE(""NSE:""&amp;$A6, ""volume"", today()-21, today()-1), , 2))"),"#N/A")</f>
        <v/>
      </c>
      <c r="J6" s="14">
        <f>(H6-I6)/I6</f>
        <v/>
      </c>
      <c r="K6" s="13">
        <f>IFERROR(__xludf.DUMMYFUNCTION("AVERAGE(index(GOOGLEFINANCE(""NSE:""&amp;$A6, ""close"", today()-6, today()-1), , 2))"),"#N/A")</f>
        <v/>
      </c>
      <c r="L6" s="13">
        <f>IFERROR(__xludf.DUMMYFUNCTION("AVERAGE(index(GOOGLEFINANCE(""NSE:""&amp;$A6, ""close"", today()-14, today()-1), , 2))"),"#N/A")</f>
        <v/>
      </c>
      <c r="M6" s="13">
        <f>IFERROR(__xludf.DUMMYFUNCTION("AVERAGE(index(GOOGLEFINANCE(""NSE:""&amp;$A6, ""close"", today()-22, today()-1), , 2))"),"#N/A")</f>
        <v/>
      </c>
      <c r="N6" s="13">
        <f>AG6</f>
        <v/>
      </c>
      <c r="O6" s="13">
        <f>AI6</f>
        <v/>
      </c>
      <c r="P6" s="13">
        <f>W6</f>
        <v/>
      </c>
      <c r="Q6" s="13">
        <f>Y6</f>
        <v/>
      </c>
      <c r="R6" s="15" t="n"/>
      <c r="S6" s="15">
        <f>LEFT(W6,2)&amp;LEFT(Y6,2)</f>
        <v/>
      </c>
      <c r="T6" s="15" t="n"/>
      <c r="U6" s="15">
        <f>IF(K6&lt;L6,1,0)</f>
        <v/>
      </c>
      <c r="V6" s="15">
        <f>IF(H6&gt;I6,1,0)</f>
        <v/>
      </c>
      <c r="W6" s="15">
        <f>IF(SUM(U6:V6)=2,"Anticipatory_Sell","No_Action")</f>
        <v/>
      </c>
      <c r="X6" s="15" t="n"/>
      <c r="Y6" s="15">
        <f>IF(SUM(Z6:AA6)=2,"Confirm_Sell","No_Action")</f>
        <v/>
      </c>
      <c r="Z6" s="15">
        <f>IF(H6&gt;I6,1,0)</f>
        <v/>
      </c>
      <c r="AA6" s="15">
        <f>IF(K6&lt;M6,1,0)</f>
        <v/>
      </c>
      <c r="AB6" s="15" t="n"/>
      <c r="AC6" s="15">
        <f>LEFT(AG6,2)&amp;LEFT(AI6,2)</f>
        <v/>
      </c>
      <c r="AD6" s="15" t="n"/>
      <c r="AE6" s="15">
        <f>IF(K6&gt;L6,1,0)</f>
        <v/>
      </c>
      <c r="AF6" s="16">
        <f>IF(H6&gt;I6,1,0)</f>
        <v/>
      </c>
      <c r="AG6" s="16">
        <f>IF(SUM(AE6:AF6)=2,"Anticipatory_Buy","No_Action")</f>
        <v/>
      </c>
      <c r="AH6" s="15" t="n"/>
      <c r="AI6" s="15">
        <f>IF(SUM(AJ6:AK6)=2,"Confirm_Buy","No_Action")</f>
        <v/>
      </c>
      <c r="AJ6" s="15">
        <f>IF(H6&gt;I6,1,0)</f>
        <v/>
      </c>
      <c r="AK6" s="15">
        <f>IF(K6&gt;M6,1,0)</f>
        <v/>
      </c>
    </row>
    <row r="7" ht="15.75" customHeight="1">
      <c r="A7" s="12" t="inlineStr">
        <is>
          <t>ADFFOODS</t>
        </is>
      </c>
      <c r="B7" s="13">
        <f>IFERROR(__xludf.DUMMYFUNCTION("GOOGLEFINANCE(""NSE:""&amp;A7,""PRICE"")"),336)</f>
        <v/>
      </c>
      <c r="C7" s="13">
        <f>IFERROR(__xludf.DUMMYFUNCTION("GOOGLEFINANCE(""NSE:""&amp;A7,""PRICEOPEN"")"),335.95)</f>
        <v/>
      </c>
      <c r="D7" s="13">
        <f>IFERROR(__xludf.DUMMYFUNCTION("GOOGLEFINANCE(""NSE:""&amp;A7,""HIGH"")"),343.1)</f>
        <v/>
      </c>
      <c r="E7" s="13">
        <f>IFERROR(__xludf.DUMMYFUNCTION("GOOGLEFINANCE(""NSE:""&amp;A7,""LOW"")"),331.55)</f>
        <v/>
      </c>
      <c r="F7" s="13">
        <f>IFERROR(__xludf.DUMMYFUNCTION("GOOGLEFINANCE(""NSE:""&amp;A7,""closeyest"")"),335.2)</f>
        <v/>
      </c>
      <c r="G7" s="14">
        <f>(B7-C7)/B7</f>
        <v/>
      </c>
      <c r="H7" s="13">
        <f>IFERROR(__xludf.DUMMYFUNCTION("GOOGLEFINANCE(""NSE:""&amp;A7,""VOLUME"")"),259899)</f>
        <v/>
      </c>
      <c r="I7" s="13">
        <f>IFERROR(__xludf.DUMMYFUNCTION("AVERAGE(index(GOOGLEFINANCE(""NSE:""&amp;$A7, ""volume"", today()-21, today()-1), , 2))"),"#N/A")</f>
        <v/>
      </c>
      <c r="J7" s="14">
        <f>(H7-I7)/I7</f>
        <v/>
      </c>
      <c r="K7" s="13">
        <f>IFERROR(__xludf.DUMMYFUNCTION("AVERAGE(index(GOOGLEFINANCE(""NSE:""&amp;$A7, ""close"", today()-6, today()-1), , 2))"),"#N/A")</f>
        <v/>
      </c>
      <c r="L7" s="13">
        <f>IFERROR(__xludf.DUMMYFUNCTION("AVERAGE(index(GOOGLEFINANCE(""NSE:""&amp;$A7, ""close"", today()-14, today()-1), , 2))"),"#N/A")</f>
        <v/>
      </c>
      <c r="M7" s="13">
        <f>IFERROR(__xludf.DUMMYFUNCTION("AVERAGE(index(GOOGLEFINANCE(""NSE:""&amp;$A7, ""close"", today()-22, today()-1), , 2))"),"#N/A")</f>
        <v/>
      </c>
      <c r="N7" s="13">
        <f>AG7</f>
        <v/>
      </c>
      <c r="O7" s="13">
        <f>AI7</f>
        <v/>
      </c>
      <c r="P7" s="13">
        <f>W7</f>
        <v/>
      </c>
      <c r="Q7" s="13">
        <f>Y7</f>
        <v/>
      </c>
      <c r="R7" s="15" t="n"/>
      <c r="S7" s="15">
        <f>LEFT(W7,2)&amp;LEFT(Y7,2)</f>
        <v/>
      </c>
      <c r="T7" s="15" t="n"/>
      <c r="U7" s="15">
        <f>IF(K7&lt;L7,1,0)</f>
        <v/>
      </c>
      <c r="V7" s="15">
        <f>IF(H7&gt;I7,1,0)</f>
        <v/>
      </c>
      <c r="W7" s="15">
        <f>IF(SUM(U7:V7)=2,"Anticipatory_Sell","No_Action")</f>
        <v/>
      </c>
      <c r="X7" s="15" t="n"/>
      <c r="Y7" s="15">
        <f>IF(SUM(Z7:AA7)=2,"Confirm_Sell","No_Action")</f>
        <v/>
      </c>
      <c r="Z7" s="15">
        <f>IF(H7&gt;I7,1,0)</f>
        <v/>
      </c>
      <c r="AA7" s="15">
        <f>IF(K7&lt;M7,1,0)</f>
        <v/>
      </c>
      <c r="AB7" s="15" t="n"/>
      <c r="AC7" s="15">
        <f>LEFT(AG7,2)&amp;LEFT(AI7,2)</f>
        <v/>
      </c>
      <c r="AD7" s="15" t="n"/>
      <c r="AE7" s="15">
        <f>IF(K7&gt;L7,1,0)</f>
        <v/>
      </c>
      <c r="AF7" s="16">
        <f>IF(H7&gt;I7,1,0)</f>
        <v/>
      </c>
      <c r="AG7" s="16">
        <f>IF(SUM(AE7:AF7)=2,"Anticipatory_Buy","No_Action")</f>
        <v/>
      </c>
      <c r="AH7" s="15" t="n"/>
      <c r="AI7" s="15">
        <f>IF(SUM(AJ7:AK7)=2,"Confirm_Buy","No_Action")</f>
        <v/>
      </c>
      <c r="AJ7" s="15">
        <f>IF(H7&gt;I7,1,0)</f>
        <v/>
      </c>
      <c r="AK7" s="15">
        <f>IF(K7&gt;M7,1,0)</f>
        <v/>
      </c>
    </row>
    <row r="8" ht="15.75" customHeight="1">
      <c r="A8" s="12" t="inlineStr">
        <is>
          <t>ABSLAMC</t>
        </is>
      </c>
      <c r="B8" s="13">
        <f>IFERROR(__xludf.DUMMYFUNCTION("GOOGLEFINANCE(""NSE:""&amp;A8,""PRICE"")"),845.35)</f>
        <v/>
      </c>
      <c r="C8" s="13">
        <f>IFERROR(__xludf.DUMMYFUNCTION("GOOGLEFINANCE(""NSE:""&amp;A8,""PRICEOPEN"")"),854.4)</f>
        <v/>
      </c>
      <c r="D8" s="13">
        <f>IFERROR(__xludf.DUMMYFUNCTION("GOOGLEFINANCE(""NSE:""&amp;A8,""HIGH"")"),872.2)</f>
        <v/>
      </c>
      <c r="E8" s="13">
        <f>IFERROR(__xludf.DUMMYFUNCTION("GOOGLEFINANCE(""NSE:""&amp;A8,""LOW"")"),845)</f>
        <v/>
      </c>
      <c r="F8" s="13">
        <f>IFERROR(__xludf.DUMMYFUNCTION("GOOGLEFINANCE(""NSE:""&amp;A8,""closeyest"")"),849.6)</f>
        <v/>
      </c>
      <c r="G8" s="14">
        <f>(B8-C8)/B8</f>
        <v/>
      </c>
      <c r="H8" s="13">
        <f>IFERROR(__xludf.DUMMYFUNCTION("GOOGLEFINANCE(""NSE:""&amp;A8,""VOLUME"")"),565781)</f>
        <v/>
      </c>
      <c r="I8" s="13">
        <f>IFERROR(__xludf.DUMMYFUNCTION("AVERAGE(index(GOOGLEFINANCE(""NSE:""&amp;$A8, ""volume"", today()-21, today()-1), , 2))"),"#N/A")</f>
        <v/>
      </c>
      <c r="J8" s="14">
        <f>(H8-I8)/I8</f>
        <v/>
      </c>
      <c r="K8" s="13">
        <f>IFERROR(__xludf.DUMMYFUNCTION("AVERAGE(index(GOOGLEFINANCE(""NSE:""&amp;$A8, ""close"", today()-6, today()-1), , 2))"),"#N/A")</f>
        <v/>
      </c>
      <c r="L8" s="13">
        <f>IFERROR(__xludf.DUMMYFUNCTION("AVERAGE(index(GOOGLEFINANCE(""NSE:""&amp;$A8, ""close"", today()-14, today()-1), , 2))"),"#N/A")</f>
        <v/>
      </c>
      <c r="M8" s="13">
        <f>IFERROR(__xludf.DUMMYFUNCTION("AVERAGE(index(GOOGLEFINANCE(""NSE:""&amp;$A8, ""close"", today()-22, today()-1), , 2))"),"#N/A")</f>
        <v/>
      </c>
      <c r="N8" s="13">
        <f>AG8</f>
        <v/>
      </c>
      <c r="O8" s="13">
        <f>AI8</f>
        <v/>
      </c>
      <c r="P8" s="13">
        <f>W8</f>
        <v/>
      </c>
      <c r="Q8" s="13">
        <f>Y8</f>
        <v/>
      </c>
      <c r="R8" s="15" t="n"/>
      <c r="S8" s="15">
        <f>LEFT(W8,2)&amp;LEFT(Y8,2)</f>
        <v/>
      </c>
      <c r="T8" s="15" t="n"/>
      <c r="U8" s="15">
        <f>IF(K8&lt;L8,1,0)</f>
        <v/>
      </c>
      <c r="V8" s="15">
        <f>IF(H8&gt;I8,1,0)</f>
        <v/>
      </c>
      <c r="W8" s="15">
        <f>IF(SUM(U8:V8)=2,"Anticipatory_Sell","No_Action")</f>
        <v/>
      </c>
      <c r="X8" s="15" t="n"/>
      <c r="Y8" s="15">
        <f>IF(SUM(Z8:AA8)=2,"Confirm_Sell","No_Action")</f>
        <v/>
      </c>
      <c r="Z8" s="15">
        <f>IF(H8&gt;I8,1,0)</f>
        <v/>
      </c>
      <c r="AA8" s="15">
        <f>IF(K8&lt;M8,1,0)</f>
        <v/>
      </c>
      <c r="AB8" s="15" t="n"/>
      <c r="AC8" s="15">
        <f>LEFT(AG8,2)&amp;LEFT(AI8,2)</f>
        <v/>
      </c>
      <c r="AD8" s="15" t="n"/>
      <c r="AE8" s="15">
        <f>IF(K8&gt;L8,1,0)</f>
        <v/>
      </c>
      <c r="AF8" s="16">
        <f>IF(H8&gt;I8,1,0)</f>
        <v/>
      </c>
      <c r="AG8" s="16">
        <f>IF(SUM(AE8:AF8)=2,"Anticipatory_Buy","No_Action")</f>
        <v/>
      </c>
      <c r="AH8" s="15" t="n"/>
      <c r="AI8" s="15">
        <f>IF(SUM(AJ8:AK8)=2,"Confirm_Buy","No_Action")</f>
        <v/>
      </c>
      <c r="AJ8" s="15">
        <f>IF(H8&gt;I8,1,0)</f>
        <v/>
      </c>
      <c r="AK8" s="15">
        <f>IF(K8&gt;M8,1,0)</f>
        <v/>
      </c>
    </row>
    <row r="9" ht="15.75" customHeight="1">
      <c r="A9" s="12" t="inlineStr">
        <is>
          <t>ABFRL</t>
        </is>
      </c>
      <c r="B9" s="13">
        <f>IFERROR(__xludf.DUMMYFUNCTION("GOOGLEFINANCE(""NSE:""&amp;A9,""PRICE"")"),308.45)</f>
        <v/>
      </c>
      <c r="C9" s="13">
        <f>IFERROR(__xludf.DUMMYFUNCTION("GOOGLEFINANCE(""NSE:""&amp;A9,""PRICEOPEN"")"),308.5)</f>
        <v/>
      </c>
      <c r="D9" s="13">
        <f>IFERROR(__xludf.DUMMYFUNCTION("GOOGLEFINANCE(""NSE:""&amp;A9,""HIGH"")"),312.05)</f>
        <v/>
      </c>
      <c r="E9" s="13">
        <f>IFERROR(__xludf.DUMMYFUNCTION("GOOGLEFINANCE(""NSE:""&amp;A9,""LOW"")"),305.75)</f>
        <v/>
      </c>
      <c r="F9" s="13">
        <f>IFERROR(__xludf.DUMMYFUNCTION("GOOGLEFINANCE(""NSE:""&amp;A9,""closeyest"")"),307.2)</f>
        <v/>
      </c>
      <c r="G9" s="14">
        <f>(B9-C9)/B9</f>
        <v/>
      </c>
      <c r="H9" s="13">
        <f>IFERROR(__xludf.DUMMYFUNCTION("GOOGLEFINANCE(""NSE:""&amp;A9,""VOLUME"")"),5006645)</f>
        <v/>
      </c>
      <c r="I9" s="13">
        <f>IFERROR(__xludf.DUMMYFUNCTION("AVERAGE(index(GOOGLEFINANCE(""NSE:""&amp;$A9, ""volume"", today()-21, today()-1), , 2))"),"#N/A")</f>
        <v/>
      </c>
      <c r="J9" s="14">
        <f>(H9-I9)/I9</f>
        <v/>
      </c>
      <c r="K9" s="13">
        <f>IFERROR(__xludf.DUMMYFUNCTION("AVERAGE(index(GOOGLEFINANCE(""NSE:""&amp;$A9, ""close"", today()-6, today()-1), , 2))"),"#N/A")</f>
        <v/>
      </c>
      <c r="L9" s="13">
        <f>IFERROR(__xludf.DUMMYFUNCTION("AVERAGE(index(GOOGLEFINANCE(""NSE:""&amp;$A9, ""close"", today()-14, today()-1), , 2))"),"#N/A")</f>
        <v/>
      </c>
      <c r="M9" s="13">
        <f>IFERROR(__xludf.DUMMYFUNCTION("AVERAGE(index(GOOGLEFINANCE(""NSE:""&amp;$A9, ""close"", today()-22, today()-1), , 2))"),"#N/A")</f>
        <v/>
      </c>
      <c r="N9" s="13">
        <f>AG9</f>
        <v/>
      </c>
      <c r="O9" s="13">
        <f>AI9</f>
        <v/>
      </c>
      <c r="P9" s="13">
        <f>W9</f>
        <v/>
      </c>
      <c r="Q9" s="13">
        <f>Y9</f>
        <v/>
      </c>
      <c r="R9" s="15" t="n"/>
      <c r="S9" s="15">
        <f>LEFT(W9,2)&amp;LEFT(Y9,2)</f>
        <v/>
      </c>
      <c r="T9" s="15" t="n"/>
      <c r="U9" s="15">
        <f>IF(K9&lt;L9,1,0)</f>
        <v/>
      </c>
      <c r="V9" s="15">
        <f>IF(H9&gt;I9,1,0)</f>
        <v/>
      </c>
      <c r="W9" s="15">
        <f>IF(SUM(U9:V9)=2,"Anticipatory_Sell","No_Action")</f>
        <v/>
      </c>
      <c r="X9" s="15" t="n"/>
      <c r="Y9" s="15">
        <f>IF(SUM(Z9:AA9)=2,"Confirm_Sell","No_Action")</f>
        <v/>
      </c>
      <c r="Z9" s="15">
        <f>IF(H9&gt;I9,1,0)</f>
        <v/>
      </c>
      <c r="AA9" s="15">
        <f>IF(K9&lt;M9,1,0)</f>
        <v/>
      </c>
      <c r="AB9" s="15" t="n"/>
      <c r="AC9" s="15">
        <f>LEFT(AG9,2)&amp;LEFT(AI9,2)</f>
        <v/>
      </c>
      <c r="AD9" s="15" t="n"/>
      <c r="AE9" s="15">
        <f>IF(K9&gt;L9,1,0)</f>
        <v/>
      </c>
      <c r="AF9" s="16">
        <f>IF(H9&gt;I9,1,0)</f>
        <v/>
      </c>
      <c r="AG9" s="16">
        <f>IF(SUM(AE9:AF9)=2,"Anticipatory_Buy","No_Action")</f>
        <v/>
      </c>
      <c r="AH9" s="15" t="n"/>
      <c r="AI9" s="15">
        <f>IF(SUM(AJ9:AK9)=2,"Confirm_Buy","No_Action")</f>
        <v/>
      </c>
      <c r="AJ9" s="15">
        <f>IF(H9&gt;I9,1,0)</f>
        <v/>
      </c>
      <c r="AK9" s="15">
        <f>IF(K9&gt;M9,1,0)</f>
        <v/>
      </c>
    </row>
    <row r="10" ht="15.75" customHeight="1">
      <c r="A10" s="12" t="inlineStr">
        <is>
          <t>ABCAPITAL</t>
        </is>
      </c>
      <c r="B10" s="13">
        <f>IFERROR(__xludf.DUMMYFUNCTION("GOOGLEFINANCE(""NSE:""&amp;A10,""PRICE"")"),196.82)</f>
        <v/>
      </c>
      <c r="C10" s="13">
        <f>IFERROR(__xludf.DUMMYFUNCTION("GOOGLEFINANCE(""NSE:""&amp;A10,""PRICEOPEN"")"),198.55)</f>
        <v/>
      </c>
      <c r="D10" s="13">
        <f>IFERROR(__xludf.DUMMYFUNCTION("GOOGLEFINANCE(""NSE:""&amp;A10,""HIGH"")"),199.85)</f>
        <v/>
      </c>
      <c r="E10" s="13">
        <f>IFERROR(__xludf.DUMMYFUNCTION("GOOGLEFINANCE(""NSE:""&amp;A10,""LOW"")"),196.19)</f>
        <v/>
      </c>
      <c r="F10" s="13">
        <f>IFERROR(__xludf.DUMMYFUNCTION("GOOGLEFINANCE(""NSE:""&amp;A10,""closeyest"")"),198.68)</f>
        <v/>
      </c>
      <c r="G10" s="14">
        <f>(B10-C10)/B10</f>
        <v/>
      </c>
      <c r="H10" s="13">
        <f>IFERROR(__xludf.DUMMYFUNCTION("GOOGLEFINANCE(""NSE:""&amp;A10,""VOLUME"")"),4213741)</f>
        <v/>
      </c>
      <c r="I10" s="13">
        <f>IFERROR(__xludf.DUMMYFUNCTION("AVERAGE(index(GOOGLEFINANCE(""NSE:""&amp;$A10, ""volume"", today()-21, today()-1), , 2))"),"#N/A")</f>
        <v/>
      </c>
      <c r="J10" s="14">
        <f>(H10-I10)/I10</f>
        <v/>
      </c>
      <c r="K10" s="13">
        <f>IFERROR(__xludf.DUMMYFUNCTION("AVERAGE(index(GOOGLEFINANCE(""NSE:""&amp;$A10, ""close"", today()-6, today()-1), , 2))"),"#N/A")</f>
        <v/>
      </c>
      <c r="L10" s="13">
        <f>IFERROR(__xludf.DUMMYFUNCTION("AVERAGE(index(GOOGLEFINANCE(""NSE:""&amp;$A10, ""close"", today()-14, today()-1), , 2))"),"#N/A")</f>
        <v/>
      </c>
      <c r="M10" s="13">
        <f>IFERROR(__xludf.DUMMYFUNCTION("AVERAGE(index(GOOGLEFINANCE(""NSE:""&amp;$A10, ""close"", today()-22, today()-1), , 2))"),"#N/A")</f>
        <v/>
      </c>
      <c r="N10" s="13">
        <f>AG10</f>
        <v/>
      </c>
      <c r="O10" s="13">
        <f>AI10</f>
        <v/>
      </c>
      <c r="P10" s="13">
        <f>W10</f>
        <v/>
      </c>
      <c r="Q10" s="13">
        <f>Y10</f>
        <v/>
      </c>
      <c r="R10" s="15" t="n"/>
      <c r="S10" s="15">
        <f>LEFT(W10,2)&amp;LEFT(Y10,2)</f>
        <v/>
      </c>
      <c r="T10" s="15" t="n"/>
      <c r="U10" s="15">
        <f>IF(K10&lt;L10,1,0)</f>
        <v/>
      </c>
      <c r="V10" s="15">
        <f>IF(H10&gt;I10,1,0)</f>
        <v/>
      </c>
      <c r="W10" s="15">
        <f>IF(SUM(U10:V10)=2,"Anticipatory_Sell","No_Action")</f>
        <v/>
      </c>
      <c r="X10" s="15" t="n"/>
      <c r="Y10" s="15">
        <f>IF(SUM(Z10:AA10)=2,"Confirm_Sell","No_Action")</f>
        <v/>
      </c>
      <c r="Z10" s="15">
        <f>IF(H10&gt;I10,1,0)</f>
        <v/>
      </c>
      <c r="AA10" s="15">
        <f>IF(K10&lt;M10,1,0)</f>
        <v/>
      </c>
      <c r="AB10" s="15" t="n"/>
      <c r="AC10" s="15">
        <f>LEFT(AG10,2)&amp;LEFT(AI10,2)</f>
        <v/>
      </c>
      <c r="AD10" s="15" t="n"/>
      <c r="AE10" s="15">
        <f>IF(K10&gt;L10,1,0)</f>
        <v/>
      </c>
      <c r="AF10" s="16">
        <f>IF(H10&gt;I10,1,0)</f>
        <v/>
      </c>
      <c r="AG10" s="16">
        <f>IF(SUM(AE10:AF10)=2,"Anticipatory_Buy","No_Action")</f>
        <v/>
      </c>
      <c r="AH10" s="15" t="n"/>
      <c r="AI10" s="15">
        <f>IF(SUM(AJ10:AK10)=2,"Confirm_Buy","No_Action")</f>
        <v/>
      </c>
      <c r="AJ10" s="15">
        <f>IF(H10&gt;I10,1,0)</f>
        <v/>
      </c>
      <c r="AK10" s="15">
        <f>IF(K10&gt;M10,1,0)</f>
        <v/>
      </c>
    </row>
    <row r="11" ht="15.75" customHeight="1">
      <c r="A11" s="12" t="inlineStr">
        <is>
          <t>ADVENZYMES</t>
        </is>
      </c>
      <c r="B11" s="13">
        <f>IFERROR(__xludf.DUMMYFUNCTION("GOOGLEFINANCE(""NSE:""&amp;A11,""PRICE"")"),391)</f>
        <v/>
      </c>
      <c r="C11" s="13">
        <f>IFERROR(__xludf.DUMMYFUNCTION("GOOGLEFINANCE(""NSE:""&amp;A11,""PRICEOPEN"")"),377.6)</f>
        <v/>
      </c>
      <c r="D11" s="13">
        <f>IFERROR(__xludf.DUMMYFUNCTION("GOOGLEFINANCE(""NSE:""&amp;A11,""HIGH"")"),391.05)</f>
        <v/>
      </c>
      <c r="E11" s="13">
        <f>IFERROR(__xludf.DUMMYFUNCTION("GOOGLEFINANCE(""NSE:""&amp;A11,""LOW"")"),376.55)</f>
        <v/>
      </c>
      <c r="F11" s="13">
        <f>IFERROR(__xludf.DUMMYFUNCTION("GOOGLEFINANCE(""NSE:""&amp;A11,""closeyest"")"),376.55)</f>
        <v/>
      </c>
      <c r="G11" s="14">
        <f>(B11-C11)/B11</f>
        <v/>
      </c>
      <c r="H11" s="13">
        <f>IFERROR(__xludf.DUMMYFUNCTION("GOOGLEFINANCE(""NSE:""&amp;A11,""VOLUME"")"),228149)</f>
        <v/>
      </c>
      <c r="I11" s="13">
        <f>IFERROR(__xludf.DUMMYFUNCTION("AVERAGE(index(GOOGLEFINANCE(""NSE:""&amp;$A11, ""volume"", today()-21, today()-1), , 2))"),"#N/A")</f>
        <v/>
      </c>
      <c r="J11" s="14">
        <f>(H11-I11)/I11</f>
        <v/>
      </c>
      <c r="K11" s="13">
        <f>IFERROR(__xludf.DUMMYFUNCTION("AVERAGE(index(GOOGLEFINANCE(""NSE:""&amp;$A11, ""close"", today()-6, today()-1), , 2))"),"#N/A")</f>
        <v/>
      </c>
      <c r="L11" s="13">
        <f>IFERROR(__xludf.DUMMYFUNCTION("AVERAGE(index(GOOGLEFINANCE(""NSE:""&amp;$A11, ""close"", today()-14, today()-1), , 2))"),"#N/A")</f>
        <v/>
      </c>
      <c r="M11" s="13">
        <f>IFERROR(__xludf.DUMMYFUNCTION("AVERAGE(index(GOOGLEFINANCE(""NSE:""&amp;$A11, ""close"", today()-22, today()-1), , 2))"),"#N/A")</f>
        <v/>
      </c>
      <c r="N11" s="13">
        <f>AG11</f>
        <v/>
      </c>
      <c r="O11" s="13">
        <f>AI11</f>
        <v/>
      </c>
      <c r="P11" s="13">
        <f>W11</f>
        <v/>
      </c>
      <c r="Q11" s="13">
        <f>Y11</f>
        <v/>
      </c>
      <c r="R11" s="15" t="n"/>
      <c r="S11" s="15">
        <f>LEFT(W11,2)&amp;LEFT(Y11,2)</f>
        <v/>
      </c>
      <c r="T11" s="15" t="n"/>
      <c r="U11" s="15">
        <f>IF(K11&lt;L11,1,0)</f>
        <v/>
      </c>
      <c r="V11" s="15">
        <f>IF(H11&gt;I11,1,0)</f>
        <v/>
      </c>
      <c r="W11" s="15">
        <f>IF(SUM(U11:V11)=2,"Anticipatory_Sell","No_Action")</f>
        <v/>
      </c>
      <c r="X11" s="15" t="n"/>
      <c r="Y11" s="15">
        <f>IF(SUM(Z11:AA11)=2,"Confirm_Sell","No_Action")</f>
        <v/>
      </c>
      <c r="Z11" s="15">
        <f>IF(H11&gt;I11,1,0)</f>
        <v/>
      </c>
      <c r="AA11" s="15">
        <f>IF(K11&lt;M11,1,0)</f>
        <v/>
      </c>
      <c r="AB11" s="15" t="n"/>
      <c r="AC11" s="15">
        <f>LEFT(AG11,2)&amp;LEFT(AI11,2)</f>
        <v/>
      </c>
      <c r="AD11" s="15" t="n"/>
      <c r="AE11" s="15">
        <f>IF(K11&gt;L11,1,0)</f>
        <v/>
      </c>
      <c r="AF11" s="16">
        <f>IF(H11&gt;I11,1,0)</f>
        <v/>
      </c>
      <c r="AG11" s="16">
        <f>IF(SUM(AE11:AF11)=2,"Anticipatory_Buy","No_Action")</f>
        <v/>
      </c>
      <c r="AH11" s="15" t="n"/>
      <c r="AI11" s="15">
        <f>IF(SUM(AJ11:AK11)=2,"Confirm_Buy","No_Action")</f>
        <v/>
      </c>
      <c r="AJ11" s="15">
        <f>IF(H11&gt;I11,1,0)</f>
        <v/>
      </c>
      <c r="AK11" s="15">
        <f>IF(K11&gt;M11,1,0)</f>
        <v/>
      </c>
    </row>
    <row r="12" ht="15.75" customHeight="1">
      <c r="A12" s="12" t="inlineStr">
        <is>
          <t>AFFLE</t>
        </is>
      </c>
      <c r="B12" s="13">
        <f>IFERROR(__xludf.DUMMYFUNCTION("GOOGLEFINANCE(""NSE:""&amp;A12,""PRICE"")"),1798)</f>
        <v/>
      </c>
      <c r="C12" s="13">
        <f>IFERROR(__xludf.DUMMYFUNCTION("GOOGLEFINANCE(""NSE:""&amp;A12,""PRICEOPEN"")"),1796)</f>
        <v/>
      </c>
      <c r="D12" s="13">
        <f>IFERROR(__xludf.DUMMYFUNCTION("GOOGLEFINANCE(""NSE:""&amp;A12,""HIGH"")"),1812.95)</f>
        <v/>
      </c>
      <c r="E12" s="13">
        <f>IFERROR(__xludf.DUMMYFUNCTION("GOOGLEFINANCE(""NSE:""&amp;A12,""LOW"")"),1767.05)</f>
        <v/>
      </c>
      <c r="F12" s="13">
        <f>IFERROR(__xludf.DUMMYFUNCTION("GOOGLEFINANCE(""NSE:""&amp;A12,""closeyest"")"),1794.65)</f>
        <v/>
      </c>
      <c r="G12" s="14">
        <f>(B12-C12)/B12</f>
        <v/>
      </c>
      <c r="H12" s="13">
        <f>IFERROR(__xludf.DUMMYFUNCTION("GOOGLEFINANCE(""NSE:""&amp;A12,""VOLUME"")"),360534)</f>
        <v/>
      </c>
      <c r="I12" s="13">
        <f>IFERROR(__xludf.DUMMYFUNCTION("AVERAGE(index(GOOGLEFINANCE(""NSE:""&amp;$A12, ""volume"", today()-21, today()-1), , 2))"),"#N/A")</f>
        <v/>
      </c>
      <c r="J12" s="14">
        <f>(H12-I12)/I12</f>
        <v/>
      </c>
      <c r="K12" s="13">
        <f>IFERROR(__xludf.DUMMYFUNCTION("AVERAGE(index(GOOGLEFINANCE(""NSE:""&amp;$A12, ""close"", today()-6, today()-1), , 2))"),"#N/A")</f>
        <v/>
      </c>
      <c r="L12" s="13">
        <f>IFERROR(__xludf.DUMMYFUNCTION("AVERAGE(index(GOOGLEFINANCE(""NSE:""&amp;$A12, ""close"", today()-14, today()-1), , 2))"),"#N/A")</f>
        <v/>
      </c>
      <c r="M12" s="13">
        <f>IFERROR(__xludf.DUMMYFUNCTION("AVERAGE(index(GOOGLEFINANCE(""NSE:""&amp;$A12, ""close"", today()-22, today()-1), , 2))"),"#N/A")</f>
        <v/>
      </c>
      <c r="N12" s="13">
        <f>AG12</f>
        <v/>
      </c>
      <c r="O12" s="13">
        <f>AI12</f>
        <v/>
      </c>
      <c r="P12" s="13">
        <f>W12</f>
        <v/>
      </c>
      <c r="Q12" s="13">
        <f>Y12</f>
        <v/>
      </c>
      <c r="R12" s="15" t="n"/>
      <c r="S12" s="15">
        <f>LEFT(W12,2)&amp;LEFT(Y12,2)</f>
        <v/>
      </c>
      <c r="T12" s="15" t="n"/>
      <c r="U12" s="15">
        <f>IF(K12&lt;L12,1,0)</f>
        <v/>
      </c>
      <c r="V12" s="15">
        <f>IF(H12&gt;I12,1,0)</f>
        <v/>
      </c>
      <c r="W12" s="15">
        <f>IF(SUM(U12:V12)=2,"Anticipatory_Sell","No_Action")</f>
        <v/>
      </c>
      <c r="X12" s="15" t="n"/>
      <c r="Y12" s="15">
        <f>IF(SUM(Z12:AA12)=2,"Confirm_Sell","No_Action")</f>
        <v/>
      </c>
      <c r="Z12" s="15">
        <f>IF(H12&gt;I12,1,0)</f>
        <v/>
      </c>
      <c r="AA12" s="15">
        <f>IF(K12&lt;M12,1,0)</f>
        <v/>
      </c>
      <c r="AB12" s="15" t="n"/>
      <c r="AC12" s="15">
        <f>LEFT(AG12,2)&amp;LEFT(AI12,2)</f>
        <v/>
      </c>
      <c r="AD12" s="15" t="n"/>
      <c r="AE12" s="15">
        <f>IF(K12&gt;L12,1,0)</f>
        <v/>
      </c>
      <c r="AF12" s="16">
        <f>IF(H12&gt;I12,1,0)</f>
        <v/>
      </c>
      <c r="AG12" s="16">
        <f>IF(SUM(AE12:AF12)=2,"Anticipatory_Buy","No_Action")</f>
        <v/>
      </c>
      <c r="AH12" s="15" t="n"/>
      <c r="AI12" s="15">
        <f>IF(SUM(AJ12:AK12)=2,"Confirm_Buy","No_Action")</f>
        <v/>
      </c>
      <c r="AJ12" s="15">
        <f>IF(H12&gt;I12,1,0)</f>
        <v/>
      </c>
      <c r="AK12" s="15">
        <f>IF(K12&gt;M12,1,0)</f>
        <v/>
      </c>
    </row>
    <row r="13" ht="15.75" customHeight="1">
      <c r="A13" s="12" t="inlineStr">
        <is>
          <t>AGI</t>
        </is>
      </c>
      <c r="B13" s="13">
        <f>IFERROR(__xludf.DUMMYFUNCTION("GOOGLEFINANCE(""NSE:""&amp;A13,""PRICE"")"),1207)</f>
        <v/>
      </c>
      <c r="C13" s="13">
        <f>IFERROR(__xludf.DUMMYFUNCTION("GOOGLEFINANCE(""NSE:""&amp;A13,""PRICEOPEN"")"),1215)</f>
        <v/>
      </c>
      <c r="D13" s="13">
        <f>IFERROR(__xludf.DUMMYFUNCTION("GOOGLEFINANCE(""NSE:""&amp;A13,""HIGH"")"),1227.85)</f>
        <v/>
      </c>
      <c r="E13" s="13">
        <f>IFERROR(__xludf.DUMMYFUNCTION("GOOGLEFINANCE(""NSE:""&amp;A13,""LOW"")"),1188)</f>
        <v/>
      </c>
      <c r="F13" s="13">
        <f>IFERROR(__xludf.DUMMYFUNCTION("GOOGLEFINANCE(""NSE:""&amp;A13,""closeyest"")"),1216.3)</f>
        <v/>
      </c>
      <c r="G13" s="14">
        <f>(B13-C13)/B13</f>
        <v/>
      </c>
      <c r="H13" s="13">
        <f>IFERROR(__xludf.DUMMYFUNCTION("GOOGLEFINANCE(""NSE:""&amp;A13,""VOLUME"")"),312699)</f>
        <v/>
      </c>
      <c r="I13" s="13">
        <f>IFERROR(__xludf.DUMMYFUNCTION("AVERAGE(index(GOOGLEFINANCE(""NSE:""&amp;$A13, ""volume"", today()-21, today()-1), , 2))"),"#N/A")</f>
        <v/>
      </c>
      <c r="J13" s="14">
        <f>(H13-I13)/I13</f>
        <v/>
      </c>
      <c r="K13" s="13">
        <f>IFERROR(__xludf.DUMMYFUNCTION("AVERAGE(index(GOOGLEFINANCE(""NSE:""&amp;$A13, ""close"", today()-6, today()-1), , 2))"),"#N/A")</f>
        <v/>
      </c>
      <c r="L13" s="13">
        <f>IFERROR(__xludf.DUMMYFUNCTION("AVERAGE(index(GOOGLEFINANCE(""NSE:""&amp;$A13, ""close"", today()-14, today()-1), , 2))"),"#N/A")</f>
        <v/>
      </c>
      <c r="M13" s="13">
        <f>IFERROR(__xludf.DUMMYFUNCTION("AVERAGE(index(GOOGLEFINANCE(""NSE:""&amp;$A13, ""close"", today()-22, today()-1), , 2))"),"#N/A")</f>
        <v/>
      </c>
      <c r="N13" s="13">
        <f>AG13</f>
        <v/>
      </c>
      <c r="O13" s="13">
        <f>AI13</f>
        <v/>
      </c>
      <c r="P13" s="13">
        <f>W13</f>
        <v/>
      </c>
      <c r="Q13" s="13">
        <f>Y13</f>
        <v/>
      </c>
      <c r="R13" s="15" t="n"/>
      <c r="S13" s="15">
        <f>LEFT(W13,2)&amp;LEFT(Y13,2)</f>
        <v/>
      </c>
      <c r="T13" s="15" t="n"/>
      <c r="U13" s="15">
        <f>IF(K13&lt;L13,1,0)</f>
        <v/>
      </c>
      <c r="V13" s="15">
        <f>IF(H13&gt;I13,1,0)</f>
        <v/>
      </c>
      <c r="W13" s="15">
        <f>IF(SUM(U13:V13)=2,"Anticipatory_Sell","No_Action")</f>
        <v/>
      </c>
      <c r="X13" s="15" t="n"/>
      <c r="Y13" s="15">
        <f>IF(SUM(Z13:AA13)=2,"Confirm_Sell","No_Action")</f>
        <v/>
      </c>
      <c r="Z13" s="15">
        <f>IF(H13&gt;I13,1,0)</f>
        <v/>
      </c>
      <c r="AA13" s="15">
        <f>IF(K13&lt;M13,1,0)</f>
        <v/>
      </c>
      <c r="AB13" s="15" t="n"/>
      <c r="AC13" s="15">
        <f>LEFT(AG13,2)&amp;LEFT(AI13,2)</f>
        <v/>
      </c>
      <c r="AD13" s="15" t="n"/>
      <c r="AE13" s="15">
        <f>IF(K13&gt;L13,1,0)</f>
        <v/>
      </c>
      <c r="AF13" s="16">
        <f>IF(H13&gt;I13,1,0)</f>
        <v/>
      </c>
      <c r="AG13" s="16">
        <f>IF(SUM(AE13:AF13)=2,"Anticipatory_Buy","No_Action")</f>
        <v/>
      </c>
      <c r="AH13" s="15" t="n"/>
      <c r="AI13" s="15">
        <f>IF(SUM(AJ13:AK13)=2,"Confirm_Buy","No_Action")</f>
        <v/>
      </c>
      <c r="AJ13" s="15">
        <f>IF(H13&gt;I13,1,0)</f>
        <v/>
      </c>
      <c r="AK13" s="15">
        <f>IF(K13&gt;M13,1,0)</f>
        <v/>
      </c>
    </row>
    <row r="14" ht="15.75" customHeight="1">
      <c r="A14" s="12" t="inlineStr">
        <is>
          <t>AIAENG</t>
        </is>
      </c>
      <c r="B14" s="13">
        <f>IFERROR(__xludf.DUMMYFUNCTION("GOOGLEFINANCE(""NSE:""&amp;A14,""PRICE"")"),3468.25)</f>
        <v/>
      </c>
      <c r="C14" s="13">
        <f>IFERROR(__xludf.DUMMYFUNCTION("GOOGLEFINANCE(""NSE:""&amp;A14,""PRICEOPEN"")"),3431.05)</f>
        <v/>
      </c>
      <c r="D14" s="13">
        <f>IFERROR(__xludf.DUMMYFUNCTION("GOOGLEFINANCE(""NSE:""&amp;A14,""HIGH"")"),3472.15)</f>
        <v/>
      </c>
      <c r="E14" s="13">
        <f>IFERROR(__xludf.DUMMYFUNCTION("GOOGLEFINANCE(""NSE:""&amp;A14,""LOW"")"),3431.05)</f>
        <v/>
      </c>
      <c r="F14" s="13">
        <f>IFERROR(__xludf.DUMMYFUNCTION("GOOGLEFINANCE(""NSE:""&amp;A14,""closeyest"")"),3427.3)</f>
        <v/>
      </c>
      <c r="G14" s="14">
        <f>(B14-C14)/B14</f>
        <v/>
      </c>
      <c r="H14" s="13">
        <f>IFERROR(__xludf.DUMMYFUNCTION("GOOGLEFINANCE(""NSE:""&amp;A14,""VOLUME"")"),155533)</f>
        <v/>
      </c>
      <c r="I14" s="13">
        <f>IFERROR(__xludf.DUMMYFUNCTION("AVERAGE(index(GOOGLEFINANCE(""NSE:""&amp;$A14, ""volume"", today()-21, today()-1), , 2))"),"#N/A")</f>
        <v/>
      </c>
      <c r="J14" s="14">
        <f>(H14-I14)/I14</f>
        <v/>
      </c>
      <c r="K14" s="13">
        <f>IFERROR(__xludf.DUMMYFUNCTION("AVERAGE(index(GOOGLEFINANCE(""NSE:""&amp;$A14, ""close"", today()-6, today()-1), , 2))"),"#N/A")</f>
        <v/>
      </c>
      <c r="L14" s="13">
        <f>IFERROR(__xludf.DUMMYFUNCTION("AVERAGE(index(GOOGLEFINANCE(""NSE:""&amp;$A14, ""close"", today()-14, today()-1), , 2))"),"#N/A")</f>
        <v/>
      </c>
      <c r="M14" s="13">
        <f>IFERROR(__xludf.DUMMYFUNCTION("AVERAGE(index(GOOGLEFINANCE(""NSE:""&amp;$A14, ""close"", today()-22, today()-1), , 2))"),"#N/A")</f>
        <v/>
      </c>
      <c r="N14" s="13">
        <f>AG14</f>
        <v/>
      </c>
      <c r="O14" s="13">
        <f>AI14</f>
        <v/>
      </c>
      <c r="P14" s="13">
        <f>W14</f>
        <v/>
      </c>
      <c r="Q14" s="13">
        <f>Y14</f>
        <v/>
      </c>
      <c r="R14" s="15" t="n"/>
      <c r="S14" s="15">
        <f>LEFT(W14,2)&amp;LEFT(Y14,2)</f>
        <v/>
      </c>
      <c r="T14" s="15" t="n"/>
      <c r="U14" s="15">
        <f>IF(K14&lt;L14,1,0)</f>
        <v/>
      </c>
      <c r="V14" s="15">
        <f>IF(H14&gt;I14,1,0)</f>
        <v/>
      </c>
      <c r="W14" s="15">
        <f>IF(SUM(U14:V14)=2,"Anticipatory_Sell","No_Action")</f>
        <v/>
      </c>
      <c r="X14" s="15" t="n"/>
      <c r="Y14" s="15">
        <f>IF(SUM(Z14:AA14)=2,"Confirm_Sell","No_Action")</f>
        <v/>
      </c>
      <c r="Z14" s="15">
        <f>IF(H14&gt;I14,1,0)</f>
        <v/>
      </c>
      <c r="AA14" s="15">
        <f>IF(K14&lt;M14,1,0)</f>
        <v/>
      </c>
      <c r="AB14" s="15" t="n"/>
      <c r="AC14" s="15">
        <f>LEFT(AG14,2)&amp;LEFT(AI14,2)</f>
        <v/>
      </c>
      <c r="AD14" s="15" t="n"/>
      <c r="AE14" s="15">
        <f>IF(K14&gt;L14,1,0)</f>
        <v/>
      </c>
      <c r="AF14" s="16">
        <f>IF(H14&gt;I14,1,0)</f>
        <v/>
      </c>
      <c r="AG14" s="16">
        <f>IF(SUM(AE14:AF14)=2,"Anticipatory_Buy","No_Action")</f>
        <v/>
      </c>
      <c r="AH14" s="15" t="n"/>
      <c r="AI14" s="15">
        <f>IF(SUM(AJ14:AK14)=2,"Confirm_Buy","No_Action")</f>
        <v/>
      </c>
      <c r="AJ14" s="15">
        <f>IF(H14&gt;I14,1,0)</f>
        <v/>
      </c>
      <c r="AK14" s="15">
        <f>IF(K14&gt;M14,1,0)</f>
        <v/>
      </c>
    </row>
    <row r="15" ht="15.75" customHeight="1">
      <c r="A15" s="12" t="inlineStr">
        <is>
          <t>AJANTPHARM</t>
        </is>
      </c>
      <c r="B15" s="13">
        <f>IFERROR(__xludf.DUMMYFUNCTION("GOOGLEFINANCE(""NSE:""&amp;A15,""PRICE"")"),2840)</f>
        <v/>
      </c>
      <c r="C15" s="13">
        <f>IFERROR(__xludf.DUMMYFUNCTION("GOOGLEFINANCE(""NSE:""&amp;A15,""PRICEOPEN"")"),2879.8)</f>
        <v/>
      </c>
      <c r="D15" s="13">
        <f>IFERROR(__xludf.DUMMYFUNCTION("GOOGLEFINANCE(""NSE:""&amp;A15,""HIGH"")"),2889)</f>
        <v/>
      </c>
      <c r="E15" s="13">
        <f>IFERROR(__xludf.DUMMYFUNCTION("GOOGLEFINANCE(""NSE:""&amp;A15,""LOW"")"),2820)</f>
        <v/>
      </c>
      <c r="F15" s="13">
        <f>IFERROR(__xludf.DUMMYFUNCTION("GOOGLEFINANCE(""NSE:""&amp;A15,""closeyest"")"),2864.8)</f>
        <v/>
      </c>
      <c r="G15" s="14">
        <f>(B15-C15)/B15</f>
        <v/>
      </c>
      <c r="H15" s="13">
        <f>IFERROR(__xludf.DUMMYFUNCTION("GOOGLEFINANCE(""NSE:""&amp;A15,""VOLUME"")"),162803)</f>
        <v/>
      </c>
      <c r="I15" s="13">
        <f>IFERROR(__xludf.DUMMYFUNCTION("AVERAGE(index(GOOGLEFINANCE(""NSE:""&amp;$A15, ""volume"", today()-21, today()-1), , 2))"),"#N/A")</f>
        <v/>
      </c>
      <c r="J15" s="14">
        <f>(H15-I15)/I15</f>
        <v/>
      </c>
      <c r="K15" s="13">
        <f>IFERROR(__xludf.DUMMYFUNCTION("AVERAGE(index(GOOGLEFINANCE(""NSE:""&amp;$A15, ""close"", today()-6, today()-1), , 2))"),"#N/A")</f>
        <v/>
      </c>
      <c r="L15" s="13">
        <f>IFERROR(__xludf.DUMMYFUNCTION("AVERAGE(index(GOOGLEFINANCE(""NSE:""&amp;$A15, ""close"", today()-14, today()-1), , 2))"),"#N/A")</f>
        <v/>
      </c>
      <c r="M15" s="13">
        <f>IFERROR(__xludf.DUMMYFUNCTION("AVERAGE(index(GOOGLEFINANCE(""NSE:""&amp;$A15, ""close"", today()-22, today()-1), , 2))"),"#N/A")</f>
        <v/>
      </c>
      <c r="N15" s="13">
        <f>AG15</f>
        <v/>
      </c>
      <c r="O15" s="13">
        <f>AI15</f>
        <v/>
      </c>
      <c r="P15" s="13">
        <f>W15</f>
        <v/>
      </c>
      <c r="Q15" s="13">
        <f>Y15</f>
        <v/>
      </c>
      <c r="R15" s="15" t="n"/>
      <c r="S15" s="15">
        <f>LEFT(W15,2)&amp;LEFT(Y15,2)</f>
        <v/>
      </c>
      <c r="T15" s="15" t="n"/>
      <c r="U15" s="15">
        <f>IF(K15&lt;L15,1,0)</f>
        <v/>
      </c>
      <c r="V15" s="15">
        <f>IF(H15&gt;I15,1,0)</f>
        <v/>
      </c>
      <c r="W15" s="15">
        <f>IF(SUM(U15:V15)=2,"Anticipatory_Sell","No_Action")</f>
        <v/>
      </c>
      <c r="X15" s="15" t="n"/>
      <c r="Y15" s="15">
        <f>IF(SUM(Z15:AA15)=2,"Confirm_Sell","No_Action")</f>
        <v/>
      </c>
      <c r="Z15" s="15">
        <f>IF(H15&gt;I15,1,0)</f>
        <v/>
      </c>
      <c r="AA15" s="15">
        <f>IF(K15&lt;M15,1,0)</f>
        <v/>
      </c>
      <c r="AB15" s="15" t="n"/>
      <c r="AC15" s="15">
        <f>LEFT(AG15,2)&amp;LEFT(AI15,2)</f>
        <v/>
      </c>
      <c r="AD15" s="15" t="n"/>
      <c r="AE15" s="15">
        <f>IF(K15&gt;L15,1,0)</f>
        <v/>
      </c>
      <c r="AF15" s="16">
        <f>IF(H15&gt;I15,1,0)</f>
        <v/>
      </c>
      <c r="AG15" s="16">
        <f>IF(SUM(AE15:AF15)=2,"Anticipatory_Buy","No_Action")</f>
        <v/>
      </c>
      <c r="AH15" s="15" t="n"/>
      <c r="AI15" s="15">
        <f>IF(SUM(AJ15:AK15)=2,"Confirm_Buy","No_Action")</f>
        <v/>
      </c>
      <c r="AJ15" s="15">
        <f>IF(H15&gt;I15,1,0)</f>
        <v/>
      </c>
      <c r="AK15" s="15">
        <f>IF(K15&gt;M15,1,0)</f>
        <v/>
      </c>
    </row>
    <row r="16" ht="15.75" customHeight="1">
      <c r="A16" s="12" t="inlineStr">
        <is>
          <t>AJMERA</t>
        </is>
      </c>
      <c r="B16" s="13">
        <f>IFERROR(__xludf.DUMMYFUNCTION("GOOGLEFINANCE(""NSE:""&amp;A16,""PRICE"")"),1121.05)</f>
        <v/>
      </c>
      <c r="C16" s="13">
        <f>IFERROR(__xludf.DUMMYFUNCTION("GOOGLEFINANCE(""NSE:""&amp;A16,""PRICEOPEN"")"),1129.25)</f>
        <v/>
      </c>
      <c r="D16" s="13">
        <f>IFERROR(__xludf.DUMMYFUNCTION("GOOGLEFINANCE(""NSE:""&amp;A16,""HIGH"")"),1135.95)</f>
        <v/>
      </c>
      <c r="E16" s="13">
        <f>IFERROR(__xludf.DUMMYFUNCTION("GOOGLEFINANCE(""NSE:""&amp;A16,""LOW"")"),1106.35)</f>
        <v/>
      </c>
      <c r="F16" s="13">
        <f>IFERROR(__xludf.DUMMYFUNCTION("GOOGLEFINANCE(""NSE:""&amp;A16,""closeyest"")"),1136.5)</f>
        <v/>
      </c>
      <c r="G16" s="14">
        <f>(B16-C16)/B16</f>
        <v/>
      </c>
      <c r="H16" s="13">
        <f>IFERROR(__xludf.DUMMYFUNCTION("GOOGLEFINANCE(""NSE:""&amp;A16,""VOLUME"")"),59293)</f>
        <v/>
      </c>
      <c r="I16" s="13">
        <f>IFERROR(__xludf.DUMMYFUNCTION("AVERAGE(index(GOOGLEFINANCE(""NSE:""&amp;$A16, ""volume"", today()-21, today()-1), , 2))"),"#N/A")</f>
        <v/>
      </c>
      <c r="J16" s="14">
        <f>(H16-I16)/I16</f>
        <v/>
      </c>
      <c r="K16" s="13">
        <f>IFERROR(__xludf.DUMMYFUNCTION("AVERAGE(index(GOOGLEFINANCE(""NSE:""&amp;$A16, ""close"", today()-6, today()-1), , 2))"),"#N/A")</f>
        <v/>
      </c>
      <c r="L16" s="13">
        <f>IFERROR(__xludf.DUMMYFUNCTION("AVERAGE(index(GOOGLEFINANCE(""NSE:""&amp;$A16, ""close"", today()-14, today()-1), , 2))"),"#N/A")</f>
        <v/>
      </c>
      <c r="M16" s="13">
        <f>IFERROR(__xludf.DUMMYFUNCTION("AVERAGE(index(GOOGLEFINANCE(""NSE:""&amp;$A16, ""close"", today()-22, today()-1), , 2))"),"#N/A")</f>
        <v/>
      </c>
      <c r="N16" s="13">
        <f>AG16</f>
        <v/>
      </c>
      <c r="O16" s="13">
        <f>AI16</f>
        <v/>
      </c>
      <c r="P16" s="13">
        <f>W16</f>
        <v/>
      </c>
      <c r="Q16" s="13">
        <f>Y16</f>
        <v/>
      </c>
      <c r="R16" s="15" t="n"/>
      <c r="S16" s="15">
        <f>LEFT(W16,2)&amp;LEFT(Y16,2)</f>
        <v/>
      </c>
      <c r="T16" s="15" t="n"/>
      <c r="U16" s="15">
        <f>IF(K16&lt;L16,1,0)</f>
        <v/>
      </c>
      <c r="V16" s="15">
        <f>IF(H16&gt;I16,1,0)</f>
        <v/>
      </c>
      <c r="W16" s="15">
        <f>IF(SUM(U16:V16)=2,"Anticipatory_Sell","No_Action")</f>
        <v/>
      </c>
      <c r="X16" s="15" t="n"/>
      <c r="Y16" s="15">
        <f>IF(SUM(Z16:AA16)=2,"Confirm_Sell","No_Action")</f>
        <v/>
      </c>
      <c r="Z16" s="15">
        <f>IF(H16&gt;I16,1,0)</f>
        <v/>
      </c>
      <c r="AA16" s="15">
        <f>IF(K16&lt;M16,1,0)</f>
        <v/>
      </c>
      <c r="AB16" s="15" t="n"/>
      <c r="AC16" s="15">
        <f>LEFT(AG16,2)&amp;LEFT(AI16,2)</f>
        <v/>
      </c>
      <c r="AD16" s="15" t="n"/>
      <c r="AE16" s="15">
        <f>IF(K16&gt;L16,1,0)</f>
        <v/>
      </c>
      <c r="AF16" s="16">
        <f>IF(H16&gt;I16,1,0)</f>
        <v/>
      </c>
      <c r="AG16" s="16">
        <f>IF(SUM(AE16:AF16)=2,"Anticipatory_Buy","No_Action")</f>
        <v/>
      </c>
      <c r="AH16" s="15" t="n"/>
      <c r="AI16" s="15">
        <f>IF(SUM(AJ16:AK16)=2,"Confirm_Buy","No_Action")</f>
        <v/>
      </c>
      <c r="AJ16" s="15">
        <f>IF(H16&gt;I16,1,0)</f>
        <v/>
      </c>
      <c r="AK16" s="15">
        <f>IF(K16&gt;M16,1,0)</f>
        <v/>
      </c>
    </row>
    <row r="17" ht="15.75" customHeight="1">
      <c r="A17" s="12" t="inlineStr">
        <is>
          <t>AKZOINDIA</t>
        </is>
      </c>
      <c r="B17" s="13">
        <f>IFERROR(__xludf.DUMMYFUNCTION("GOOGLEFINANCE(""NSE:""&amp;A17,""PRICE"")"),3590)</f>
        <v/>
      </c>
      <c r="C17" s="13">
        <f>IFERROR(__xludf.DUMMYFUNCTION("GOOGLEFINANCE(""NSE:""&amp;A17,""PRICEOPEN"")"),3718.7)</f>
        <v/>
      </c>
      <c r="D17" s="13">
        <f>IFERROR(__xludf.DUMMYFUNCTION("GOOGLEFINANCE(""NSE:""&amp;A17,""HIGH"")"),3718.7)</f>
        <v/>
      </c>
      <c r="E17" s="13">
        <f>IFERROR(__xludf.DUMMYFUNCTION("GOOGLEFINANCE(""NSE:""&amp;A17,""LOW"")"),3580)</f>
        <v/>
      </c>
      <c r="F17" s="13">
        <f>IFERROR(__xludf.DUMMYFUNCTION("GOOGLEFINANCE(""NSE:""&amp;A17,""closeyest"")"),3674.55)</f>
        <v/>
      </c>
      <c r="G17" s="14">
        <f>(B17-C17)/B17</f>
        <v/>
      </c>
      <c r="H17" s="13">
        <f>IFERROR(__xludf.DUMMYFUNCTION("GOOGLEFINANCE(""NSE:""&amp;A17,""VOLUME"")"),15452)</f>
        <v/>
      </c>
      <c r="I17" s="13">
        <f>IFERROR(__xludf.DUMMYFUNCTION("AVERAGE(index(GOOGLEFINANCE(""NSE:""&amp;$A17, ""volume"", today()-21, today()-1), , 2))"),"#N/A")</f>
        <v/>
      </c>
      <c r="J17" s="14">
        <f>(H17-I17)/I17</f>
        <v/>
      </c>
      <c r="K17" s="13">
        <f>IFERROR(__xludf.DUMMYFUNCTION("AVERAGE(index(GOOGLEFINANCE(""NSE:""&amp;$A17, ""close"", today()-6, today()-1), , 2))"),"#N/A")</f>
        <v/>
      </c>
      <c r="L17" s="13">
        <f>IFERROR(__xludf.DUMMYFUNCTION("AVERAGE(index(GOOGLEFINANCE(""NSE:""&amp;$A17, ""close"", today()-14, today()-1), , 2))"),"#N/A")</f>
        <v/>
      </c>
      <c r="M17" s="13">
        <f>IFERROR(__xludf.DUMMYFUNCTION("AVERAGE(index(GOOGLEFINANCE(""NSE:""&amp;$A17, ""close"", today()-22, today()-1), , 2))"),"#N/A")</f>
        <v/>
      </c>
      <c r="N17" s="13">
        <f>AG17</f>
        <v/>
      </c>
      <c r="O17" s="13">
        <f>AI17</f>
        <v/>
      </c>
      <c r="P17" s="13">
        <f>W17</f>
        <v/>
      </c>
      <c r="Q17" s="13">
        <f>Y17</f>
        <v/>
      </c>
      <c r="R17" s="15" t="n"/>
      <c r="S17" s="15">
        <f>LEFT(W17,2)&amp;LEFT(Y17,2)</f>
        <v/>
      </c>
      <c r="T17" s="15" t="n"/>
      <c r="U17" s="15">
        <f>IF(K17&lt;L17,1,0)</f>
        <v/>
      </c>
      <c r="V17" s="15">
        <f>IF(H17&gt;I17,1,0)</f>
        <v/>
      </c>
      <c r="W17" s="15">
        <f>IF(SUM(U17:V17)=2,"Anticipatory_Sell","No_Action")</f>
        <v/>
      </c>
      <c r="X17" s="15" t="n"/>
      <c r="Y17" s="15">
        <f>IF(SUM(Z17:AA17)=2,"Confirm_Sell","No_Action")</f>
        <v/>
      </c>
      <c r="Z17" s="15">
        <f>IF(H17&gt;I17,1,0)</f>
        <v/>
      </c>
      <c r="AA17" s="15">
        <f>IF(K17&lt;M17,1,0)</f>
        <v/>
      </c>
      <c r="AB17" s="15" t="n"/>
      <c r="AC17" s="15">
        <f>LEFT(AG17,2)&amp;LEFT(AI17,2)</f>
        <v/>
      </c>
      <c r="AD17" s="15" t="n"/>
      <c r="AE17" s="15">
        <f>IF(K17&gt;L17,1,0)</f>
        <v/>
      </c>
      <c r="AF17" s="16">
        <f>IF(H17&gt;I17,1,0)</f>
        <v/>
      </c>
      <c r="AG17" s="16">
        <f>IF(SUM(AE17:AF17)=2,"Anticipatory_Buy","No_Action")</f>
        <v/>
      </c>
      <c r="AH17" s="15" t="n"/>
      <c r="AI17" s="15">
        <f>IF(SUM(AJ17:AK17)=2,"Confirm_Buy","No_Action")</f>
        <v/>
      </c>
      <c r="AJ17" s="15">
        <f>IF(H17&gt;I17,1,0)</f>
        <v/>
      </c>
      <c r="AK17" s="15">
        <f>IF(K17&gt;M17,1,0)</f>
        <v/>
      </c>
    </row>
    <row r="18" ht="15.75" customHeight="1">
      <c r="A18" s="12" t="inlineStr">
        <is>
          <t>ALEMBICLTD</t>
        </is>
      </c>
      <c r="B18" s="13">
        <f>IFERROR(__xludf.DUMMYFUNCTION("GOOGLEFINANCE(""NSE:""&amp;A18,""PRICE"")"),138.18)</f>
        <v/>
      </c>
      <c r="C18" s="13">
        <f>IFERROR(__xludf.DUMMYFUNCTION("GOOGLEFINANCE(""NSE:""&amp;A18,""PRICEOPEN"")"),137.35)</f>
        <v/>
      </c>
      <c r="D18" s="13">
        <f>IFERROR(__xludf.DUMMYFUNCTION("GOOGLEFINANCE(""NSE:""&amp;A18,""HIGH"")"),140.2)</f>
        <v/>
      </c>
      <c r="E18" s="13">
        <f>IFERROR(__xludf.DUMMYFUNCTION("GOOGLEFINANCE(""NSE:""&amp;A18,""LOW"")"),137.35)</f>
        <v/>
      </c>
      <c r="F18" s="13">
        <f>IFERROR(__xludf.DUMMYFUNCTION("GOOGLEFINANCE(""NSE:""&amp;A18,""closeyest"")"),137.35)</f>
        <v/>
      </c>
      <c r="G18" s="14">
        <f>(B18-C18)/B18</f>
        <v/>
      </c>
      <c r="H18" s="13">
        <f>IFERROR(__xludf.DUMMYFUNCTION("GOOGLEFINANCE(""NSE:""&amp;A18,""VOLUME"")"),487731)</f>
        <v/>
      </c>
      <c r="I18" s="13">
        <f>IFERROR(__xludf.DUMMYFUNCTION("AVERAGE(index(GOOGLEFINANCE(""NSE:""&amp;$A18, ""volume"", today()-21, today()-1), , 2))"),"#N/A")</f>
        <v/>
      </c>
      <c r="J18" s="14">
        <f>(H18-I18)/I18</f>
        <v/>
      </c>
      <c r="K18" s="13">
        <f>IFERROR(__xludf.DUMMYFUNCTION("AVERAGE(index(GOOGLEFINANCE(""NSE:""&amp;$A18, ""close"", today()-6, today()-1), , 2))"),"#N/A")</f>
        <v/>
      </c>
      <c r="L18" s="13">
        <f>IFERROR(__xludf.DUMMYFUNCTION("AVERAGE(index(GOOGLEFINANCE(""NSE:""&amp;$A18, ""close"", today()-14, today()-1), , 2))"),"#N/A")</f>
        <v/>
      </c>
      <c r="M18" s="13">
        <f>IFERROR(__xludf.DUMMYFUNCTION("AVERAGE(index(GOOGLEFINANCE(""NSE:""&amp;$A18, ""close"", today()-22, today()-1), , 2))"),"#N/A")</f>
        <v/>
      </c>
      <c r="N18" s="13">
        <f>AG18</f>
        <v/>
      </c>
      <c r="O18" s="13">
        <f>AI18</f>
        <v/>
      </c>
      <c r="P18" s="13">
        <f>W18</f>
        <v/>
      </c>
      <c r="Q18" s="13">
        <f>Y18</f>
        <v/>
      </c>
      <c r="R18" s="15" t="n"/>
      <c r="S18" s="15">
        <f>LEFT(W18,2)&amp;LEFT(Y18,2)</f>
        <v/>
      </c>
      <c r="T18" s="15" t="n"/>
      <c r="U18" s="15">
        <f>IF(K18&lt;L18,1,0)</f>
        <v/>
      </c>
      <c r="V18" s="15">
        <f>IF(H18&gt;I18,1,0)</f>
        <v/>
      </c>
      <c r="W18" s="15">
        <f>IF(SUM(U18:V18)=2,"Anticipatory_Sell","No_Action")</f>
        <v/>
      </c>
      <c r="X18" s="15" t="n"/>
      <c r="Y18" s="15">
        <f>IF(SUM(Z18:AA18)=2,"Confirm_Sell","No_Action")</f>
        <v/>
      </c>
      <c r="Z18" s="15">
        <f>IF(H18&gt;I18,1,0)</f>
        <v/>
      </c>
      <c r="AA18" s="15">
        <f>IF(K18&lt;M18,1,0)</f>
        <v/>
      </c>
      <c r="AB18" s="15" t="n"/>
      <c r="AC18" s="15">
        <f>LEFT(AG18,2)&amp;LEFT(AI18,2)</f>
        <v/>
      </c>
      <c r="AD18" s="15" t="n"/>
      <c r="AE18" s="15">
        <f>IF(K18&gt;L18,1,0)</f>
        <v/>
      </c>
      <c r="AF18" s="16">
        <f>IF(H18&gt;I18,1,0)</f>
        <v/>
      </c>
      <c r="AG18" s="16">
        <f>IF(SUM(AE18:AF18)=2,"Anticipatory_Buy","No_Action")</f>
        <v/>
      </c>
      <c r="AH18" s="15" t="n"/>
      <c r="AI18" s="15">
        <f>IF(SUM(AJ18:AK18)=2,"Confirm_Buy","No_Action")</f>
        <v/>
      </c>
      <c r="AJ18" s="15">
        <f>IF(H18&gt;I18,1,0)</f>
        <v/>
      </c>
      <c r="AK18" s="15">
        <f>IF(K18&gt;M18,1,0)</f>
        <v/>
      </c>
    </row>
    <row r="19" ht="15.75" customHeight="1">
      <c r="A19" s="12" t="inlineStr">
        <is>
          <t>ALKEM</t>
        </is>
      </c>
      <c r="B19" s="13">
        <f>IFERROR(__xludf.DUMMYFUNCTION("GOOGLEFINANCE(""NSE:""&amp;A19,""PRICE"")"),5495)</f>
        <v/>
      </c>
      <c r="C19" s="13">
        <f>IFERROR(__xludf.DUMMYFUNCTION("GOOGLEFINANCE(""NSE:""&amp;A19,""PRICEOPEN"")"),5532.95)</f>
        <v/>
      </c>
      <c r="D19" s="13">
        <f>IFERROR(__xludf.DUMMYFUNCTION("GOOGLEFINANCE(""NSE:""&amp;A19,""HIGH"")"),5700)</f>
        <v/>
      </c>
      <c r="E19" s="13">
        <f>IFERROR(__xludf.DUMMYFUNCTION("GOOGLEFINANCE(""NSE:""&amp;A19,""LOW"")"),5461.1)</f>
        <v/>
      </c>
      <c r="F19" s="13">
        <f>IFERROR(__xludf.DUMMYFUNCTION("GOOGLEFINANCE(""NSE:""&amp;A19,""closeyest"")"),5505.4)</f>
        <v/>
      </c>
      <c r="G19" s="14">
        <f>(B19-C19)/B19</f>
        <v/>
      </c>
      <c r="H19" s="13">
        <f>IFERROR(__xludf.DUMMYFUNCTION("GOOGLEFINANCE(""NSE:""&amp;A19,""VOLUME"")"),113570)</f>
        <v/>
      </c>
      <c r="I19" s="13">
        <f>IFERROR(__xludf.DUMMYFUNCTION("AVERAGE(index(GOOGLEFINANCE(""NSE:""&amp;$A19, ""volume"", today()-21, today()-1), , 2))"),"#N/A")</f>
        <v/>
      </c>
      <c r="J19" s="14">
        <f>(H19-I19)/I19</f>
        <v/>
      </c>
      <c r="K19" s="13">
        <f>IFERROR(__xludf.DUMMYFUNCTION("AVERAGE(index(GOOGLEFINANCE(""NSE:""&amp;$A19, ""close"", today()-6, today()-1), , 2))"),"#N/A")</f>
        <v/>
      </c>
      <c r="L19" s="13">
        <f>IFERROR(__xludf.DUMMYFUNCTION("AVERAGE(index(GOOGLEFINANCE(""NSE:""&amp;$A19, ""close"", today()-14, today()-1), , 2))"),"#N/A")</f>
        <v/>
      </c>
      <c r="M19" s="13">
        <f>IFERROR(__xludf.DUMMYFUNCTION("AVERAGE(index(GOOGLEFINANCE(""NSE:""&amp;$A19, ""close"", today()-22, today()-1), , 2))"),"#N/A")</f>
        <v/>
      </c>
      <c r="N19" s="13">
        <f>AG19</f>
        <v/>
      </c>
      <c r="O19" s="13">
        <f>AI19</f>
        <v/>
      </c>
      <c r="P19" s="13">
        <f>W19</f>
        <v/>
      </c>
      <c r="Q19" s="13">
        <f>Y19</f>
        <v/>
      </c>
      <c r="R19" s="15" t="n"/>
      <c r="S19" s="15">
        <f>LEFT(W19,2)&amp;LEFT(Y19,2)</f>
        <v/>
      </c>
      <c r="T19" s="15" t="n"/>
      <c r="U19" s="15">
        <f>IF(K19&lt;L19,1,0)</f>
        <v/>
      </c>
      <c r="V19" s="15">
        <f>IF(H19&gt;I19,1,0)</f>
        <v/>
      </c>
      <c r="W19" s="15">
        <f>IF(SUM(U19:V19)=2,"Anticipatory_Sell","No_Action")</f>
        <v/>
      </c>
      <c r="X19" s="15" t="n"/>
      <c r="Y19" s="15">
        <f>IF(SUM(Z19:AA19)=2,"Confirm_Sell","No_Action")</f>
        <v/>
      </c>
      <c r="Z19" s="15">
        <f>IF(H19&gt;I19,1,0)</f>
        <v/>
      </c>
      <c r="AA19" s="15">
        <f>IF(K19&lt;M19,1,0)</f>
        <v/>
      </c>
      <c r="AB19" s="15" t="n"/>
      <c r="AC19" s="15">
        <f>LEFT(AG19,2)&amp;LEFT(AI19,2)</f>
        <v/>
      </c>
      <c r="AD19" s="15" t="n"/>
      <c r="AE19" s="15">
        <f>IF(K19&gt;L19,1,0)</f>
        <v/>
      </c>
      <c r="AF19" s="16">
        <f>IF(H19&gt;I19,1,0)</f>
        <v/>
      </c>
      <c r="AG19" s="16">
        <f>IF(SUM(AE19:AF19)=2,"Anticipatory_Buy","No_Action")</f>
        <v/>
      </c>
      <c r="AH19" s="15" t="n"/>
      <c r="AI19" s="15">
        <f>IF(SUM(AJ19:AK19)=2,"Confirm_Buy","No_Action")</f>
        <v/>
      </c>
      <c r="AJ19" s="15">
        <f>IF(H19&gt;I19,1,0)</f>
        <v/>
      </c>
      <c r="AK19" s="15">
        <f>IF(K19&gt;M19,1,0)</f>
        <v/>
      </c>
    </row>
    <row r="20" ht="15.75" customHeight="1">
      <c r="A20" s="12" t="inlineStr">
        <is>
          <t>ARE&amp;M</t>
        </is>
      </c>
      <c r="B20" s="13">
        <f>IFERROR(__xludf.DUMMYFUNCTION("GOOGLEFINANCE(""NSE:""&amp;A20,""PRICE"")"),1321)</f>
        <v/>
      </c>
      <c r="C20" s="13">
        <f>IFERROR(__xludf.DUMMYFUNCTION("GOOGLEFINANCE(""NSE:""&amp;A20,""PRICEOPEN"")"),1333)</f>
        <v/>
      </c>
      <c r="D20" s="13">
        <f>IFERROR(__xludf.DUMMYFUNCTION("GOOGLEFINANCE(""NSE:""&amp;A20,""HIGH"")"),1360)</f>
        <v/>
      </c>
      <c r="E20" s="13">
        <f>IFERROR(__xludf.DUMMYFUNCTION("GOOGLEFINANCE(""NSE:""&amp;A20,""LOW"")"),1315.95)</f>
        <v/>
      </c>
      <c r="F20" s="13">
        <f>IFERROR(__xludf.DUMMYFUNCTION("GOOGLEFINANCE(""NSE:""&amp;A20,""closeyest"")"),1330.65)</f>
        <v/>
      </c>
      <c r="G20" s="14">
        <f>(B20-C20)/B20</f>
        <v/>
      </c>
      <c r="H20" s="13">
        <f>IFERROR(__xludf.DUMMYFUNCTION("GOOGLEFINANCE(""NSE:""&amp;A20,""VOLUME"")"),506582)</f>
        <v/>
      </c>
      <c r="I20" s="13">
        <f>IFERROR(__xludf.DUMMYFUNCTION("AVERAGE(index(GOOGLEFINANCE(""NSE:""&amp;$A20, ""volume"", today()-21, today()-1), , 2))"),"#N/A")</f>
        <v/>
      </c>
      <c r="J20" s="14">
        <f>(H20-I20)/I20</f>
        <v/>
      </c>
      <c r="K20" s="13">
        <f>IFERROR(__xludf.DUMMYFUNCTION("AVERAGE(index(GOOGLEFINANCE(""NSE:""&amp;$A20, ""close"", today()-6, today()-1), , 2))"),"#N/A")</f>
        <v/>
      </c>
      <c r="L20" s="13">
        <f>IFERROR(__xludf.DUMMYFUNCTION("AVERAGE(index(GOOGLEFINANCE(""NSE:""&amp;$A20, ""close"", today()-14, today()-1), , 2))"),"#N/A")</f>
        <v/>
      </c>
      <c r="M20" s="13">
        <f>IFERROR(__xludf.DUMMYFUNCTION("AVERAGE(index(GOOGLEFINANCE(""NSE:""&amp;$A20, ""close"", today()-22, today()-1), , 2))"),"#N/A")</f>
        <v/>
      </c>
      <c r="N20" s="13">
        <f>AG20</f>
        <v/>
      </c>
      <c r="O20" s="13">
        <f>AI20</f>
        <v/>
      </c>
      <c r="P20" s="13">
        <f>W20</f>
        <v/>
      </c>
      <c r="Q20" s="13">
        <f>Y20</f>
        <v/>
      </c>
      <c r="R20" s="15" t="n"/>
      <c r="S20" s="15">
        <f>LEFT(W20,2)&amp;LEFT(Y20,2)</f>
        <v/>
      </c>
      <c r="T20" s="15" t="n"/>
      <c r="U20" s="15">
        <f>IF(K20&lt;L20,1,0)</f>
        <v/>
      </c>
      <c r="V20" s="15">
        <f>IF(H20&gt;I20,1,0)</f>
        <v/>
      </c>
      <c r="W20" s="15">
        <f>IF(SUM(U20:V20)=2,"Anticipatory_Sell","No_Action")</f>
        <v/>
      </c>
      <c r="X20" s="15" t="n"/>
      <c r="Y20" s="15">
        <f>IF(SUM(Z20:AA20)=2,"Confirm_Sell","No_Action")</f>
        <v/>
      </c>
      <c r="Z20" s="15">
        <f>IF(H20&gt;I20,1,0)</f>
        <v/>
      </c>
      <c r="AA20" s="15">
        <f>IF(K20&lt;M20,1,0)</f>
        <v/>
      </c>
      <c r="AB20" s="15" t="n"/>
      <c r="AC20" s="15">
        <f>LEFT(AG20,2)&amp;LEFT(AI20,2)</f>
        <v/>
      </c>
      <c r="AD20" s="15" t="n"/>
      <c r="AE20" s="15">
        <f>IF(K20&gt;L20,1,0)</f>
        <v/>
      </c>
      <c r="AF20" s="16">
        <f>IF(H20&gt;I20,1,0)</f>
        <v/>
      </c>
      <c r="AG20" s="16">
        <f>IF(SUM(AE20:AF20)=2,"Anticipatory_Buy","No_Action")</f>
        <v/>
      </c>
      <c r="AH20" s="15" t="n"/>
      <c r="AI20" s="15">
        <f>IF(SUM(AJ20:AK20)=2,"Confirm_Buy","No_Action")</f>
        <v/>
      </c>
      <c r="AJ20" s="15">
        <f>IF(H20&gt;I20,1,0)</f>
        <v/>
      </c>
      <c r="AK20" s="15">
        <f>IF(K20&gt;M20,1,0)</f>
        <v/>
      </c>
    </row>
    <row r="21" ht="15.75" customHeight="1">
      <c r="A21" s="12" t="inlineStr">
        <is>
          <t>AMBUJACEM</t>
        </is>
      </c>
      <c r="B21" s="13">
        <f>IFERROR(__xludf.DUMMYFUNCTION("GOOGLEFINANCE(""NSE:""&amp;A21,""PRICE"")"),570)</f>
        <v/>
      </c>
      <c r="C21" s="13">
        <f>IFERROR(__xludf.DUMMYFUNCTION("GOOGLEFINANCE(""NSE:""&amp;A21,""PRICEOPEN"")"),568)</f>
        <v/>
      </c>
      <c r="D21" s="13">
        <f>IFERROR(__xludf.DUMMYFUNCTION("GOOGLEFINANCE(""NSE:""&amp;A21,""HIGH"")"),576.75)</f>
        <v/>
      </c>
      <c r="E21" s="13">
        <f>IFERROR(__xludf.DUMMYFUNCTION("GOOGLEFINANCE(""NSE:""&amp;A21,""LOW"")"),565)</f>
        <v/>
      </c>
      <c r="F21" s="13">
        <f>IFERROR(__xludf.DUMMYFUNCTION("GOOGLEFINANCE(""NSE:""&amp;A21,""closeyest"")"),565.3)</f>
        <v/>
      </c>
      <c r="G21" s="14">
        <f>(B21-C21)/B21</f>
        <v/>
      </c>
      <c r="H21" s="13">
        <f>IFERROR(__xludf.DUMMYFUNCTION("GOOGLEFINANCE(""NSE:""&amp;A21,""VOLUME"")"),1156965)</f>
        <v/>
      </c>
      <c r="I21" s="13">
        <f>IFERROR(__xludf.DUMMYFUNCTION("AVERAGE(index(GOOGLEFINANCE(""NSE:""&amp;$A21, ""volume"", today()-21, today()-1), , 2))"),"#N/A")</f>
        <v/>
      </c>
      <c r="J21" s="14">
        <f>(H21-I21)/I21</f>
        <v/>
      </c>
      <c r="K21" s="13">
        <f>IFERROR(__xludf.DUMMYFUNCTION("AVERAGE(index(GOOGLEFINANCE(""NSE:""&amp;$A21, ""close"", today()-6, today()-1), , 2))"),"#N/A")</f>
        <v/>
      </c>
      <c r="L21" s="13">
        <f>IFERROR(__xludf.DUMMYFUNCTION("AVERAGE(index(GOOGLEFINANCE(""NSE:""&amp;$A21, ""close"", today()-14, today()-1), , 2))"),"#N/A")</f>
        <v/>
      </c>
      <c r="M21" s="13">
        <f>IFERROR(__xludf.DUMMYFUNCTION("AVERAGE(index(GOOGLEFINANCE(""NSE:""&amp;$A21, ""close"", today()-22, today()-1), , 2))"),"#N/A")</f>
        <v/>
      </c>
      <c r="N21" s="13">
        <f>AG21</f>
        <v/>
      </c>
      <c r="O21" s="13">
        <f>AI21</f>
        <v/>
      </c>
      <c r="P21" s="13">
        <f>W21</f>
        <v/>
      </c>
      <c r="Q21" s="13">
        <f>Y21</f>
        <v/>
      </c>
      <c r="R21" s="15" t="n"/>
      <c r="S21" s="15">
        <f>LEFT(W21,2)&amp;LEFT(Y21,2)</f>
        <v/>
      </c>
      <c r="T21" s="15" t="n"/>
      <c r="U21" s="15">
        <f>IF(K21&lt;L21,1,0)</f>
        <v/>
      </c>
      <c r="V21" s="15">
        <f>IF(H21&gt;I21,1,0)</f>
        <v/>
      </c>
      <c r="W21" s="15">
        <f>IF(SUM(U21:V21)=2,"Anticipatory_Sell","No_Action")</f>
        <v/>
      </c>
      <c r="X21" s="15" t="n"/>
      <c r="Y21" s="15">
        <f>IF(SUM(Z21:AA21)=2,"Confirm_Sell","No_Action")</f>
        <v/>
      </c>
      <c r="Z21" s="15">
        <f>IF(H21&gt;I21,1,0)</f>
        <v/>
      </c>
      <c r="AA21" s="15">
        <f>IF(K21&lt;M21,1,0)</f>
        <v/>
      </c>
      <c r="AB21" s="15" t="n"/>
      <c r="AC21" s="15">
        <f>LEFT(AG21,2)&amp;LEFT(AI21,2)</f>
        <v/>
      </c>
      <c r="AD21" s="15" t="n"/>
      <c r="AE21" s="15">
        <f>IF(K21&gt;L21,1,0)</f>
        <v/>
      </c>
      <c r="AF21" s="16">
        <f>IF(H21&gt;I21,1,0)</f>
        <v/>
      </c>
      <c r="AG21" s="16">
        <f>IF(SUM(AE21:AF21)=2,"Anticipatory_Buy","No_Action")</f>
        <v/>
      </c>
      <c r="AH21" s="15" t="n"/>
      <c r="AI21" s="15">
        <f>IF(SUM(AJ21:AK21)=2,"Confirm_Buy","No_Action")</f>
        <v/>
      </c>
      <c r="AJ21" s="15">
        <f>IF(H21&gt;I21,1,0)</f>
        <v/>
      </c>
      <c r="AK21" s="15">
        <f>IF(K21&gt;M21,1,0)</f>
        <v/>
      </c>
    </row>
    <row r="22" ht="14.5" customHeight="1">
      <c r="A22" s="12" t="inlineStr">
        <is>
          <t>AWHCL</t>
        </is>
      </c>
      <c r="B22" s="13">
        <f>IFERROR(__xludf.DUMMYFUNCTION("GOOGLEFINANCE(""NSE:""&amp;A22,""PRICE"")"),680.55)</f>
        <v/>
      </c>
      <c r="C22" s="13">
        <f>IFERROR(__xludf.DUMMYFUNCTION("GOOGLEFINANCE(""NSE:""&amp;A22,""PRICEOPEN"")"),684.7)</f>
        <v/>
      </c>
      <c r="D22" s="13">
        <f>IFERROR(__xludf.DUMMYFUNCTION("GOOGLEFINANCE(""NSE:""&amp;A22,""HIGH"")"),699.85)</f>
        <v/>
      </c>
      <c r="E22" s="13">
        <f>IFERROR(__xludf.DUMMYFUNCTION("GOOGLEFINANCE(""NSE:""&amp;A22,""LOW"")"),679)</f>
        <v/>
      </c>
      <c r="F22" s="13">
        <f>IFERROR(__xludf.DUMMYFUNCTION("GOOGLEFINANCE(""NSE:""&amp;A22,""closeyest"")"),678)</f>
        <v/>
      </c>
      <c r="G22" s="14">
        <f>(B22-C22)/B22</f>
        <v/>
      </c>
      <c r="H22" s="13">
        <f>IFERROR(__xludf.DUMMYFUNCTION("GOOGLEFINANCE(""NSE:""&amp;A22,""VOLUME"")"),170566)</f>
        <v/>
      </c>
      <c r="I22" s="13">
        <f>IFERROR(__xludf.DUMMYFUNCTION("AVERAGE(index(GOOGLEFINANCE(""NSE:""&amp;$A22, ""volume"", today()-21, today()-1), , 2))"),"#N/A")</f>
        <v/>
      </c>
      <c r="J22" s="14">
        <f>(H22-I22)/I22</f>
        <v/>
      </c>
      <c r="K22" s="13">
        <f>IFERROR(__xludf.DUMMYFUNCTION("AVERAGE(index(GOOGLEFINANCE(""NSE:""&amp;$A22, ""close"", today()-6, today()-1), , 2))"),"#N/A")</f>
        <v/>
      </c>
      <c r="L22" s="13">
        <f>IFERROR(__xludf.DUMMYFUNCTION("AVERAGE(index(GOOGLEFINANCE(""NSE:""&amp;$A22, ""close"", today()-14, today()-1), , 2))"),"#N/A")</f>
        <v/>
      </c>
      <c r="M22" s="13">
        <f>IFERROR(__xludf.DUMMYFUNCTION("AVERAGE(index(GOOGLEFINANCE(""NSE:""&amp;$A22, ""close"", today()-22, today()-1), , 2))"),"#N/A")</f>
        <v/>
      </c>
      <c r="N22" s="13">
        <f>AG22</f>
        <v/>
      </c>
      <c r="O22" s="13">
        <f>AI22</f>
        <v/>
      </c>
      <c r="P22" s="13">
        <f>W22</f>
        <v/>
      </c>
      <c r="Q22" s="13">
        <f>Y22</f>
        <v/>
      </c>
      <c r="R22" s="15" t="n"/>
      <c r="S22" s="15">
        <f>LEFT(W22,2)&amp;LEFT(Y22,2)</f>
        <v/>
      </c>
      <c r="T22" s="15" t="n"/>
      <c r="U22" s="15">
        <f>IF(K22&lt;L22,1,0)</f>
        <v/>
      </c>
      <c r="V22" s="15">
        <f>IF(H22&gt;I22,1,0)</f>
        <v/>
      </c>
      <c r="W22" s="15">
        <f>IF(SUM(U22:V22)=2,"Anticipatory_Sell","No_Action")</f>
        <v/>
      </c>
      <c r="X22" s="15" t="n"/>
      <c r="Y22" s="15">
        <f>IF(SUM(Z22:AA22)=2,"Confirm_Sell","No_Action")</f>
        <v/>
      </c>
      <c r="Z22" s="15">
        <f>IF(H22&gt;I22,1,0)</f>
        <v/>
      </c>
      <c r="AA22" s="15">
        <f>IF(K22&lt;M22,1,0)</f>
        <v/>
      </c>
      <c r="AB22" s="15" t="n"/>
      <c r="AC22" s="15">
        <f>LEFT(AG22,2)&amp;LEFT(AI22,2)</f>
        <v/>
      </c>
      <c r="AD22" s="15" t="n"/>
      <c r="AE22" s="15">
        <f>IF(K22&gt;L22,1,0)</f>
        <v/>
      </c>
      <c r="AF22" s="16">
        <f>IF(H22&gt;I22,1,0)</f>
        <v/>
      </c>
      <c r="AG22" s="16">
        <f>IF(SUM(AE22:AF22)=2,"Anticipatory_Buy","No_Action")</f>
        <v/>
      </c>
      <c r="AH22" s="15" t="n"/>
      <c r="AI22" s="15">
        <f>IF(SUM(AJ22:AK22)=2,"Confirm_Buy","No_Action")</f>
        <v/>
      </c>
      <c r="AJ22" s="15">
        <f>IF(H22&gt;I22,1,0)</f>
        <v/>
      </c>
      <c r="AK22" s="15">
        <f>IF(K22&gt;M22,1,0)</f>
        <v/>
      </c>
    </row>
    <row r="23" ht="14.5" customHeight="1">
      <c r="A23" s="12" t="inlineStr">
        <is>
          <t>APOLLOHOSP</t>
        </is>
      </c>
      <c r="B23" s="13">
        <f>IFERROR(__xludf.DUMMYFUNCTION("GOOGLEFINANCE(""NSE:""&amp;A23,""PRICE"")"),7203)</f>
        <v/>
      </c>
      <c r="C23" s="13">
        <f>IFERROR(__xludf.DUMMYFUNCTION("GOOGLEFINANCE(""NSE:""&amp;A23,""PRICEOPEN"")"),7162.75)</f>
        <v/>
      </c>
      <c r="D23" s="13">
        <f>IFERROR(__xludf.DUMMYFUNCTION("GOOGLEFINANCE(""NSE:""&amp;A23,""HIGH"")"),7227.95)</f>
        <v/>
      </c>
      <c r="E23" s="13">
        <f>IFERROR(__xludf.DUMMYFUNCTION("GOOGLEFINANCE(""NSE:""&amp;A23,""LOW"")"),7162.75)</f>
        <v/>
      </c>
      <c r="F23" s="13">
        <f>IFERROR(__xludf.DUMMYFUNCTION("GOOGLEFINANCE(""NSE:""&amp;A23,""closeyest"")"),7233.3)</f>
        <v/>
      </c>
      <c r="G23" s="14">
        <f>(B23-C23)/B23</f>
        <v/>
      </c>
      <c r="H23" s="13">
        <f>IFERROR(__xludf.DUMMYFUNCTION("GOOGLEFINANCE(""NSE:""&amp;A23,""VOLUME"")"),203674)</f>
        <v/>
      </c>
      <c r="I23" s="13">
        <f>IFERROR(__xludf.DUMMYFUNCTION("AVERAGE(index(GOOGLEFINANCE(""NSE:""&amp;$A23, ""volume"", today()-21, today()-1), , 2))"),"#N/A")</f>
        <v/>
      </c>
      <c r="J23" s="14">
        <f>(H23-I23)/I23</f>
        <v/>
      </c>
      <c r="K23" s="13">
        <f>IFERROR(__xludf.DUMMYFUNCTION("AVERAGE(index(GOOGLEFINANCE(""NSE:""&amp;$A23, ""close"", today()-6, today()-1), , 2))"),"#N/A")</f>
        <v/>
      </c>
      <c r="L23" s="13">
        <f>IFERROR(__xludf.DUMMYFUNCTION("AVERAGE(index(GOOGLEFINANCE(""NSE:""&amp;$A23, ""close"", today()-14, today()-1), , 2))"),"#N/A")</f>
        <v/>
      </c>
      <c r="M23" s="13">
        <f>IFERROR(__xludf.DUMMYFUNCTION("AVERAGE(index(GOOGLEFINANCE(""NSE:""&amp;$A23, ""close"", today()-22, today()-1), , 2))"),"#N/A")</f>
        <v/>
      </c>
      <c r="N23" s="13">
        <f>AG23</f>
        <v/>
      </c>
      <c r="O23" s="13">
        <f>AI23</f>
        <v/>
      </c>
      <c r="P23" s="13">
        <f>W23</f>
        <v/>
      </c>
      <c r="Q23" s="13">
        <f>Y23</f>
        <v/>
      </c>
      <c r="R23" s="15" t="n"/>
      <c r="S23" s="15">
        <f>LEFT(W23,2)&amp;LEFT(Y23,2)</f>
        <v/>
      </c>
      <c r="T23" s="15" t="n"/>
      <c r="U23" s="15">
        <f>IF(K23&lt;L23,1,0)</f>
        <v/>
      </c>
      <c r="V23" s="15">
        <f>IF(H23&gt;I23,1,0)</f>
        <v/>
      </c>
      <c r="W23" s="15">
        <f>IF(SUM(U23:V23)=2,"Anticipatory_Sell","No_Action")</f>
        <v/>
      </c>
      <c r="X23" s="15" t="n"/>
      <c r="Y23" s="15">
        <f>IF(SUM(Z23:AA23)=2,"Confirm_Sell","No_Action")</f>
        <v/>
      </c>
      <c r="Z23" s="15">
        <f>IF(H23&gt;I23,1,0)</f>
        <v/>
      </c>
      <c r="AA23" s="15">
        <f>IF(K23&lt;M23,1,0)</f>
        <v/>
      </c>
      <c r="AB23" s="15" t="n"/>
      <c r="AC23" s="15">
        <f>LEFT(AG23,2)&amp;LEFT(AI23,2)</f>
        <v/>
      </c>
      <c r="AD23" s="15" t="n"/>
      <c r="AE23" s="15">
        <f>IF(K23&gt;L23,1,0)</f>
        <v/>
      </c>
      <c r="AF23" s="16">
        <f>IF(H23&gt;I23,1,0)</f>
        <v/>
      </c>
      <c r="AG23" s="16">
        <f>IF(SUM(AE23:AF23)=2,"Anticipatory_Buy","No_Action")</f>
        <v/>
      </c>
      <c r="AH23" s="15" t="n"/>
      <c r="AI23" s="15">
        <f>IF(SUM(AJ23:AK23)=2,"Confirm_Buy","No_Action")</f>
        <v/>
      </c>
      <c r="AJ23" s="15">
        <f>IF(H23&gt;I23,1,0)</f>
        <v/>
      </c>
      <c r="AK23" s="15">
        <f>IF(K23&gt;M23,1,0)</f>
        <v/>
      </c>
    </row>
    <row r="24" ht="14.5" customHeight="1">
      <c r="A24" s="12" t="inlineStr">
        <is>
          <t>APOLLOTYRE</t>
        </is>
      </c>
      <c r="B24" s="13">
        <f>IFERROR(__xludf.DUMMYFUNCTION("GOOGLEFINANCE(""NSE:""&amp;A24,""PRICE"")"),547.35)</f>
        <v/>
      </c>
      <c r="C24" s="13">
        <f>IFERROR(__xludf.DUMMYFUNCTION("GOOGLEFINANCE(""NSE:""&amp;A24,""PRICEOPEN"")"),538)</f>
        <v/>
      </c>
      <c r="D24" s="13">
        <f>IFERROR(__xludf.DUMMYFUNCTION("GOOGLEFINANCE(""NSE:""&amp;A24,""HIGH"")"),557)</f>
        <v/>
      </c>
      <c r="E24" s="13">
        <f>IFERROR(__xludf.DUMMYFUNCTION("GOOGLEFINANCE(""NSE:""&amp;A24,""LOW"")"),537.2)</f>
        <v/>
      </c>
      <c r="F24" s="13">
        <f>IFERROR(__xludf.DUMMYFUNCTION("GOOGLEFINANCE(""NSE:""&amp;A24,""closeyest"")"),541.8)</f>
        <v/>
      </c>
      <c r="G24" s="14">
        <f>(B24-C24)/B24</f>
        <v/>
      </c>
      <c r="H24" s="13">
        <f>IFERROR(__xludf.DUMMYFUNCTION("GOOGLEFINANCE(""NSE:""&amp;A24,""VOLUME"")"),1732714)</f>
        <v/>
      </c>
      <c r="I24" s="13">
        <f>IFERROR(__xludf.DUMMYFUNCTION("AVERAGE(index(GOOGLEFINANCE(""NSE:""&amp;$A24, ""volume"", today()-21, today()-1), , 2))"),"#N/A")</f>
        <v/>
      </c>
      <c r="J24" s="14">
        <f>(H24-I24)/I24</f>
        <v/>
      </c>
      <c r="K24" s="13">
        <f>IFERROR(__xludf.DUMMYFUNCTION("AVERAGE(index(GOOGLEFINANCE(""NSE:""&amp;$A24, ""close"", today()-6, today()-1), , 2))"),"#N/A")</f>
        <v/>
      </c>
      <c r="L24" s="13">
        <f>IFERROR(__xludf.DUMMYFUNCTION("AVERAGE(index(GOOGLEFINANCE(""NSE:""&amp;$A24, ""close"", today()-14, today()-1), , 2))"),"#N/A")</f>
        <v/>
      </c>
      <c r="M24" s="13">
        <f>IFERROR(__xludf.DUMMYFUNCTION("AVERAGE(index(GOOGLEFINANCE(""NSE:""&amp;$A24, ""close"", today()-22, today()-1), , 2))"),"#N/A")</f>
        <v/>
      </c>
      <c r="N24" s="13">
        <f>AG24</f>
        <v/>
      </c>
      <c r="O24" s="13">
        <f>AI24</f>
        <v/>
      </c>
      <c r="P24" s="13">
        <f>W24</f>
        <v/>
      </c>
      <c r="Q24" s="13">
        <f>Y24</f>
        <v/>
      </c>
      <c r="R24" s="15" t="n"/>
      <c r="S24" s="15">
        <f>LEFT(W24,2)&amp;LEFT(Y24,2)</f>
        <v/>
      </c>
      <c r="T24" s="15" t="n"/>
      <c r="U24" s="15">
        <f>IF(K24&lt;L24,1,0)</f>
        <v/>
      </c>
      <c r="V24" s="15">
        <f>IF(H24&gt;I24,1,0)</f>
        <v/>
      </c>
      <c r="W24" s="15">
        <f>IF(SUM(U24:V24)=2,"Anticipatory_Sell","No_Action")</f>
        <v/>
      </c>
      <c r="X24" s="15" t="n"/>
      <c r="Y24" s="15">
        <f>IF(SUM(Z24:AA24)=2,"Confirm_Sell","No_Action")</f>
        <v/>
      </c>
      <c r="Z24" s="15">
        <f>IF(H24&gt;I24,1,0)</f>
        <v/>
      </c>
      <c r="AA24" s="15">
        <f>IF(K24&lt;M24,1,0)</f>
        <v/>
      </c>
      <c r="AB24" s="15" t="n"/>
      <c r="AC24" s="15">
        <f>LEFT(AG24,2)&amp;LEFT(AI24,2)</f>
        <v/>
      </c>
      <c r="AD24" s="15" t="n"/>
      <c r="AE24" s="15">
        <f>IF(K24&gt;L24,1,0)</f>
        <v/>
      </c>
      <c r="AF24" s="16">
        <f>IF(H24&gt;I24,1,0)</f>
        <v/>
      </c>
      <c r="AG24" s="16">
        <f>IF(SUM(AE24:AF24)=2,"Anticipatory_Buy","No_Action")</f>
        <v/>
      </c>
      <c r="AH24" s="15" t="n"/>
      <c r="AI24" s="15">
        <f>IF(SUM(AJ24:AK24)=2,"Confirm_Buy","No_Action")</f>
        <v/>
      </c>
      <c r="AJ24" s="15">
        <f>IF(H24&gt;I24,1,0)</f>
        <v/>
      </c>
      <c r="AK24" s="15">
        <f>IF(K24&gt;M24,1,0)</f>
        <v/>
      </c>
    </row>
    <row r="25" ht="14.5" customHeight="1">
      <c r="A25" s="12" t="inlineStr">
        <is>
          <t>APTECHT</t>
        </is>
      </c>
      <c r="B25" s="13">
        <f>IFERROR(__xludf.DUMMYFUNCTION("GOOGLEFINANCE(""NSE:""&amp;A25,""PRICE"")"),181.15)</f>
        <v/>
      </c>
      <c r="C25" s="13">
        <f>IFERROR(__xludf.DUMMYFUNCTION("GOOGLEFINANCE(""NSE:""&amp;A25,""PRICEOPEN"")"),178.2)</f>
        <v/>
      </c>
      <c r="D25" s="13">
        <f>IFERROR(__xludf.DUMMYFUNCTION("GOOGLEFINANCE(""NSE:""&amp;A25,""HIGH"")"),184)</f>
        <v/>
      </c>
      <c r="E25" s="13">
        <f>IFERROR(__xludf.DUMMYFUNCTION("GOOGLEFINANCE(""NSE:""&amp;A25,""LOW"")"),177.96)</f>
        <v/>
      </c>
      <c r="F25" s="13">
        <f>IFERROR(__xludf.DUMMYFUNCTION("GOOGLEFINANCE(""NSE:""&amp;A25,""closeyest"")"),178.2)</f>
        <v/>
      </c>
      <c r="G25" s="14">
        <f>(B25-C25)/B25</f>
        <v/>
      </c>
      <c r="H25" s="13">
        <f>IFERROR(__xludf.DUMMYFUNCTION("GOOGLEFINANCE(""NSE:""&amp;A25,""VOLUME"")"),429400)</f>
        <v/>
      </c>
      <c r="I25" s="13">
        <f>IFERROR(__xludf.DUMMYFUNCTION("AVERAGE(index(GOOGLEFINANCE(""NSE:""&amp;$A25, ""volume"", today()-21, today()-1), , 2))"),"#N/A")</f>
        <v/>
      </c>
      <c r="J25" s="14">
        <f>(H25-I25)/I25</f>
        <v/>
      </c>
      <c r="K25" s="13">
        <f>IFERROR(__xludf.DUMMYFUNCTION("AVERAGE(index(GOOGLEFINANCE(""NSE:""&amp;$A25, ""close"", today()-6, today()-1), , 2))"),"#N/A")</f>
        <v/>
      </c>
      <c r="L25" s="13">
        <f>IFERROR(__xludf.DUMMYFUNCTION("AVERAGE(index(GOOGLEFINANCE(""NSE:""&amp;$A25, ""close"", today()-14, today()-1), , 2))"),"#N/A")</f>
        <v/>
      </c>
      <c r="M25" s="13">
        <f>IFERROR(__xludf.DUMMYFUNCTION("AVERAGE(index(GOOGLEFINANCE(""NSE:""&amp;$A25, ""close"", today()-22, today()-1), , 2))"),"#N/A")</f>
        <v/>
      </c>
      <c r="N25" s="13">
        <f>AG25</f>
        <v/>
      </c>
      <c r="O25" s="13">
        <f>AI25</f>
        <v/>
      </c>
      <c r="P25" s="13">
        <f>W25</f>
        <v/>
      </c>
      <c r="Q25" s="13">
        <f>Y25</f>
        <v/>
      </c>
      <c r="R25" s="15" t="n"/>
      <c r="S25" s="15">
        <f>LEFT(W25,2)&amp;LEFT(Y25,2)</f>
        <v/>
      </c>
      <c r="T25" s="15" t="n"/>
      <c r="U25" s="15">
        <f>IF(K25&lt;L25,1,0)</f>
        <v/>
      </c>
      <c r="V25" s="15">
        <f>IF(H25&gt;I25,1,0)</f>
        <v/>
      </c>
      <c r="W25" s="15">
        <f>IF(SUM(U25:V25)=2,"Anticipatory_Sell","No_Action")</f>
        <v/>
      </c>
      <c r="X25" s="15" t="n"/>
      <c r="Y25" s="15">
        <f>IF(SUM(Z25:AA25)=2,"Confirm_Sell","No_Action")</f>
        <v/>
      </c>
      <c r="Z25" s="15">
        <f>IF(H25&gt;I25,1,0)</f>
        <v/>
      </c>
      <c r="AA25" s="15">
        <f>IF(K25&lt;M25,1,0)</f>
        <v/>
      </c>
      <c r="AB25" s="15" t="n"/>
      <c r="AC25" s="15">
        <f>LEFT(AG25,2)&amp;LEFT(AI25,2)</f>
        <v/>
      </c>
      <c r="AD25" s="15" t="n"/>
      <c r="AE25" s="15">
        <f>IF(K25&gt;L25,1,0)</f>
        <v/>
      </c>
      <c r="AF25" s="16">
        <f>IF(H25&gt;I25,1,0)</f>
        <v/>
      </c>
      <c r="AG25" s="16">
        <f>IF(SUM(AE25:AF25)=2,"Anticipatory_Buy","No_Action")</f>
        <v/>
      </c>
      <c r="AH25" s="15" t="n"/>
      <c r="AI25" s="15">
        <f>IF(SUM(AJ25:AK25)=2,"Confirm_Buy","No_Action")</f>
        <v/>
      </c>
      <c r="AJ25" s="15">
        <f>IF(H25&gt;I25,1,0)</f>
        <v/>
      </c>
      <c r="AK25" s="15">
        <f>IF(K25&gt;M25,1,0)</f>
        <v/>
      </c>
    </row>
    <row r="26" ht="14.5" customHeight="1">
      <c r="A26" s="12" t="inlineStr">
        <is>
          <t>APTUS</t>
        </is>
      </c>
      <c r="B26" s="13">
        <f>IFERROR(__xludf.DUMMYFUNCTION("GOOGLEFINANCE(""NSE:""&amp;A26,""PRICE"")"),320)</f>
        <v/>
      </c>
      <c r="C26" s="13">
        <f>IFERROR(__xludf.DUMMYFUNCTION("GOOGLEFINANCE(""NSE:""&amp;A26,""PRICEOPEN"")"),326.75)</f>
        <v/>
      </c>
      <c r="D26" s="13">
        <f>IFERROR(__xludf.DUMMYFUNCTION("GOOGLEFINANCE(""NSE:""&amp;A26,""HIGH"")"),329.5)</f>
        <v/>
      </c>
      <c r="E26" s="13">
        <f>IFERROR(__xludf.DUMMYFUNCTION("GOOGLEFINANCE(""NSE:""&amp;A26,""LOW"")"),319.25)</f>
        <v/>
      </c>
      <c r="F26" s="13">
        <f>IFERROR(__xludf.DUMMYFUNCTION("GOOGLEFINANCE(""NSE:""&amp;A26,""closeyest"")"),325.3)</f>
        <v/>
      </c>
      <c r="G26" s="14">
        <f>(B26-C26)/B26</f>
        <v/>
      </c>
      <c r="H26" s="13">
        <f>IFERROR(__xludf.DUMMYFUNCTION("GOOGLEFINANCE(""NSE:""&amp;A26,""VOLUME"")"),657145)</f>
        <v/>
      </c>
      <c r="I26" s="13">
        <f>IFERROR(__xludf.DUMMYFUNCTION("AVERAGE(index(GOOGLEFINANCE(""NSE:""&amp;$A26, ""volume"", today()-21, today()-1), , 2))"),"#N/A")</f>
        <v/>
      </c>
      <c r="J26" s="14">
        <f>(H26-I26)/I26</f>
        <v/>
      </c>
      <c r="K26" s="13">
        <f>IFERROR(__xludf.DUMMYFUNCTION("AVERAGE(index(GOOGLEFINANCE(""NSE:""&amp;$A26, ""close"", today()-6, today()-1), , 2))"),"#N/A")</f>
        <v/>
      </c>
      <c r="L26" s="13">
        <f>IFERROR(__xludf.DUMMYFUNCTION("AVERAGE(index(GOOGLEFINANCE(""NSE:""&amp;$A26, ""close"", today()-14, today()-1), , 2))"),"#N/A")</f>
        <v/>
      </c>
      <c r="M26" s="13">
        <f>IFERROR(__xludf.DUMMYFUNCTION("AVERAGE(index(GOOGLEFINANCE(""NSE:""&amp;$A26, ""close"", today()-22, today()-1), , 2))"),"#N/A")</f>
        <v/>
      </c>
      <c r="N26" s="13">
        <f>AG26</f>
        <v/>
      </c>
      <c r="O26" s="13">
        <f>AI26</f>
        <v/>
      </c>
      <c r="P26" s="13">
        <f>W26</f>
        <v/>
      </c>
      <c r="Q26" s="13">
        <f>Y26</f>
        <v/>
      </c>
      <c r="R26" s="15" t="n"/>
      <c r="S26" s="15">
        <f>LEFT(W26,2)&amp;LEFT(Y26,2)</f>
        <v/>
      </c>
      <c r="T26" s="15" t="n"/>
      <c r="U26" s="15">
        <f>IF(K26&lt;L26,1,0)</f>
        <v/>
      </c>
      <c r="V26" s="15">
        <f>IF(H26&gt;I26,1,0)</f>
        <v/>
      </c>
      <c r="W26" s="15">
        <f>IF(SUM(U26:V26)=2,"Anticipatory_Sell","No_Action")</f>
        <v/>
      </c>
      <c r="X26" s="15" t="n"/>
      <c r="Y26" s="15">
        <f>IF(SUM(Z26:AA26)=2,"Confirm_Sell","No_Action")</f>
        <v/>
      </c>
      <c r="Z26" s="15">
        <f>IF(H26&gt;I26,1,0)</f>
        <v/>
      </c>
      <c r="AA26" s="15">
        <f>IF(K26&lt;M26,1,0)</f>
        <v/>
      </c>
      <c r="AB26" s="15" t="n"/>
      <c r="AC26" s="15">
        <f>LEFT(AG26,2)&amp;LEFT(AI26,2)</f>
        <v/>
      </c>
      <c r="AD26" s="15" t="n"/>
      <c r="AE26" s="15">
        <f>IF(K26&gt;L26,1,0)</f>
        <v/>
      </c>
      <c r="AF26" s="16">
        <f>IF(H26&gt;I26,1,0)</f>
        <v/>
      </c>
      <c r="AG26" s="16">
        <f>IF(SUM(AE26:AF26)=2,"Anticipatory_Buy","No_Action")</f>
        <v/>
      </c>
      <c r="AH26" s="15" t="n"/>
      <c r="AI26" s="15">
        <f>IF(SUM(AJ26:AK26)=2,"Confirm_Buy","No_Action")</f>
        <v/>
      </c>
      <c r="AJ26" s="15">
        <f>IF(H26&gt;I26,1,0)</f>
        <v/>
      </c>
      <c r="AK26" s="15">
        <f>IF(K26&gt;M26,1,0)</f>
        <v/>
      </c>
    </row>
    <row r="27" ht="14.5" customHeight="1">
      <c r="A27" s="12" t="inlineStr">
        <is>
          <t>ACI</t>
        </is>
      </c>
      <c r="B27" s="13">
        <f>IFERROR(__xludf.DUMMYFUNCTION("GOOGLEFINANCE(""NSE:""&amp;A27,""PRICE"")"),700.65)</f>
        <v/>
      </c>
      <c r="C27" s="13">
        <f>IFERROR(__xludf.DUMMYFUNCTION("GOOGLEFINANCE(""NSE:""&amp;A27,""PRICEOPEN"")"),694)</f>
        <v/>
      </c>
      <c r="D27" s="13">
        <f>IFERROR(__xludf.DUMMYFUNCTION("GOOGLEFINANCE(""NSE:""&amp;A27,""HIGH"")"),702.9)</f>
        <v/>
      </c>
      <c r="E27" s="13">
        <f>IFERROR(__xludf.DUMMYFUNCTION("GOOGLEFINANCE(""NSE:""&amp;A27,""LOW"")"),691.35)</f>
        <v/>
      </c>
      <c r="F27" s="13">
        <f>IFERROR(__xludf.DUMMYFUNCTION("GOOGLEFINANCE(""NSE:""&amp;A27,""closeyest"")"),695.5)</f>
        <v/>
      </c>
      <c r="G27" s="14">
        <f>(B27-C27)/B27</f>
        <v/>
      </c>
      <c r="H27" s="13">
        <f>IFERROR(__xludf.DUMMYFUNCTION("GOOGLEFINANCE(""NSE:""&amp;A27,""VOLUME"")"),159761)</f>
        <v/>
      </c>
      <c r="I27" s="13">
        <f>IFERROR(__xludf.DUMMYFUNCTION("AVERAGE(index(GOOGLEFINANCE(""NSE:""&amp;$A27, ""volume"", today()-21, today()-1), , 2))"),"#N/A")</f>
        <v/>
      </c>
      <c r="J27" s="14">
        <f>(H27-I27)/I27</f>
        <v/>
      </c>
      <c r="K27" s="13">
        <f>IFERROR(__xludf.DUMMYFUNCTION("AVERAGE(index(GOOGLEFINANCE(""NSE:""&amp;$A27, ""close"", today()-6, today()-1), , 2))"),"#N/A")</f>
        <v/>
      </c>
      <c r="L27" s="13">
        <f>IFERROR(__xludf.DUMMYFUNCTION("AVERAGE(index(GOOGLEFINANCE(""NSE:""&amp;$A27, ""close"", today()-14, today()-1), , 2))"),"#N/A")</f>
        <v/>
      </c>
      <c r="M27" s="13">
        <f>IFERROR(__xludf.DUMMYFUNCTION("AVERAGE(index(GOOGLEFINANCE(""NSE:""&amp;$A27, ""close"", today()-22, today()-1), , 2))"),"#N/A")</f>
        <v/>
      </c>
      <c r="N27" s="13">
        <f>AG27</f>
        <v/>
      </c>
      <c r="O27" s="13">
        <f>AI27</f>
        <v/>
      </c>
      <c r="P27" s="13">
        <f>W27</f>
        <v/>
      </c>
      <c r="Q27" s="13">
        <f>Y27</f>
        <v/>
      </c>
      <c r="R27" s="15" t="n"/>
      <c r="S27" s="15">
        <f>LEFT(W27,2)&amp;LEFT(Y27,2)</f>
        <v/>
      </c>
      <c r="T27" s="15" t="n"/>
      <c r="U27" s="15">
        <f>IF(K27&lt;L27,1,0)</f>
        <v/>
      </c>
      <c r="V27" s="15">
        <f>IF(H27&gt;I27,1,0)</f>
        <v/>
      </c>
      <c r="W27" s="15">
        <f>IF(SUM(U27:V27)=2,"Anticipatory_Sell","No_Action")</f>
        <v/>
      </c>
      <c r="X27" s="15" t="n"/>
      <c r="Y27" s="15">
        <f>IF(SUM(Z27:AA27)=2,"Confirm_Sell","No_Action")</f>
        <v/>
      </c>
      <c r="Z27" s="15">
        <f>IF(H27&gt;I27,1,0)</f>
        <v/>
      </c>
      <c r="AA27" s="15">
        <f>IF(K27&lt;M27,1,0)</f>
        <v/>
      </c>
      <c r="AB27" s="15" t="n"/>
      <c r="AC27" s="15">
        <f>LEFT(AG27,2)&amp;LEFT(AI27,2)</f>
        <v/>
      </c>
      <c r="AD27" s="15" t="n"/>
      <c r="AE27" s="15">
        <f>IF(K27&gt;L27,1,0)</f>
        <v/>
      </c>
      <c r="AF27" s="16">
        <f>IF(H27&gt;I27,1,0)</f>
        <v/>
      </c>
      <c r="AG27" s="16">
        <f>IF(SUM(AE27:AF27)=2,"Anticipatory_Buy","No_Action")</f>
        <v/>
      </c>
      <c r="AH27" s="15" t="n"/>
      <c r="AI27" s="15">
        <f>IF(SUM(AJ27:AK27)=2,"Confirm_Buy","No_Action")</f>
        <v/>
      </c>
      <c r="AJ27" s="15">
        <f>IF(H27&gt;I27,1,0)</f>
        <v/>
      </c>
      <c r="AK27" s="15">
        <f>IF(K27&gt;M27,1,0)</f>
        <v/>
      </c>
    </row>
    <row r="28" ht="14.5" customHeight="1">
      <c r="A28" s="12" t="inlineStr">
        <is>
          <t>ARMANFIN</t>
        </is>
      </c>
      <c r="B28" s="13">
        <f>IFERROR(__xludf.DUMMYFUNCTION("GOOGLEFINANCE(""NSE:""&amp;A28,""PRICE"")"),1362.6)</f>
        <v/>
      </c>
      <c r="C28" s="13">
        <f>IFERROR(__xludf.DUMMYFUNCTION("GOOGLEFINANCE(""NSE:""&amp;A28,""PRICEOPEN"")"),1362.25)</f>
        <v/>
      </c>
      <c r="D28" s="13">
        <f>IFERROR(__xludf.DUMMYFUNCTION("GOOGLEFINANCE(""NSE:""&amp;A28,""HIGH"")"),1398.95)</f>
        <v/>
      </c>
      <c r="E28" s="13">
        <f>IFERROR(__xludf.DUMMYFUNCTION("GOOGLEFINANCE(""NSE:""&amp;A28,""LOW"")"),1354.15)</f>
        <v/>
      </c>
      <c r="F28" s="13">
        <f>IFERROR(__xludf.DUMMYFUNCTION("GOOGLEFINANCE(""NSE:""&amp;A28,""closeyest"")"),1362.25)</f>
        <v/>
      </c>
      <c r="G28" s="14">
        <f>(B28-C28)/B28</f>
        <v/>
      </c>
      <c r="H28" s="13">
        <f>IFERROR(__xludf.DUMMYFUNCTION("GOOGLEFINANCE(""NSE:""&amp;A28,""VOLUME"")"),25694)</f>
        <v/>
      </c>
      <c r="I28" s="13">
        <f>IFERROR(__xludf.DUMMYFUNCTION("AVERAGE(index(GOOGLEFINANCE(""NSE:""&amp;$A28, ""volume"", today()-21, today()-1), , 2))"),"#N/A")</f>
        <v/>
      </c>
      <c r="J28" s="14">
        <f>(H28-I28)/I28</f>
        <v/>
      </c>
      <c r="K28" s="13">
        <f>IFERROR(__xludf.DUMMYFUNCTION("AVERAGE(index(GOOGLEFINANCE(""NSE:""&amp;$A28, ""close"", today()-6, today()-1), , 2))"),"#N/A")</f>
        <v/>
      </c>
      <c r="L28" s="13">
        <f>IFERROR(__xludf.DUMMYFUNCTION("AVERAGE(index(GOOGLEFINANCE(""NSE:""&amp;$A28, ""close"", today()-14, today()-1), , 2))"),"#N/A")</f>
        <v/>
      </c>
      <c r="M28" s="13">
        <f>IFERROR(__xludf.DUMMYFUNCTION("AVERAGE(index(GOOGLEFINANCE(""NSE:""&amp;$A28, ""close"", today()-22, today()-1), , 2))"),"#N/A")</f>
        <v/>
      </c>
      <c r="N28" s="13">
        <f>AG28</f>
        <v/>
      </c>
      <c r="O28" s="13">
        <f>AI28</f>
        <v/>
      </c>
      <c r="P28" s="13">
        <f>W28</f>
        <v/>
      </c>
      <c r="Q28" s="13">
        <f>Y28</f>
        <v/>
      </c>
      <c r="R28" s="15" t="n"/>
      <c r="S28" s="15">
        <f>LEFT(W28,2)&amp;LEFT(Y28,2)</f>
        <v/>
      </c>
      <c r="T28" s="15" t="n"/>
      <c r="U28" s="15">
        <f>IF(K28&lt;L28,1,0)</f>
        <v/>
      </c>
      <c r="V28" s="15">
        <f>IF(H28&gt;I28,1,0)</f>
        <v/>
      </c>
      <c r="W28" s="15">
        <f>IF(SUM(U28:V28)=2,"Anticipatory_Sell","No_Action")</f>
        <v/>
      </c>
      <c r="X28" s="15" t="n"/>
      <c r="Y28" s="15">
        <f>IF(SUM(Z28:AA28)=2,"Confirm_Sell","No_Action")</f>
        <v/>
      </c>
      <c r="Z28" s="15">
        <f>IF(H28&gt;I28,1,0)</f>
        <v/>
      </c>
      <c r="AA28" s="15">
        <f>IF(K28&lt;M28,1,0)</f>
        <v/>
      </c>
      <c r="AB28" s="15" t="n"/>
      <c r="AC28" s="15">
        <f>LEFT(AG28,2)&amp;LEFT(AI28,2)</f>
        <v/>
      </c>
      <c r="AD28" s="15" t="n"/>
      <c r="AE28" s="15">
        <f>IF(K28&gt;L28,1,0)</f>
        <v/>
      </c>
      <c r="AF28" s="16">
        <f>IF(H28&gt;I28,1,0)</f>
        <v/>
      </c>
      <c r="AG28" s="16">
        <f>IF(SUM(AE28:AF28)=2,"Anticipatory_Buy","No_Action")</f>
        <v/>
      </c>
      <c r="AH28" s="15" t="n"/>
      <c r="AI28" s="15">
        <f>IF(SUM(AJ28:AK28)=2,"Confirm_Buy","No_Action")</f>
        <v/>
      </c>
      <c r="AJ28" s="15">
        <f>IF(H28&gt;I28,1,0)</f>
        <v/>
      </c>
      <c r="AK28" s="15">
        <f>IF(K28&gt;M28,1,0)</f>
        <v/>
      </c>
    </row>
    <row r="29" ht="14.5" customHeight="1">
      <c r="A29" s="12" t="inlineStr">
        <is>
          <t>ASAHIINDIA</t>
        </is>
      </c>
      <c r="B29" s="13">
        <f>IFERROR(__xludf.DUMMYFUNCTION("GOOGLEFINANCE(""NSE:""&amp;A29,""PRICE"")"),746.5)</f>
        <v/>
      </c>
      <c r="C29" s="13">
        <f>IFERROR(__xludf.DUMMYFUNCTION("GOOGLEFINANCE(""NSE:""&amp;A29,""PRICEOPEN"")"),742.85)</f>
        <v/>
      </c>
      <c r="D29" s="13">
        <f>IFERROR(__xludf.DUMMYFUNCTION("GOOGLEFINANCE(""NSE:""&amp;A29,""HIGH"")"),767.5)</f>
        <v/>
      </c>
      <c r="E29" s="13">
        <f>IFERROR(__xludf.DUMMYFUNCTION("GOOGLEFINANCE(""NSE:""&amp;A29,""LOW"")"),740)</f>
        <v/>
      </c>
      <c r="F29" s="13">
        <f>IFERROR(__xludf.DUMMYFUNCTION("GOOGLEFINANCE(""NSE:""&amp;A29,""closeyest"")"),749.15)</f>
        <v/>
      </c>
      <c r="G29" s="14">
        <f>(B29-C29)/B29</f>
        <v/>
      </c>
      <c r="H29" s="13">
        <f>IFERROR(__xludf.DUMMYFUNCTION("GOOGLEFINANCE(""NSE:""&amp;A29,""VOLUME"")"),233584)</f>
        <v/>
      </c>
      <c r="I29" s="13">
        <f>IFERROR(__xludf.DUMMYFUNCTION("AVERAGE(index(GOOGLEFINANCE(""NSE:""&amp;$A29, ""volume"", today()-21, today()-1), , 2))"),"#N/A")</f>
        <v/>
      </c>
      <c r="J29" s="14">
        <f>(H29-I29)/I29</f>
        <v/>
      </c>
      <c r="K29" s="13">
        <f>IFERROR(__xludf.DUMMYFUNCTION("AVERAGE(index(GOOGLEFINANCE(""NSE:""&amp;$A29, ""close"", today()-6, today()-1), , 2))"),"#N/A")</f>
        <v/>
      </c>
      <c r="L29" s="13">
        <f>IFERROR(__xludf.DUMMYFUNCTION("AVERAGE(index(GOOGLEFINANCE(""NSE:""&amp;$A29, ""close"", today()-14, today()-1), , 2))"),"#N/A")</f>
        <v/>
      </c>
      <c r="M29" s="13">
        <f>IFERROR(__xludf.DUMMYFUNCTION("AVERAGE(index(GOOGLEFINANCE(""NSE:""&amp;$A29, ""close"", today()-22, today()-1), , 2))"),"#N/A")</f>
        <v/>
      </c>
      <c r="N29" s="13">
        <f>AG29</f>
        <v/>
      </c>
      <c r="O29" s="13">
        <f>AI29</f>
        <v/>
      </c>
      <c r="P29" s="13">
        <f>W29</f>
        <v/>
      </c>
      <c r="Q29" s="13">
        <f>Y29</f>
        <v/>
      </c>
      <c r="R29" s="15" t="n"/>
      <c r="S29" s="15">
        <f>LEFT(W29,2)&amp;LEFT(Y29,2)</f>
        <v/>
      </c>
      <c r="T29" s="15" t="n"/>
      <c r="U29" s="15">
        <f>IF(K29&lt;L29,1,0)</f>
        <v/>
      </c>
      <c r="V29" s="15">
        <f>IF(H29&gt;I29,1,0)</f>
        <v/>
      </c>
      <c r="W29" s="15">
        <f>IF(SUM(U29:V29)=2,"Anticipatory_Sell","No_Action")</f>
        <v/>
      </c>
      <c r="X29" s="15" t="n"/>
      <c r="Y29" s="15">
        <f>IF(SUM(Z29:AA29)=2,"Confirm_Sell","No_Action")</f>
        <v/>
      </c>
      <c r="Z29" s="15">
        <f>IF(H29&gt;I29,1,0)</f>
        <v/>
      </c>
      <c r="AA29" s="15">
        <f>IF(K29&lt;M29,1,0)</f>
        <v/>
      </c>
      <c r="AB29" s="15" t="n"/>
      <c r="AC29" s="15">
        <f>LEFT(AG29,2)&amp;LEFT(AI29,2)</f>
        <v/>
      </c>
      <c r="AD29" s="15" t="n"/>
      <c r="AE29" s="15">
        <f>IF(K29&gt;L29,1,0)</f>
        <v/>
      </c>
      <c r="AF29" s="16">
        <f>IF(H29&gt;I29,1,0)</f>
        <v/>
      </c>
      <c r="AG29" s="16">
        <f>IF(SUM(AE29:AF29)=2,"Anticipatory_Buy","No_Action")</f>
        <v/>
      </c>
      <c r="AH29" s="15" t="n"/>
      <c r="AI29" s="15">
        <f>IF(SUM(AJ29:AK29)=2,"Confirm_Buy","No_Action")</f>
        <v/>
      </c>
      <c r="AJ29" s="15">
        <f>IF(H29&gt;I29,1,0)</f>
        <v/>
      </c>
      <c r="AK29" s="15">
        <f>IF(K29&gt;M29,1,0)</f>
        <v/>
      </c>
    </row>
    <row r="30" ht="14.5" customHeight="1">
      <c r="A30" s="12" t="inlineStr">
        <is>
          <t>ASIANPAINT</t>
        </is>
      </c>
      <c r="B30" s="13">
        <f>IFERROR(__xludf.DUMMYFUNCTION("GOOGLEFINANCE(""NSE:""&amp;A30,""PRICE"")"),2392.9)</f>
        <v/>
      </c>
      <c r="C30" s="13">
        <f>IFERROR(__xludf.DUMMYFUNCTION("GOOGLEFINANCE(""NSE:""&amp;A30,""PRICEOPEN"")"),2438.15)</f>
        <v/>
      </c>
      <c r="D30" s="13">
        <f>IFERROR(__xludf.DUMMYFUNCTION("GOOGLEFINANCE(""NSE:""&amp;A30,""HIGH"")"),2439)</f>
        <v/>
      </c>
      <c r="E30" s="13">
        <f>IFERROR(__xludf.DUMMYFUNCTION("GOOGLEFINANCE(""NSE:""&amp;A30,""LOW"")"),2387)</f>
        <v/>
      </c>
      <c r="F30" s="13">
        <f>IFERROR(__xludf.DUMMYFUNCTION("GOOGLEFINANCE(""NSE:""&amp;A30,""closeyest"")"),2429.7)</f>
        <v/>
      </c>
      <c r="G30" s="14">
        <f>(B30-C30)/B30</f>
        <v/>
      </c>
      <c r="H30" s="13">
        <f>IFERROR(__xludf.DUMMYFUNCTION("GOOGLEFINANCE(""NSE:""&amp;A30,""VOLUME"")"),2301291)</f>
        <v/>
      </c>
      <c r="I30" s="13">
        <f>IFERROR(__xludf.DUMMYFUNCTION("AVERAGE(index(GOOGLEFINANCE(""NSE:""&amp;$A30, ""volume"", today()-21, today()-1), , 2))"),"#N/A")</f>
        <v/>
      </c>
      <c r="J30" s="14">
        <f>(H30-I30)/I30</f>
        <v/>
      </c>
      <c r="K30" s="13">
        <f>IFERROR(__xludf.DUMMYFUNCTION("AVERAGE(index(GOOGLEFINANCE(""NSE:""&amp;$A30, ""close"", today()-6, today()-1), , 2))"),"#N/A")</f>
        <v/>
      </c>
      <c r="L30" s="13">
        <f>IFERROR(__xludf.DUMMYFUNCTION("AVERAGE(index(GOOGLEFINANCE(""NSE:""&amp;$A30, ""close"", today()-14, today()-1), , 2))"),"#N/A")</f>
        <v/>
      </c>
      <c r="M30" s="13">
        <f>IFERROR(__xludf.DUMMYFUNCTION("AVERAGE(index(GOOGLEFINANCE(""NSE:""&amp;$A30, ""close"", today()-22, today()-1), , 2))"),"#N/A")</f>
        <v/>
      </c>
      <c r="N30" s="13">
        <f>AG30</f>
        <v/>
      </c>
      <c r="O30" s="13">
        <f>AI30</f>
        <v/>
      </c>
      <c r="P30" s="13">
        <f>W30</f>
        <v/>
      </c>
      <c r="Q30" s="13">
        <f>Y30</f>
        <v/>
      </c>
      <c r="R30" s="15" t="n"/>
      <c r="S30" s="15">
        <f>LEFT(W30,2)&amp;LEFT(Y30,2)</f>
        <v/>
      </c>
      <c r="T30" s="15" t="n"/>
      <c r="U30" s="15">
        <f>IF(K30&lt;L30,1,0)</f>
        <v/>
      </c>
      <c r="V30" s="15">
        <f>IF(H30&gt;I30,1,0)</f>
        <v/>
      </c>
      <c r="W30" s="15">
        <f>IF(SUM(U30:V30)=2,"Anticipatory_Sell","No_Action")</f>
        <v/>
      </c>
      <c r="X30" s="15" t="n"/>
      <c r="Y30" s="15">
        <f>IF(SUM(Z30:AA30)=2,"Confirm_Sell","No_Action")</f>
        <v/>
      </c>
      <c r="Z30" s="15">
        <f>IF(H30&gt;I30,1,0)</f>
        <v/>
      </c>
      <c r="AA30" s="15">
        <f>IF(K30&lt;M30,1,0)</f>
        <v/>
      </c>
      <c r="AB30" s="15" t="n"/>
      <c r="AC30" s="15">
        <f>LEFT(AG30,2)&amp;LEFT(AI30,2)</f>
        <v/>
      </c>
      <c r="AD30" s="15" t="n"/>
      <c r="AE30" s="15">
        <f>IF(K30&gt;L30,1,0)</f>
        <v/>
      </c>
      <c r="AF30" s="16">
        <f>IF(H30&gt;I30,1,0)</f>
        <v/>
      </c>
      <c r="AG30" s="16">
        <f>IF(SUM(AE30:AF30)=2,"Anticipatory_Buy","No_Action")</f>
        <v/>
      </c>
      <c r="AH30" s="15" t="n"/>
      <c r="AI30" s="15">
        <f>IF(SUM(AJ30:AK30)=2,"Confirm_Buy","No_Action")</f>
        <v/>
      </c>
      <c r="AJ30" s="15">
        <f>IF(H30&gt;I30,1,0)</f>
        <v/>
      </c>
      <c r="AK30" s="15">
        <f>IF(K30&gt;M30,1,0)</f>
        <v/>
      </c>
    </row>
    <row r="31" ht="14.5" customHeight="1">
      <c r="A31" s="12" t="inlineStr">
        <is>
          <t>ASTRAMICRO</t>
        </is>
      </c>
      <c r="B31" s="13">
        <f>IFERROR(__xludf.DUMMYFUNCTION("GOOGLEFINANCE(""NSE:""&amp;A31,""PRICE"")"),793.1)</f>
        <v/>
      </c>
      <c r="C31" s="13">
        <f>IFERROR(__xludf.DUMMYFUNCTION("GOOGLEFINANCE(""NSE:""&amp;A31,""PRICEOPEN"")"),797)</f>
        <v/>
      </c>
      <c r="D31" s="13">
        <f>IFERROR(__xludf.DUMMYFUNCTION("GOOGLEFINANCE(""NSE:""&amp;A31,""HIGH"")"),807.1)</f>
        <v/>
      </c>
      <c r="E31" s="13">
        <f>IFERROR(__xludf.DUMMYFUNCTION("GOOGLEFINANCE(""NSE:""&amp;A31,""LOW"")"),793)</f>
        <v/>
      </c>
      <c r="F31" s="13">
        <f>IFERROR(__xludf.DUMMYFUNCTION("GOOGLEFINANCE(""NSE:""&amp;A31,""closeyest"")"),796.9)</f>
        <v/>
      </c>
      <c r="G31" s="14">
        <f>(B31-C31)/B31</f>
        <v/>
      </c>
      <c r="H31" s="13">
        <f>IFERROR(__xludf.DUMMYFUNCTION("GOOGLEFINANCE(""NSE:""&amp;A31,""VOLUME"")"),132996)</f>
        <v/>
      </c>
      <c r="I31" s="13">
        <f>IFERROR(__xludf.DUMMYFUNCTION("AVERAGE(index(GOOGLEFINANCE(""NSE:""&amp;$A31, ""volume"", today()-21, today()-1), , 2))"),"#N/A")</f>
        <v/>
      </c>
      <c r="J31" s="14">
        <f>(H31-I31)/I31</f>
        <v/>
      </c>
      <c r="K31" s="13">
        <f>IFERROR(__xludf.DUMMYFUNCTION("AVERAGE(index(GOOGLEFINANCE(""NSE:""&amp;$A31, ""close"", today()-6, today()-1), , 2))"),"#N/A")</f>
        <v/>
      </c>
      <c r="L31" s="13">
        <f>IFERROR(__xludf.DUMMYFUNCTION("AVERAGE(index(GOOGLEFINANCE(""NSE:""&amp;$A31, ""close"", today()-14, today()-1), , 2))"),"#N/A")</f>
        <v/>
      </c>
      <c r="M31" s="13">
        <f>IFERROR(__xludf.DUMMYFUNCTION("AVERAGE(index(GOOGLEFINANCE(""NSE:""&amp;$A31, ""close"", today()-22, today()-1), , 2))"),"#N/A")</f>
        <v/>
      </c>
      <c r="N31" s="13">
        <f>AG31</f>
        <v/>
      </c>
      <c r="O31" s="13">
        <f>AI31</f>
        <v/>
      </c>
      <c r="P31" s="13">
        <f>W31</f>
        <v/>
      </c>
      <c r="Q31" s="13">
        <f>Y31</f>
        <v/>
      </c>
      <c r="R31" s="15" t="n"/>
      <c r="S31" s="15">
        <f>LEFT(W31,2)&amp;LEFT(Y31,2)</f>
        <v/>
      </c>
      <c r="T31" s="15" t="n"/>
      <c r="U31" s="15">
        <f>IF(K31&lt;L31,1,0)</f>
        <v/>
      </c>
      <c r="V31" s="15">
        <f>IF(H31&gt;I31,1,0)</f>
        <v/>
      </c>
      <c r="W31" s="15">
        <f>IF(SUM(U31:V31)=2,"Anticipatory_Sell","No_Action")</f>
        <v/>
      </c>
      <c r="X31" s="15" t="n"/>
      <c r="Y31" s="15">
        <f>IF(SUM(Z31:AA31)=2,"Confirm_Sell","No_Action")</f>
        <v/>
      </c>
      <c r="Z31" s="15">
        <f>IF(H31&gt;I31,1,0)</f>
        <v/>
      </c>
      <c r="AA31" s="15">
        <f>IF(K31&lt;M31,1,0)</f>
        <v/>
      </c>
      <c r="AB31" s="15" t="n"/>
      <c r="AC31" s="15">
        <f>LEFT(AG31,2)&amp;LEFT(AI31,2)</f>
        <v/>
      </c>
      <c r="AD31" s="15" t="n"/>
      <c r="AE31" s="15">
        <f>IF(K31&gt;L31,1,0)</f>
        <v/>
      </c>
      <c r="AF31" s="16">
        <f>IF(H31&gt;I31,1,0)</f>
        <v/>
      </c>
      <c r="AG31" s="16">
        <f>IF(SUM(AE31:AF31)=2,"Anticipatory_Buy","No_Action")</f>
        <v/>
      </c>
      <c r="AH31" s="15" t="n"/>
      <c r="AI31" s="15">
        <f>IF(SUM(AJ31:AK31)=2,"Confirm_Buy","No_Action")</f>
        <v/>
      </c>
      <c r="AJ31" s="15">
        <f>IF(H31&gt;I31,1,0)</f>
        <v/>
      </c>
      <c r="AK31" s="15">
        <f>IF(K31&gt;M31,1,0)</f>
        <v/>
      </c>
    </row>
    <row r="32" ht="14.5" customHeight="1">
      <c r="A32" s="12" t="inlineStr">
        <is>
          <t>ASTRAL</t>
        </is>
      </c>
      <c r="B32" s="13">
        <f>IFERROR(__xludf.DUMMYFUNCTION("GOOGLEFINANCE(""NSE:""&amp;A32,""PRICE"")"),1849)</f>
        <v/>
      </c>
      <c r="C32" s="13">
        <f>IFERROR(__xludf.DUMMYFUNCTION("GOOGLEFINANCE(""NSE:""&amp;A32,""PRICEOPEN"")"),1849)</f>
        <v/>
      </c>
      <c r="D32" s="13">
        <f>IFERROR(__xludf.DUMMYFUNCTION("GOOGLEFINANCE(""NSE:""&amp;A32,""HIGH"")"),1858.8)</f>
        <v/>
      </c>
      <c r="E32" s="13">
        <f>IFERROR(__xludf.DUMMYFUNCTION("GOOGLEFINANCE(""NSE:""&amp;A32,""LOW"")"),1832)</f>
        <v/>
      </c>
      <c r="F32" s="13">
        <f>IFERROR(__xludf.DUMMYFUNCTION("GOOGLEFINANCE(""NSE:""&amp;A32,""closeyest"")"),1844.4)</f>
        <v/>
      </c>
      <c r="G32" s="14">
        <f>(B32-C32)/B32</f>
        <v/>
      </c>
      <c r="H32" s="13">
        <f>IFERROR(__xludf.DUMMYFUNCTION("GOOGLEFINANCE(""NSE:""&amp;A32,""VOLUME"")"),305785)</f>
        <v/>
      </c>
      <c r="I32" s="13">
        <f>IFERROR(__xludf.DUMMYFUNCTION("AVERAGE(index(GOOGLEFINANCE(""NSE:""&amp;$A32, ""volume"", today()-21, today()-1), , 2))"),"#N/A")</f>
        <v/>
      </c>
      <c r="J32" s="14">
        <f>(H32-I32)/I32</f>
        <v/>
      </c>
      <c r="K32" s="13">
        <f>IFERROR(__xludf.DUMMYFUNCTION("AVERAGE(index(GOOGLEFINANCE(""NSE:""&amp;$A32, ""close"", today()-6, today()-1), , 2))"),"#N/A")</f>
        <v/>
      </c>
      <c r="L32" s="13">
        <f>IFERROR(__xludf.DUMMYFUNCTION("AVERAGE(index(GOOGLEFINANCE(""NSE:""&amp;$A32, ""close"", today()-14, today()-1), , 2))"),"#N/A")</f>
        <v/>
      </c>
      <c r="M32" s="13">
        <f>IFERROR(__xludf.DUMMYFUNCTION("AVERAGE(index(GOOGLEFINANCE(""NSE:""&amp;$A32, ""close"", today()-22, today()-1), , 2))"),"#N/A")</f>
        <v/>
      </c>
      <c r="N32" s="13">
        <f>AG32</f>
        <v/>
      </c>
      <c r="O32" s="13">
        <f>AI32</f>
        <v/>
      </c>
      <c r="P32" s="13">
        <f>W32</f>
        <v/>
      </c>
      <c r="Q32" s="13">
        <f>Y32</f>
        <v/>
      </c>
      <c r="R32" s="15" t="n"/>
      <c r="S32" s="15">
        <f>LEFT(W32,2)&amp;LEFT(Y32,2)</f>
        <v/>
      </c>
      <c r="T32" s="15" t="n"/>
      <c r="U32" s="15">
        <f>IF(K32&lt;L32,1,0)</f>
        <v/>
      </c>
      <c r="V32" s="15">
        <f>IF(H32&gt;I32,1,0)</f>
        <v/>
      </c>
      <c r="W32" s="15">
        <f>IF(SUM(U32:V32)=2,"Anticipatory_Sell","No_Action")</f>
        <v/>
      </c>
      <c r="X32" s="15" t="n"/>
      <c r="Y32" s="15">
        <f>IF(SUM(Z32:AA32)=2,"Confirm_Sell","No_Action")</f>
        <v/>
      </c>
      <c r="Z32" s="15">
        <f>IF(H32&gt;I32,1,0)</f>
        <v/>
      </c>
      <c r="AA32" s="15">
        <f>IF(K32&lt;M32,1,0)</f>
        <v/>
      </c>
      <c r="AB32" s="15" t="n"/>
      <c r="AC32" s="15">
        <f>LEFT(AG32,2)&amp;LEFT(AI32,2)</f>
        <v/>
      </c>
      <c r="AD32" s="15" t="n"/>
      <c r="AE32" s="15">
        <f>IF(K32&gt;L32,1,0)</f>
        <v/>
      </c>
      <c r="AF32" s="16">
        <f>IF(H32&gt;I32,1,0)</f>
        <v/>
      </c>
      <c r="AG32" s="16">
        <f>IF(SUM(AE32:AF32)=2,"Anticipatory_Buy","No_Action")</f>
        <v/>
      </c>
      <c r="AH32" s="15" t="n"/>
      <c r="AI32" s="15">
        <f>IF(SUM(AJ32:AK32)=2,"Confirm_Buy","No_Action")</f>
        <v/>
      </c>
      <c r="AJ32" s="15">
        <f>IF(H32&gt;I32,1,0)</f>
        <v/>
      </c>
      <c r="AK32" s="15">
        <f>IF(K32&gt;M32,1,0)</f>
        <v/>
      </c>
    </row>
    <row r="33" ht="14.5" customHeight="1">
      <c r="A33" s="12" t="inlineStr">
        <is>
          <t>AUROPHARMA</t>
        </is>
      </c>
      <c r="B33" s="13">
        <f>IFERROR(__xludf.DUMMYFUNCTION("GOOGLEFINANCE(""NSE:""&amp;A33,""PRICE"")"),1240.1)</f>
        <v/>
      </c>
      <c r="C33" s="13">
        <f>IFERROR(__xludf.DUMMYFUNCTION("GOOGLEFINANCE(""NSE:""&amp;A33,""PRICEOPEN"")"),1247.45)</f>
        <v/>
      </c>
      <c r="D33" s="13">
        <f>IFERROR(__xludf.DUMMYFUNCTION("GOOGLEFINANCE(""NSE:""&amp;A33,""HIGH"")"),1259)</f>
        <v/>
      </c>
      <c r="E33" s="13">
        <f>IFERROR(__xludf.DUMMYFUNCTION("GOOGLEFINANCE(""NSE:""&amp;A33,""LOW"")"),1237)</f>
        <v/>
      </c>
      <c r="F33" s="13">
        <f>IFERROR(__xludf.DUMMYFUNCTION("GOOGLEFINANCE(""NSE:""&amp;A33,""closeyest"")"),1246.2)</f>
        <v/>
      </c>
      <c r="G33" s="14">
        <f>(B33-C33)/B33</f>
        <v/>
      </c>
      <c r="H33" s="13">
        <f>IFERROR(__xludf.DUMMYFUNCTION("GOOGLEFINANCE(""NSE:""&amp;A33,""VOLUME"")"),539265)</f>
        <v/>
      </c>
      <c r="I33" s="13">
        <f>IFERROR(__xludf.DUMMYFUNCTION("AVERAGE(index(GOOGLEFINANCE(""NSE:""&amp;$A33, ""volume"", today()-21, today()-1), , 2))"),"#N/A")</f>
        <v/>
      </c>
      <c r="J33" s="14">
        <f>(H33-I33)/I33</f>
        <v/>
      </c>
      <c r="K33" s="13">
        <f>IFERROR(__xludf.DUMMYFUNCTION("AVERAGE(index(GOOGLEFINANCE(""NSE:""&amp;$A33, ""close"", today()-6, today()-1), , 2))"),"#N/A")</f>
        <v/>
      </c>
      <c r="L33" s="13">
        <f>IFERROR(__xludf.DUMMYFUNCTION("AVERAGE(index(GOOGLEFINANCE(""NSE:""&amp;$A33, ""close"", today()-14, today()-1), , 2))"),"#N/A")</f>
        <v/>
      </c>
      <c r="M33" s="13">
        <f>IFERROR(__xludf.DUMMYFUNCTION("AVERAGE(index(GOOGLEFINANCE(""NSE:""&amp;$A33, ""close"", today()-22, today()-1), , 2))"),"#N/A")</f>
        <v/>
      </c>
      <c r="N33" s="13">
        <f>AG33</f>
        <v/>
      </c>
      <c r="O33" s="13">
        <f>AI33</f>
        <v/>
      </c>
      <c r="P33" s="13">
        <f>W33</f>
        <v/>
      </c>
      <c r="Q33" s="13">
        <f>Y33</f>
        <v/>
      </c>
      <c r="R33" s="15" t="n"/>
      <c r="S33" s="15">
        <f>LEFT(W33,2)&amp;LEFT(Y33,2)</f>
        <v/>
      </c>
      <c r="T33" s="15" t="n"/>
      <c r="U33" s="15">
        <f>IF(K33&lt;L33,1,0)</f>
        <v/>
      </c>
      <c r="V33" s="15">
        <f>IF(H33&gt;I33,1,0)</f>
        <v/>
      </c>
      <c r="W33" s="15">
        <f>IF(SUM(U33:V33)=2,"Anticipatory_Sell","No_Action")</f>
        <v/>
      </c>
      <c r="X33" s="15" t="n"/>
      <c r="Y33" s="15">
        <f>IF(SUM(Z33:AA33)=2,"Confirm_Sell","No_Action")</f>
        <v/>
      </c>
      <c r="Z33" s="15">
        <f>IF(H33&gt;I33,1,0)</f>
        <v/>
      </c>
      <c r="AA33" s="15">
        <f>IF(K33&lt;M33,1,0)</f>
        <v/>
      </c>
      <c r="AB33" s="15" t="n"/>
      <c r="AC33" s="15">
        <f>LEFT(AG33,2)&amp;LEFT(AI33,2)</f>
        <v/>
      </c>
      <c r="AD33" s="15" t="n"/>
      <c r="AE33" s="15">
        <f>IF(K33&gt;L33,1,0)</f>
        <v/>
      </c>
      <c r="AF33" s="16">
        <f>IF(H33&gt;I33,1,0)</f>
        <v/>
      </c>
      <c r="AG33" s="16">
        <f>IF(SUM(AE33:AF33)=2,"Anticipatory_Buy","No_Action")</f>
        <v/>
      </c>
      <c r="AH33" s="15" t="n"/>
      <c r="AI33" s="15">
        <f>IF(SUM(AJ33:AK33)=2,"Confirm_Buy","No_Action")</f>
        <v/>
      </c>
      <c r="AJ33" s="15">
        <f>IF(H33&gt;I33,1,0)</f>
        <v/>
      </c>
      <c r="AK33" s="15">
        <f>IF(K33&gt;M33,1,0)</f>
        <v/>
      </c>
    </row>
    <row r="34" ht="14.5" customHeight="1">
      <c r="A34" s="12" t="inlineStr">
        <is>
          <t>AIIL</t>
        </is>
      </c>
      <c r="B34" s="13">
        <f>IFERROR(__xludf.DUMMYFUNCTION("GOOGLEFINANCE(""NSE:""&amp;A34,""PRICE"")"),1715)</f>
        <v/>
      </c>
      <c r="C34" s="13">
        <f>IFERROR(__xludf.DUMMYFUNCTION("GOOGLEFINANCE(""NSE:""&amp;A34,""PRICEOPEN"")"),1667.95)</f>
        <v/>
      </c>
      <c r="D34" s="13">
        <f>IFERROR(__xludf.DUMMYFUNCTION("GOOGLEFINANCE(""NSE:""&amp;A34,""HIGH"")"),1727.75)</f>
        <v/>
      </c>
      <c r="E34" s="13">
        <f>IFERROR(__xludf.DUMMYFUNCTION("GOOGLEFINANCE(""NSE:""&amp;A34,""LOW"")"),1643.1)</f>
        <v/>
      </c>
      <c r="F34" s="13">
        <f>IFERROR(__xludf.DUMMYFUNCTION("GOOGLEFINANCE(""NSE:""&amp;A34,""closeyest"")"),1654.95)</f>
        <v/>
      </c>
      <c r="G34" s="14">
        <f>(B34-C34)/B34</f>
        <v/>
      </c>
      <c r="H34" s="13">
        <f>IFERROR(__xludf.DUMMYFUNCTION("GOOGLEFINANCE(""NSE:""&amp;A34,""VOLUME"")"),51347)</f>
        <v/>
      </c>
      <c r="I34" s="13">
        <f>IFERROR(__xludf.DUMMYFUNCTION("AVERAGE(index(GOOGLEFINANCE(""NSE:""&amp;$A34, ""volume"", today()-21, today()-1), , 2))"),"#N/A")</f>
        <v/>
      </c>
      <c r="J34" s="14">
        <f>(H34-I34)/I34</f>
        <v/>
      </c>
      <c r="K34" s="13">
        <f>IFERROR(__xludf.DUMMYFUNCTION("AVERAGE(index(GOOGLEFINANCE(""NSE:""&amp;$A34, ""close"", today()-6, today()-1), , 2))"),"#N/A")</f>
        <v/>
      </c>
      <c r="L34" s="13">
        <f>IFERROR(__xludf.DUMMYFUNCTION("AVERAGE(index(GOOGLEFINANCE(""NSE:""&amp;$A34, ""close"", today()-14, today()-1), , 2))"),"#N/A")</f>
        <v/>
      </c>
      <c r="M34" s="13">
        <f>IFERROR(__xludf.DUMMYFUNCTION("AVERAGE(index(GOOGLEFINANCE(""NSE:""&amp;$A34, ""close"", today()-22, today()-1), , 2))"),"#N/A")</f>
        <v/>
      </c>
      <c r="N34" s="13">
        <f>AG34</f>
        <v/>
      </c>
      <c r="O34" s="13">
        <f>AI34</f>
        <v/>
      </c>
      <c r="P34" s="13">
        <f>W34</f>
        <v/>
      </c>
      <c r="Q34" s="13">
        <f>Y34</f>
        <v/>
      </c>
      <c r="R34" s="15" t="n"/>
      <c r="S34" s="15">
        <f>LEFT(W34,2)&amp;LEFT(Y34,2)</f>
        <v/>
      </c>
      <c r="T34" s="15" t="n"/>
      <c r="U34" s="15">
        <f>IF(K34&lt;L34,1,0)</f>
        <v/>
      </c>
      <c r="V34" s="15">
        <f>IF(H34&gt;I34,1,0)</f>
        <v/>
      </c>
      <c r="W34" s="15">
        <f>IF(SUM(U34:V34)=2,"Anticipatory_Sell","No_Action")</f>
        <v/>
      </c>
      <c r="X34" s="15" t="n"/>
      <c r="Y34" s="15">
        <f>IF(SUM(Z34:AA34)=2,"Confirm_Sell","No_Action")</f>
        <v/>
      </c>
      <c r="Z34" s="15">
        <f>IF(H34&gt;I34,1,0)</f>
        <v/>
      </c>
      <c r="AA34" s="15">
        <f>IF(K34&lt;M34,1,0)</f>
        <v/>
      </c>
      <c r="AB34" s="15" t="n"/>
      <c r="AC34" s="15">
        <f>LEFT(AG34,2)&amp;LEFT(AI34,2)</f>
        <v/>
      </c>
      <c r="AD34" s="15" t="n"/>
      <c r="AE34" s="15">
        <f>IF(K34&gt;L34,1,0)</f>
        <v/>
      </c>
      <c r="AF34" s="16">
        <f>IF(H34&gt;I34,1,0)</f>
        <v/>
      </c>
      <c r="AG34" s="16">
        <f>IF(SUM(AE34:AF34)=2,"Anticipatory_Buy","No_Action")</f>
        <v/>
      </c>
      <c r="AH34" s="15" t="n"/>
      <c r="AI34" s="15">
        <f>IF(SUM(AJ34:AK34)=2,"Confirm_Buy","No_Action")</f>
        <v/>
      </c>
      <c r="AJ34" s="15">
        <f>IF(H34&gt;I34,1,0)</f>
        <v/>
      </c>
      <c r="AK34" s="15">
        <f>IF(K34&gt;M34,1,0)</f>
        <v/>
      </c>
    </row>
    <row r="35" ht="14.5" customHeight="1">
      <c r="A35" s="12" t="inlineStr">
        <is>
          <t>AVTNPL</t>
        </is>
      </c>
      <c r="B35" s="13">
        <f>IFERROR(__xludf.DUMMYFUNCTION("GOOGLEFINANCE(""NSE:""&amp;A35,""PRICE"")"),80.3)</f>
        <v/>
      </c>
      <c r="C35" s="13">
        <f>IFERROR(__xludf.DUMMYFUNCTION("GOOGLEFINANCE(""NSE:""&amp;A35,""PRICEOPEN"")"),79.25)</f>
        <v/>
      </c>
      <c r="D35" s="13">
        <f>IFERROR(__xludf.DUMMYFUNCTION("GOOGLEFINANCE(""NSE:""&amp;A35,""HIGH"")"),81.95)</f>
        <v/>
      </c>
      <c r="E35" s="13">
        <f>IFERROR(__xludf.DUMMYFUNCTION("GOOGLEFINANCE(""NSE:""&amp;A35,""LOW"")"),79.25)</f>
        <v/>
      </c>
      <c r="F35" s="13">
        <f>IFERROR(__xludf.DUMMYFUNCTION("GOOGLEFINANCE(""NSE:""&amp;A35,""closeyest"")"),80.14)</f>
        <v/>
      </c>
      <c r="G35" s="14">
        <f>(B35-C35)/B35</f>
        <v/>
      </c>
      <c r="H35" s="13">
        <f>IFERROR(__xludf.DUMMYFUNCTION("GOOGLEFINANCE(""NSE:""&amp;A35,""VOLUME"")"),60399)</f>
        <v/>
      </c>
      <c r="I35" s="13">
        <f>IFERROR(__xludf.DUMMYFUNCTION("AVERAGE(index(GOOGLEFINANCE(""NSE:""&amp;$A35, ""volume"", today()-21, today()-1), , 2))"),"#N/A")</f>
        <v/>
      </c>
      <c r="J35" s="14">
        <f>(H35-I35)/I35</f>
        <v/>
      </c>
      <c r="K35" s="13">
        <f>IFERROR(__xludf.DUMMYFUNCTION("AVERAGE(index(GOOGLEFINANCE(""NSE:""&amp;$A35, ""close"", today()-6, today()-1), , 2))"),"#N/A")</f>
        <v/>
      </c>
      <c r="L35" s="13">
        <f>IFERROR(__xludf.DUMMYFUNCTION("AVERAGE(index(GOOGLEFINANCE(""NSE:""&amp;$A35, ""close"", today()-14, today()-1), , 2))"),"#N/A")</f>
        <v/>
      </c>
      <c r="M35" s="13">
        <f>IFERROR(__xludf.DUMMYFUNCTION("AVERAGE(index(GOOGLEFINANCE(""NSE:""&amp;$A35, ""close"", today()-22, today()-1), , 2))"),"#N/A")</f>
        <v/>
      </c>
      <c r="N35" s="13">
        <f>AG35</f>
        <v/>
      </c>
      <c r="O35" s="13">
        <f>AI35</f>
        <v/>
      </c>
      <c r="P35" s="13">
        <f>W35</f>
        <v/>
      </c>
      <c r="Q35" s="13">
        <f>Y35</f>
        <v/>
      </c>
      <c r="R35" s="15" t="n"/>
      <c r="S35" s="15">
        <f>LEFT(W35,2)&amp;LEFT(Y35,2)</f>
        <v/>
      </c>
      <c r="T35" s="15" t="n"/>
      <c r="U35" s="15">
        <f>IF(K35&lt;L35,1,0)</f>
        <v/>
      </c>
      <c r="V35" s="15">
        <f>IF(H35&gt;I35,1,0)</f>
        <v/>
      </c>
      <c r="W35" s="15">
        <f>IF(SUM(U35:V35)=2,"Anticipatory_Sell","No_Action")</f>
        <v/>
      </c>
      <c r="X35" s="15" t="n"/>
      <c r="Y35" s="15">
        <f>IF(SUM(Z35:AA35)=2,"Confirm_Sell","No_Action")</f>
        <v/>
      </c>
      <c r="Z35" s="15">
        <f>IF(H35&gt;I35,1,0)</f>
        <v/>
      </c>
      <c r="AA35" s="15">
        <f>IF(K35&lt;M35,1,0)</f>
        <v/>
      </c>
      <c r="AB35" s="15" t="n"/>
      <c r="AC35" s="15">
        <f>LEFT(AG35,2)&amp;LEFT(AI35,2)</f>
        <v/>
      </c>
      <c r="AD35" s="15" t="n"/>
      <c r="AE35" s="15">
        <f>IF(K35&gt;L35,1,0)</f>
        <v/>
      </c>
      <c r="AF35" s="16">
        <f>IF(H35&gt;I35,1,0)</f>
        <v/>
      </c>
      <c r="AG35" s="16">
        <f>IF(SUM(AE35:AF35)=2,"Anticipatory_Buy","No_Action")</f>
        <v/>
      </c>
      <c r="AH35" s="15" t="n"/>
      <c r="AI35" s="15">
        <f>IF(SUM(AJ35:AK35)=2,"Confirm_Buy","No_Action")</f>
        <v/>
      </c>
      <c r="AJ35" s="15">
        <f>IF(H35&gt;I35,1,0)</f>
        <v/>
      </c>
      <c r="AK35" s="15">
        <f>IF(K35&gt;M35,1,0)</f>
        <v/>
      </c>
    </row>
    <row r="36" ht="14.5" customHeight="1">
      <c r="A36" s="12" t="inlineStr">
        <is>
          <t>AXISBANK</t>
        </is>
      </c>
      <c r="B36" s="13">
        <f>IFERROR(__xludf.DUMMYFUNCTION("GOOGLEFINANCE(""NSE:""&amp;A36,""PRICE"")"),1167.9)</f>
        <v/>
      </c>
      <c r="C36" s="13">
        <f>IFERROR(__xludf.DUMMYFUNCTION("GOOGLEFINANCE(""NSE:""&amp;A36,""PRICEOPEN"")"),1184.25)</f>
        <v/>
      </c>
      <c r="D36" s="13">
        <f>IFERROR(__xludf.DUMMYFUNCTION("GOOGLEFINANCE(""NSE:""&amp;A36,""HIGH"")"),1186)</f>
        <v/>
      </c>
      <c r="E36" s="13">
        <f>IFERROR(__xludf.DUMMYFUNCTION("GOOGLEFINANCE(""NSE:""&amp;A36,""LOW"")"),1161)</f>
        <v/>
      </c>
      <c r="F36" s="13">
        <f>IFERROR(__xludf.DUMMYFUNCTION("GOOGLEFINANCE(""NSE:""&amp;A36,""closeyest"")"),1184.55)</f>
        <v/>
      </c>
      <c r="G36" s="14">
        <f>(B36-C36)/B36</f>
        <v/>
      </c>
      <c r="H36" s="13">
        <f>IFERROR(__xludf.DUMMYFUNCTION("GOOGLEFINANCE(""NSE:""&amp;A36,""VOLUME"")"),6308112)</f>
        <v/>
      </c>
      <c r="I36" s="13">
        <f>IFERROR(__xludf.DUMMYFUNCTION("AVERAGE(index(GOOGLEFINANCE(""NSE:""&amp;$A36, ""volume"", today()-21, today()-1), , 2))"),"#N/A")</f>
        <v/>
      </c>
      <c r="J36" s="14">
        <f>(H36-I36)/I36</f>
        <v/>
      </c>
      <c r="K36" s="13">
        <f>IFERROR(__xludf.DUMMYFUNCTION("AVERAGE(index(GOOGLEFINANCE(""NSE:""&amp;$A36, ""close"", today()-6, today()-1), , 2))"),"#N/A")</f>
        <v/>
      </c>
      <c r="L36" s="13">
        <f>IFERROR(__xludf.DUMMYFUNCTION("AVERAGE(index(GOOGLEFINANCE(""NSE:""&amp;$A36, ""close"", today()-14, today()-1), , 2))"),"#N/A")</f>
        <v/>
      </c>
      <c r="M36" s="13">
        <f>IFERROR(__xludf.DUMMYFUNCTION("AVERAGE(index(GOOGLEFINANCE(""NSE:""&amp;$A36, ""close"", today()-22, today()-1), , 2))"),"#N/A")</f>
        <v/>
      </c>
      <c r="N36" s="13">
        <f>AG36</f>
        <v/>
      </c>
      <c r="O36" s="13">
        <f>AI36</f>
        <v/>
      </c>
      <c r="P36" s="13">
        <f>W36</f>
        <v/>
      </c>
      <c r="Q36" s="13">
        <f>Y36</f>
        <v/>
      </c>
      <c r="R36" s="15" t="n"/>
      <c r="S36" s="15">
        <f>LEFT(W36,2)&amp;LEFT(Y36,2)</f>
        <v/>
      </c>
      <c r="T36" s="15" t="n"/>
      <c r="U36" s="15">
        <f>IF(K36&lt;L36,1,0)</f>
        <v/>
      </c>
      <c r="V36" s="15">
        <f>IF(H36&gt;I36,1,0)</f>
        <v/>
      </c>
      <c r="W36" s="15">
        <f>IF(SUM(U36:V36)=2,"Anticipatory_Sell","No_Action")</f>
        <v/>
      </c>
      <c r="X36" s="15" t="n"/>
      <c r="Y36" s="15">
        <f>IF(SUM(Z36:AA36)=2,"Confirm_Sell","No_Action")</f>
        <v/>
      </c>
      <c r="Z36" s="15">
        <f>IF(H36&gt;I36,1,0)</f>
        <v/>
      </c>
      <c r="AA36" s="15">
        <f>IF(K36&lt;M36,1,0)</f>
        <v/>
      </c>
      <c r="AB36" s="15" t="n"/>
      <c r="AC36" s="15">
        <f>LEFT(AG36,2)&amp;LEFT(AI36,2)</f>
        <v/>
      </c>
      <c r="AD36" s="15" t="n"/>
      <c r="AE36" s="15">
        <f>IF(K36&gt;L36,1,0)</f>
        <v/>
      </c>
      <c r="AF36" s="16">
        <f>IF(H36&gt;I36,1,0)</f>
        <v/>
      </c>
      <c r="AG36" s="16">
        <f>IF(SUM(AE36:AF36)=2,"Anticipatory_Buy","No_Action")</f>
        <v/>
      </c>
      <c r="AH36" s="15" t="n"/>
      <c r="AI36" s="15">
        <f>IF(SUM(AJ36:AK36)=2,"Confirm_Buy","No_Action")</f>
        <v/>
      </c>
      <c r="AJ36" s="15">
        <f>IF(H36&gt;I36,1,0)</f>
        <v/>
      </c>
      <c r="AK36" s="15">
        <f>IF(K36&gt;M36,1,0)</f>
        <v/>
      </c>
    </row>
    <row r="37" ht="14.5" customHeight="1">
      <c r="A37" s="12" t="inlineStr">
        <is>
          <t>BAJAJ-AUTO</t>
        </is>
      </c>
      <c r="B37" s="13">
        <f>IFERROR(__xludf.DUMMYFUNCTION("GOOGLEFINANCE(""NSE:""&amp;A37,""PRICE"")"),9072.95)</f>
        <v/>
      </c>
      <c r="C37" s="13">
        <f>IFERROR(__xludf.DUMMYFUNCTION("GOOGLEFINANCE(""NSE:""&amp;A37,""PRICEOPEN"")"),9096)</f>
        <v/>
      </c>
      <c r="D37" s="13">
        <f>IFERROR(__xludf.DUMMYFUNCTION("GOOGLEFINANCE(""NSE:""&amp;A37,""HIGH"")"),9171)</f>
        <v/>
      </c>
      <c r="E37" s="13">
        <f>IFERROR(__xludf.DUMMYFUNCTION("GOOGLEFINANCE(""NSE:""&amp;A37,""LOW"")"),9026.4)</f>
        <v/>
      </c>
      <c r="F37" s="13">
        <f>IFERROR(__xludf.DUMMYFUNCTION("GOOGLEFINANCE(""NSE:""&amp;A37,""closeyest"")"),9099.9)</f>
        <v/>
      </c>
      <c r="G37" s="14">
        <f>(B37-C37)/B37</f>
        <v/>
      </c>
      <c r="H37" s="13">
        <f>IFERROR(__xludf.DUMMYFUNCTION("GOOGLEFINANCE(""NSE:""&amp;A37,""VOLUME"")"),304202)</f>
        <v/>
      </c>
      <c r="I37" s="13">
        <f>IFERROR(__xludf.DUMMYFUNCTION("AVERAGE(index(GOOGLEFINANCE(""NSE:""&amp;$A37, ""volume"", today()-21, today()-1), , 2))"),"#N/A")</f>
        <v/>
      </c>
      <c r="J37" s="14">
        <f>(H37-I37)/I37</f>
        <v/>
      </c>
      <c r="K37" s="13">
        <f>IFERROR(__xludf.DUMMYFUNCTION("AVERAGE(index(GOOGLEFINANCE(""NSE:""&amp;$A37, ""close"", today()-6, today()-1), , 2))"),"#N/A")</f>
        <v/>
      </c>
      <c r="L37" s="13">
        <f>IFERROR(__xludf.DUMMYFUNCTION("AVERAGE(index(GOOGLEFINANCE(""NSE:""&amp;$A37, ""close"", today()-14, today()-1), , 2))"),"#N/A")</f>
        <v/>
      </c>
      <c r="M37" s="13">
        <f>IFERROR(__xludf.DUMMYFUNCTION("AVERAGE(index(GOOGLEFINANCE(""NSE:""&amp;$A37, ""close"", today()-22, today()-1), , 2))"),"#N/A")</f>
        <v/>
      </c>
      <c r="N37" s="13">
        <f>AG37</f>
        <v/>
      </c>
      <c r="O37" s="13">
        <f>AI37</f>
        <v/>
      </c>
      <c r="P37" s="13">
        <f>W37</f>
        <v/>
      </c>
      <c r="Q37" s="13">
        <f>Y37</f>
        <v/>
      </c>
      <c r="R37" s="15" t="n"/>
      <c r="S37" s="15">
        <f>LEFT(W37,2)&amp;LEFT(Y37,2)</f>
        <v/>
      </c>
      <c r="T37" s="15" t="n"/>
      <c r="U37" s="15">
        <f>IF(K37&lt;L37,1,0)</f>
        <v/>
      </c>
      <c r="V37" s="15">
        <f>IF(H37&gt;I37,1,0)</f>
        <v/>
      </c>
      <c r="W37" s="15">
        <f>IF(SUM(U37:V37)=2,"Anticipatory_Sell","No_Action")</f>
        <v/>
      </c>
      <c r="X37" s="15" t="n"/>
      <c r="Y37" s="15">
        <f>IF(SUM(Z37:AA37)=2,"Confirm_Sell","No_Action")</f>
        <v/>
      </c>
      <c r="Z37" s="15">
        <f>IF(H37&gt;I37,1,0)</f>
        <v/>
      </c>
      <c r="AA37" s="15">
        <f>IF(K37&lt;M37,1,0)</f>
        <v/>
      </c>
      <c r="AB37" s="15" t="n"/>
      <c r="AC37" s="15">
        <f>LEFT(AG37,2)&amp;LEFT(AI37,2)</f>
        <v/>
      </c>
      <c r="AD37" s="15" t="n"/>
      <c r="AE37" s="15">
        <f>IF(K37&gt;L37,1,0)</f>
        <v/>
      </c>
      <c r="AF37" s="16">
        <f>IF(H37&gt;I37,1,0)</f>
        <v/>
      </c>
      <c r="AG37" s="16">
        <f>IF(SUM(AE37:AF37)=2,"Anticipatory_Buy","No_Action")</f>
        <v/>
      </c>
      <c r="AH37" s="15" t="n"/>
      <c r="AI37" s="15">
        <f>IF(SUM(AJ37:AK37)=2,"Confirm_Buy","No_Action")</f>
        <v/>
      </c>
      <c r="AJ37" s="15">
        <f>IF(H37&gt;I37,1,0)</f>
        <v/>
      </c>
      <c r="AK37" s="15">
        <f>IF(K37&gt;M37,1,0)</f>
        <v/>
      </c>
    </row>
    <row r="38" ht="14.5" customHeight="1">
      <c r="A38" s="12" t="inlineStr">
        <is>
          <t>BAJAJCON</t>
        </is>
      </c>
      <c r="B38" s="13">
        <f>IFERROR(__xludf.DUMMYFUNCTION("GOOGLEFINANCE(""NSE:""&amp;A38,""PRICE"")"),207.9)</f>
        <v/>
      </c>
      <c r="C38" s="13">
        <f>IFERROR(__xludf.DUMMYFUNCTION("GOOGLEFINANCE(""NSE:""&amp;A38,""PRICEOPEN"")"),204.38)</f>
        <v/>
      </c>
      <c r="D38" s="13">
        <f>IFERROR(__xludf.DUMMYFUNCTION("GOOGLEFINANCE(""NSE:""&amp;A38,""HIGH"")"),208)</f>
        <v/>
      </c>
      <c r="E38" s="13">
        <f>IFERROR(__xludf.DUMMYFUNCTION("GOOGLEFINANCE(""NSE:""&amp;A38,""LOW"")"),204.38)</f>
        <v/>
      </c>
      <c r="F38" s="13">
        <f>IFERROR(__xludf.DUMMYFUNCTION("GOOGLEFINANCE(""NSE:""&amp;A38,""closeyest"")"),203.6)</f>
        <v/>
      </c>
      <c r="G38" s="14">
        <f>(B38-C38)/B38</f>
        <v/>
      </c>
      <c r="H38" s="13">
        <f>IFERROR(__xludf.DUMMYFUNCTION("GOOGLEFINANCE(""NSE:""&amp;A38,""VOLUME"")"),237820)</f>
        <v/>
      </c>
      <c r="I38" s="13">
        <f>IFERROR(__xludf.DUMMYFUNCTION("AVERAGE(index(GOOGLEFINANCE(""NSE:""&amp;$A38, ""volume"", today()-21, today()-1), , 2))"),"#N/A")</f>
        <v/>
      </c>
      <c r="J38" s="14">
        <f>(H38-I38)/I38</f>
        <v/>
      </c>
      <c r="K38" s="13">
        <f>IFERROR(__xludf.DUMMYFUNCTION("AVERAGE(index(GOOGLEFINANCE(""NSE:""&amp;$A38, ""close"", today()-6, today()-1), , 2))"),"#N/A")</f>
        <v/>
      </c>
      <c r="L38" s="13">
        <f>IFERROR(__xludf.DUMMYFUNCTION("AVERAGE(index(GOOGLEFINANCE(""NSE:""&amp;$A38, ""close"", today()-14, today()-1), , 2))"),"#N/A")</f>
        <v/>
      </c>
      <c r="M38" s="13">
        <f>IFERROR(__xludf.DUMMYFUNCTION("AVERAGE(index(GOOGLEFINANCE(""NSE:""&amp;$A38, ""close"", today()-22, today()-1), , 2))"),"#N/A")</f>
        <v/>
      </c>
      <c r="N38" s="13">
        <f>AG38</f>
        <v/>
      </c>
      <c r="O38" s="13">
        <f>AI38</f>
        <v/>
      </c>
      <c r="P38" s="13">
        <f>W38</f>
        <v/>
      </c>
      <c r="Q38" s="13">
        <f>Y38</f>
        <v/>
      </c>
      <c r="R38" s="15" t="n"/>
      <c r="S38" s="15">
        <f>LEFT(W38,2)&amp;LEFT(Y38,2)</f>
        <v/>
      </c>
      <c r="T38" s="15" t="n"/>
      <c r="U38" s="15">
        <f>IF(K38&lt;L38,1,0)</f>
        <v/>
      </c>
      <c r="V38" s="15">
        <f>IF(H38&gt;I38,1,0)</f>
        <v/>
      </c>
      <c r="W38" s="15">
        <f>IF(SUM(U38:V38)=2,"Anticipatory_Sell","No_Action")</f>
        <v/>
      </c>
      <c r="X38" s="15" t="n"/>
      <c r="Y38" s="15">
        <f>IF(SUM(Z38:AA38)=2,"Confirm_Sell","No_Action")</f>
        <v/>
      </c>
      <c r="Z38" s="15">
        <f>IF(H38&gt;I38,1,0)</f>
        <v/>
      </c>
      <c r="AA38" s="15">
        <f>IF(K38&lt;M38,1,0)</f>
        <v/>
      </c>
      <c r="AB38" s="15" t="n"/>
      <c r="AC38" s="15">
        <f>LEFT(AG38,2)&amp;LEFT(AI38,2)</f>
        <v/>
      </c>
      <c r="AD38" s="15" t="n"/>
      <c r="AE38" s="15">
        <f>IF(K38&gt;L38,1,0)</f>
        <v/>
      </c>
      <c r="AF38" s="16">
        <f>IF(H38&gt;I38,1,0)</f>
        <v/>
      </c>
      <c r="AG38" s="16">
        <f>IF(SUM(AE38:AF38)=2,"Anticipatory_Buy","No_Action")</f>
        <v/>
      </c>
      <c r="AH38" s="15" t="n"/>
      <c r="AI38" s="15">
        <f>IF(SUM(AJ38:AK38)=2,"Confirm_Buy","No_Action")</f>
        <v/>
      </c>
      <c r="AJ38" s="15">
        <f>IF(H38&gt;I38,1,0)</f>
        <v/>
      </c>
      <c r="AK38" s="15">
        <f>IF(K38&gt;M38,1,0)</f>
        <v/>
      </c>
    </row>
    <row r="39" ht="14.5" customHeight="1">
      <c r="A39" s="12" t="inlineStr">
        <is>
          <t>BAJFINANCE</t>
        </is>
      </c>
      <c r="B39" s="13">
        <f>IFERROR(__xludf.DUMMYFUNCTION("GOOGLEFINANCE(""NSE:""&amp;A39,""PRICE"")"),6878.95)</f>
        <v/>
      </c>
      <c r="C39" s="13">
        <f>IFERROR(__xludf.DUMMYFUNCTION("GOOGLEFINANCE(""NSE:""&amp;A39,""PRICEOPEN"")"),6850.1)</f>
        <v/>
      </c>
      <c r="D39" s="13">
        <f>IFERROR(__xludf.DUMMYFUNCTION("GOOGLEFINANCE(""NSE:""&amp;A39,""HIGH"")"),6925)</f>
        <v/>
      </c>
      <c r="E39" s="13">
        <f>IFERROR(__xludf.DUMMYFUNCTION("GOOGLEFINANCE(""NSE:""&amp;A39,""LOW"")"),6827.9)</f>
        <v/>
      </c>
      <c r="F39" s="13">
        <f>IFERROR(__xludf.DUMMYFUNCTION("GOOGLEFINANCE(""NSE:""&amp;A39,""closeyest"")"),6850.3)</f>
        <v/>
      </c>
      <c r="G39" s="14">
        <f>(B39-C39)/B39</f>
        <v/>
      </c>
      <c r="H39" s="13">
        <f>IFERROR(__xludf.DUMMYFUNCTION("GOOGLEFINANCE(""NSE:""&amp;A39,""VOLUME"")"),840910)</f>
        <v/>
      </c>
      <c r="I39" s="13">
        <f>IFERROR(__xludf.DUMMYFUNCTION("AVERAGE(index(GOOGLEFINANCE(""NSE:""&amp;$A39, ""volume"", today()-21, today()-1), , 2))"),"#N/A")</f>
        <v/>
      </c>
      <c r="J39" s="14">
        <f>(H39-I39)/I39</f>
        <v/>
      </c>
      <c r="K39" s="13">
        <f>IFERROR(__xludf.DUMMYFUNCTION("AVERAGE(index(GOOGLEFINANCE(""NSE:""&amp;$A39, ""close"", today()-6, today()-1), , 2))"),"#N/A")</f>
        <v/>
      </c>
      <c r="L39" s="13">
        <f>IFERROR(__xludf.DUMMYFUNCTION("AVERAGE(index(GOOGLEFINANCE(""NSE:""&amp;$A39, ""close"", today()-14, today()-1), , 2))"),"#N/A")</f>
        <v/>
      </c>
      <c r="M39" s="13">
        <f>IFERROR(__xludf.DUMMYFUNCTION("AVERAGE(index(GOOGLEFINANCE(""NSE:""&amp;$A39, ""close"", today()-22, today()-1), , 2))"),"#N/A")</f>
        <v/>
      </c>
      <c r="N39" s="13">
        <f>AG39</f>
        <v/>
      </c>
      <c r="O39" s="13">
        <f>AI39</f>
        <v/>
      </c>
      <c r="P39" s="13">
        <f>W39</f>
        <v/>
      </c>
      <c r="Q39" s="13">
        <f>Y39</f>
        <v/>
      </c>
      <c r="R39" s="15" t="n"/>
      <c r="S39" s="15">
        <f>LEFT(W39,2)&amp;LEFT(Y39,2)</f>
        <v/>
      </c>
      <c r="T39" s="15" t="n"/>
      <c r="U39" s="15">
        <f>IF(K39&lt;L39,1,0)</f>
        <v/>
      </c>
      <c r="V39" s="15">
        <f>IF(H39&gt;I39,1,0)</f>
        <v/>
      </c>
      <c r="W39" s="15">
        <f>IF(SUM(U39:V39)=2,"Anticipatory_Sell","No_Action")</f>
        <v/>
      </c>
      <c r="X39" s="15" t="n"/>
      <c r="Y39" s="15">
        <f>IF(SUM(Z39:AA39)=2,"Confirm_Sell","No_Action")</f>
        <v/>
      </c>
      <c r="Z39" s="15">
        <f>IF(H39&gt;I39,1,0)</f>
        <v/>
      </c>
      <c r="AA39" s="15">
        <f>IF(K39&lt;M39,1,0)</f>
        <v/>
      </c>
      <c r="AB39" s="15" t="n"/>
      <c r="AC39" s="15">
        <f>LEFT(AG39,2)&amp;LEFT(AI39,2)</f>
        <v/>
      </c>
      <c r="AD39" s="15" t="n"/>
      <c r="AE39" s="15">
        <f>IF(K39&gt;L39,1,0)</f>
        <v/>
      </c>
      <c r="AF39" s="16">
        <f>IF(H39&gt;I39,1,0)</f>
        <v/>
      </c>
      <c r="AG39" s="16">
        <f>IF(SUM(AE39:AF39)=2,"Anticipatory_Buy","No_Action")</f>
        <v/>
      </c>
      <c r="AH39" s="15" t="n"/>
      <c r="AI39" s="15">
        <f>IF(SUM(AJ39:AK39)=2,"Confirm_Buy","No_Action")</f>
        <v/>
      </c>
      <c r="AJ39" s="15">
        <f>IF(H39&gt;I39,1,0)</f>
        <v/>
      </c>
      <c r="AK39" s="15">
        <f>IF(K39&gt;M39,1,0)</f>
        <v/>
      </c>
    </row>
    <row r="40" ht="14.5" customHeight="1">
      <c r="A40" s="12" t="inlineStr">
        <is>
          <t>BAJAJFINSV</t>
        </is>
      </c>
      <c r="B40" s="13">
        <f>IFERROR(__xludf.DUMMYFUNCTION("GOOGLEFINANCE(""NSE:""&amp;A40,""PRICE"")"),1637.1)</f>
        <v/>
      </c>
      <c r="C40" s="13">
        <f>IFERROR(__xludf.DUMMYFUNCTION("GOOGLEFINANCE(""NSE:""&amp;A40,""PRICEOPEN"")"),1642)</f>
        <v/>
      </c>
      <c r="D40" s="13">
        <f>IFERROR(__xludf.DUMMYFUNCTION("GOOGLEFINANCE(""NSE:""&amp;A40,""HIGH"")"),1647.55)</f>
        <v/>
      </c>
      <c r="E40" s="13">
        <f>IFERROR(__xludf.DUMMYFUNCTION("GOOGLEFINANCE(""NSE:""&amp;A40,""LOW"")"),1619.2)</f>
        <v/>
      </c>
      <c r="F40" s="13">
        <f>IFERROR(__xludf.DUMMYFUNCTION("GOOGLEFINANCE(""NSE:""&amp;A40,""closeyest"")"),1635.2)</f>
        <v/>
      </c>
      <c r="G40" s="14">
        <f>(B40-C40)/B40</f>
        <v/>
      </c>
      <c r="H40" s="13">
        <f>IFERROR(__xludf.DUMMYFUNCTION("GOOGLEFINANCE(""NSE:""&amp;A40,""VOLUME"")"),859106)</f>
        <v/>
      </c>
      <c r="I40" s="13">
        <f>IFERROR(__xludf.DUMMYFUNCTION("AVERAGE(index(GOOGLEFINANCE(""NSE:""&amp;$A40, ""volume"", today()-21, today()-1), , 2))"),"#N/A")</f>
        <v/>
      </c>
      <c r="J40" s="14">
        <f>(H40-I40)/I40</f>
        <v/>
      </c>
      <c r="K40" s="13">
        <f>IFERROR(__xludf.DUMMYFUNCTION("AVERAGE(index(GOOGLEFINANCE(""NSE:""&amp;$A40, ""close"", today()-6, today()-1), , 2))"),"#N/A")</f>
        <v/>
      </c>
      <c r="L40" s="13">
        <f>IFERROR(__xludf.DUMMYFUNCTION("AVERAGE(index(GOOGLEFINANCE(""NSE:""&amp;$A40, ""close"", today()-14, today()-1), , 2))"),"#N/A")</f>
        <v/>
      </c>
      <c r="M40" s="13">
        <f>IFERROR(__xludf.DUMMYFUNCTION("AVERAGE(index(GOOGLEFINANCE(""NSE:""&amp;$A40, ""close"", today()-22, today()-1), , 2))"),"#N/A")</f>
        <v/>
      </c>
      <c r="N40" s="13">
        <f>AG40</f>
        <v/>
      </c>
      <c r="O40" s="13">
        <f>AI40</f>
        <v/>
      </c>
      <c r="P40" s="13">
        <f>W40</f>
        <v/>
      </c>
      <c r="Q40" s="13">
        <f>Y40</f>
        <v/>
      </c>
      <c r="R40" s="15" t="n"/>
      <c r="S40" s="15">
        <f>LEFT(W40,2)&amp;LEFT(Y40,2)</f>
        <v/>
      </c>
      <c r="T40" s="15" t="n"/>
      <c r="U40" s="15">
        <f>IF(K40&lt;L40,1,0)</f>
        <v/>
      </c>
      <c r="V40" s="15">
        <f>IF(H40&gt;I40,1,0)</f>
        <v/>
      </c>
      <c r="W40" s="15">
        <f>IF(SUM(U40:V40)=2,"Anticipatory_Sell","No_Action")</f>
        <v/>
      </c>
      <c r="X40" s="15" t="n"/>
      <c r="Y40" s="15">
        <f>IF(SUM(Z40:AA40)=2,"Confirm_Sell","No_Action")</f>
        <v/>
      </c>
      <c r="Z40" s="15">
        <f>IF(H40&gt;I40,1,0)</f>
        <v/>
      </c>
      <c r="AA40" s="15">
        <f>IF(K40&lt;M40,1,0)</f>
        <v/>
      </c>
      <c r="AB40" s="15" t="n"/>
      <c r="AC40" s="15">
        <f>LEFT(AG40,2)&amp;LEFT(AI40,2)</f>
        <v/>
      </c>
      <c r="AD40" s="15" t="n"/>
      <c r="AE40" s="15">
        <f>IF(K40&gt;L40,1,0)</f>
        <v/>
      </c>
      <c r="AF40" s="16">
        <f>IF(H40&gt;I40,1,0)</f>
        <v/>
      </c>
      <c r="AG40" s="16">
        <f>IF(SUM(AE40:AF40)=2,"Anticipatory_Buy","No_Action")</f>
        <v/>
      </c>
      <c r="AH40" s="15" t="n"/>
      <c r="AI40" s="15">
        <f>IF(SUM(AJ40:AK40)=2,"Confirm_Buy","No_Action")</f>
        <v/>
      </c>
      <c r="AJ40" s="15">
        <f>IF(H40&gt;I40,1,0)</f>
        <v/>
      </c>
      <c r="AK40" s="15">
        <f>IF(K40&gt;M40,1,0)</f>
        <v/>
      </c>
    </row>
    <row r="41" ht="14.5" customHeight="1">
      <c r="A41" s="12" t="inlineStr">
        <is>
          <t>BAJAJHLDNG</t>
        </is>
      </c>
      <c r="B41" s="13">
        <f>IFERROR(__xludf.DUMMYFUNCTION("GOOGLEFINANCE(""NSE:""&amp;A41,""PRICE"")"),11080)</f>
        <v/>
      </c>
      <c r="C41" s="13">
        <f>IFERROR(__xludf.DUMMYFUNCTION("GOOGLEFINANCE(""NSE:""&amp;A41,""PRICEOPEN"")"),10700)</f>
        <v/>
      </c>
      <c r="D41" s="13">
        <f>IFERROR(__xludf.DUMMYFUNCTION("GOOGLEFINANCE(""NSE:""&amp;A41,""HIGH"")"),11244.45)</f>
        <v/>
      </c>
      <c r="E41" s="13">
        <f>IFERROR(__xludf.DUMMYFUNCTION("GOOGLEFINANCE(""NSE:""&amp;A41,""LOW"")"),10675.85)</f>
        <v/>
      </c>
      <c r="F41" s="13">
        <f>IFERROR(__xludf.DUMMYFUNCTION("GOOGLEFINANCE(""NSE:""&amp;A41,""closeyest"")"),10675.85)</f>
        <v/>
      </c>
      <c r="G41" s="14">
        <f>(B41-C41)/B41</f>
        <v/>
      </c>
      <c r="H41" s="13">
        <f>IFERROR(__xludf.DUMMYFUNCTION("GOOGLEFINANCE(""NSE:""&amp;A41,""VOLUME"")"),127070)</f>
        <v/>
      </c>
      <c r="I41" s="13">
        <f>IFERROR(__xludf.DUMMYFUNCTION("AVERAGE(index(GOOGLEFINANCE(""NSE:""&amp;$A41, ""volume"", today()-21, today()-1), , 2))"),"#N/A")</f>
        <v/>
      </c>
      <c r="J41" s="14">
        <f>(H41-I41)/I41</f>
        <v/>
      </c>
      <c r="K41" s="13">
        <f>IFERROR(__xludf.DUMMYFUNCTION("AVERAGE(index(GOOGLEFINANCE(""NSE:""&amp;$A41, ""close"", today()-6, today()-1), , 2))"),"#N/A")</f>
        <v/>
      </c>
      <c r="L41" s="13">
        <f>IFERROR(__xludf.DUMMYFUNCTION("AVERAGE(index(GOOGLEFINANCE(""NSE:""&amp;$A41, ""close"", today()-14, today()-1), , 2))"),"#N/A")</f>
        <v/>
      </c>
      <c r="M41" s="13">
        <f>IFERROR(__xludf.DUMMYFUNCTION("AVERAGE(index(GOOGLEFINANCE(""NSE:""&amp;$A41, ""close"", today()-22, today()-1), , 2))"),"#N/A")</f>
        <v/>
      </c>
      <c r="N41" s="13">
        <f>AG41</f>
        <v/>
      </c>
      <c r="O41" s="13">
        <f>AI41</f>
        <v/>
      </c>
      <c r="P41" s="13">
        <f>W41</f>
        <v/>
      </c>
      <c r="Q41" s="13">
        <f>Y41</f>
        <v/>
      </c>
      <c r="R41" s="15" t="n"/>
      <c r="S41" s="15">
        <f>LEFT(W41,2)&amp;LEFT(Y41,2)</f>
        <v/>
      </c>
      <c r="T41" s="15" t="n"/>
      <c r="U41" s="15">
        <f>IF(K41&lt;L41,1,0)</f>
        <v/>
      </c>
      <c r="V41" s="15">
        <f>IF(H41&gt;I41,1,0)</f>
        <v/>
      </c>
      <c r="W41" s="15">
        <f>IF(SUM(U41:V41)=2,"Anticipatory_Sell","No_Action")</f>
        <v/>
      </c>
      <c r="X41" s="15" t="n"/>
      <c r="Y41" s="15">
        <f>IF(SUM(Z41:AA41)=2,"Confirm_Sell","No_Action")</f>
        <v/>
      </c>
      <c r="Z41" s="15">
        <f>IF(H41&gt;I41,1,0)</f>
        <v/>
      </c>
      <c r="AA41" s="15">
        <f>IF(K41&lt;M41,1,0)</f>
        <v/>
      </c>
      <c r="AB41" s="15" t="n"/>
      <c r="AC41" s="15">
        <f>LEFT(AG41,2)&amp;LEFT(AI41,2)</f>
        <v/>
      </c>
      <c r="AD41" s="15" t="n"/>
      <c r="AE41" s="15">
        <f>IF(K41&gt;L41,1,0)</f>
        <v/>
      </c>
      <c r="AF41" s="16">
        <f>IF(H41&gt;I41,1,0)</f>
        <v/>
      </c>
      <c r="AG41" s="16">
        <f>IF(SUM(AE41:AF41)=2,"Anticipatory_Buy","No_Action")</f>
        <v/>
      </c>
      <c r="AH41" s="15" t="n"/>
      <c r="AI41" s="15">
        <f>IF(SUM(AJ41:AK41)=2,"Confirm_Buy","No_Action")</f>
        <v/>
      </c>
      <c r="AJ41" s="15">
        <f>IF(H41&gt;I41,1,0)</f>
        <v/>
      </c>
      <c r="AK41" s="15">
        <f>IF(K41&gt;M41,1,0)</f>
        <v/>
      </c>
    </row>
    <row r="42" ht="14.5" customHeight="1">
      <c r="A42" s="12" t="inlineStr">
        <is>
          <t>BALAMINES</t>
        </is>
      </c>
      <c r="B42" s="13">
        <f>IFERROR(__xludf.DUMMYFUNCTION("GOOGLEFINANCE(""NSE:""&amp;A42,""PRICE"")"),2051)</f>
        <v/>
      </c>
      <c r="C42" s="13">
        <f>IFERROR(__xludf.DUMMYFUNCTION("GOOGLEFINANCE(""NSE:""&amp;A42,""PRICEOPEN"")"),2080)</f>
        <v/>
      </c>
      <c r="D42" s="13">
        <f>IFERROR(__xludf.DUMMYFUNCTION("GOOGLEFINANCE(""NSE:""&amp;A42,""HIGH"")"),2084.6)</f>
        <v/>
      </c>
      <c r="E42" s="13">
        <f>IFERROR(__xludf.DUMMYFUNCTION("GOOGLEFINANCE(""NSE:""&amp;A42,""LOW"")"),2045)</f>
        <v/>
      </c>
      <c r="F42" s="13">
        <f>IFERROR(__xludf.DUMMYFUNCTION("GOOGLEFINANCE(""NSE:""&amp;A42,""closeyest"")"),2078.7)</f>
        <v/>
      </c>
      <c r="G42" s="14">
        <f>(B42-C42)/B42</f>
        <v/>
      </c>
      <c r="H42" s="13">
        <f>IFERROR(__xludf.DUMMYFUNCTION("GOOGLEFINANCE(""NSE:""&amp;A42,""VOLUME"")"),25020)</f>
        <v/>
      </c>
      <c r="I42" s="13">
        <f>IFERROR(__xludf.DUMMYFUNCTION("AVERAGE(index(GOOGLEFINANCE(""NSE:""&amp;$A42, ""volume"", today()-21, today()-1), , 2))"),"#N/A")</f>
        <v/>
      </c>
      <c r="J42" s="14">
        <f>(H42-I42)/I42</f>
        <v/>
      </c>
      <c r="K42" s="13">
        <f>IFERROR(__xludf.DUMMYFUNCTION("AVERAGE(index(GOOGLEFINANCE(""NSE:""&amp;$A42, ""close"", today()-6, today()-1), , 2))"),"#N/A")</f>
        <v/>
      </c>
      <c r="L42" s="13">
        <f>IFERROR(__xludf.DUMMYFUNCTION("AVERAGE(index(GOOGLEFINANCE(""NSE:""&amp;$A42, ""close"", today()-14, today()-1), , 2))"),"#N/A")</f>
        <v/>
      </c>
      <c r="M42" s="13">
        <f>IFERROR(__xludf.DUMMYFUNCTION("AVERAGE(index(GOOGLEFINANCE(""NSE:""&amp;$A42, ""close"", today()-22, today()-1), , 2))"),"#N/A")</f>
        <v/>
      </c>
      <c r="N42" s="13">
        <f>AG42</f>
        <v/>
      </c>
      <c r="O42" s="13">
        <f>AI42</f>
        <v/>
      </c>
      <c r="P42" s="13">
        <f>W42</f>
        <v/>
      </c>
      <c r="Q42" s="13">
        <f>Y42</f>
        <v/>
      </c>
      <c r="R42" s="15" t="n"/>
      <c r="S42" s="15">
        <f>LEFT(W42,2)&amp;LEFT(Y42,2)</f>
        <v/>
      </c>
      <c r="T42" s="15" t="n"/>
      <c r="U42" s="15">
        <f>IF(K42&lt;L42,1,0)</f>
        <v/>
      </c>
      <c r="V42" s="15">
        <f>IF(H42&gt;I42,1,0)</f>
        <v/>
      </c>
      <c r="W42" s="15">
        <f>IF(SUM(U42:V42)=2,"Anticipatory_Sell","No_Action")</f>
        <v/>
      </c>
      <c r="X42" s="15" t="n"/>
      <c r="Y42" s="15">
        <f>IF(SUM(Z42:AA42)=2,"Confirm_Sell","No_Action")</f>
        <v/>
      </c>
      <c r="Z42" s="15">
        <f>IF(H42&gt;I42,1,0)</f>
        <v/>
      </c>
      <c r="AA42" s="15">
        <f>IF(K42&lt;M42,1,0)</f>
        <v/>
      </c>
      <c r="AB42" s="15" t="n"/>
      <c r="AC42" s="15">
        <f>LEFT(AG42,2)&amp;LEFT(AI42,2)</f>
        <v/>
      </c>
      <c r="AD42" s="15" t="n"/>
      <c r="AE42" s="15">
        <f>IF(K42&gt;L42,1,0)</f>
        <v/>
      </c>
      <c r="AF42" s="16">
        <f>IF(H42&gt;I42,1,0)</f>
        <v/>
      </c>
      <c r="AG42" s="16">
        <f>IF(SUM(AE42:AF42)=2,"Anticipatory_Buy","No_Action")</f>
        <v/>
      </c>
      <c r="AH42" s="15" t="n"/>
      <c r="AI42" s="15">
        <f>IF(SUM(AJ42:AK42)=2,"Confirm_Buy","No_Action")</f>
        <v/>
      </c>
      <c r="AJ42" s="15">
        <f>IF(H42&gt;I42,1,0)</f>
        <v/>
      </c>
      <c r="AK42" s="15">
        <f>IF(K42&gt;M42,1,0)</f>
        <v/>
      </c>
    </row>
    <row r="43" ht="14.5" customHeight="1">
      <c r="A43" s="12" t="inlineStr">
        <is>
          <t>BALKRISIND</t>
        </is>
      </c>
      <c r="B43" s="13">
        <f>IFERROR(__xludf.DUMMYFUNCTION("GOOGLEFINANCE(""NSE:""&amp;A43,""PRICE"")"),2860)</f>
        <v/>
      </c>
      <c r="C43" s="13">
        <f>IFERROR(__xludf.DUMMYFUNCTION("GOOGLEFINANCE(""NSE:""&amp;A43,""PRICEOPEN"")"),2800.15)</f>
        <v/>
      </c>
      <c r="D43" s="13">
        <f>IFERROR(__xludf.DUMMYFUNCTION("GOOGLEFINANCE(""NSE:""&amp;A43,""HIGH"")"),2894.5)</f>
        <v/>
      </c>
      <c r="E43" s="13">
        <f>IFERROR(__xludf.DUMMYFUNCTION("GOOGLEFINANCE(""NSE:""&amp;A43,""LOW"")"),2682.05)</f>
        <v/>
      </c>
      <c r="F43" s="13">
        <f>IFERROR(__xludf.DUMMYFUNCTION("GOOGLEFINANCE(""NSE:""&amp;A43,""closeyest"")"),2806.7)</f>
        <v/>
      </c>
      <c r="G43" s="14">
        <f>(B43-C43)/B43</f>
        <v/>
      </c>
      <c r="H43" s="13">
        <f>IFERROR(__xludf.DUMMYFUNCTION("GOOGLEFINANCE(""NSE:""&amp;A43,""VOLUME"")"),259452)</f>
        <v/>
      </c>
      <c r="I43" s="13">
        <f>IFERROR(__xludf.DUMMYFUNCTION("AVERAGE(index(GOOGLEFINANCE(""NSE:""&amp;$A43, ""volume"", today()-21, today()-1), , 2))"),"#N/A")</f>
        <v/>
      </c>
      <c r="J43" s="14">
        <f>(H43-I43)/I43</f>
        <v/>
      </c>
      <c r="K43" s="13">
        <f>IFERROR(__xludf.DUMMYFUNCTION("AVERAGE(index(GOOGLEFINANCE(""NSE:""&amp;$A43, ""close"", today()-6, today()-1), , 2))"),"#N/A")</f>
        <v/>
      </c>
      <c r="L43" s="13">
        <f>IFERROR(__xludf.DUMMYFUNCTION("AVERAGE(index(GOOGLEFINANCE(""NSE:""&amp;$A43, ""close"", today()-14, today()-1), , 2))"),"#N/A")</f>
        <v/>
      </c>
      <c r="M43" s="13">
        <f>IFERROR(__xludf.DUMMYFUNCTION("AVERAGE(index(GOOGLEFINANCE(""NSE:""&amp;$A43, ""close"", today()-22, today()-1), , 2))"),"#N/A")</f>
        <v/>
      </c>
      <c r="N43" s="13">
        <f>AG43</f>
        <v/>
      </c>
      <c r="O43" s="13">
        <f>AI43</f>
        <v/>
      </c>
      <c r="P43" s="13">
        <f>W43</f>
        <v/>
      </c>
      <c r="Q43" s="13">
        <f>Y43</f>
        <v/>
      </c>
      <c r="R43" s="15" t="n"/>
      <c r="S43" s="15">
        <f>LEFT(W43,2)&amp;LEFT(Y43,2)</f>
        <v/>
      </c>
      <c r="T43" s="15" t="n"/>
      <c r="U43" s="15">
        <f>IF(K43&lt;L43,1,0)</f>
        <v/>
      </c>
      <c r="V43" s="15">
        <f>IF(H43&gt;I43,1,0)</f>
        <v/>
      </c>
      <c r="W43" s="15">
        <f>IF(SUM(U43:V43)=2,"Anticipatory_Sell","No_Action")</f>
        <v/>
      </c>
      <c r="X43" s="15" t="n"/>
      <c r="Y43" s="15">
        <f>IF(SUM(Z43:AA43)=2,"Confirm_Sell","No_Action")</f>
        <v/>
      </c>
      <c r="Z43" s="15">
        <f>IF(H43&gt;I43,1,0)</f>
        <v/>
      </c>
      <c r="AA43" s="15">
        <f>IF(K43&lt;M43,1,0)</f>
        <v/>
      </c>
      <c r="AB43" s="15" t="n"/>
      <c r="AC43" s="15">
        <f>LEFT(AG43,2)&amp;LEFT(AI43,2)</f>
        <v/>
      </c>
      <c r="AD43" s="15" t="n"/>
      <c r="AE43" s="15">
        <f>IF(K43&gt;L43,1,0)</f>
        <v/>
      </c>
      <c r="AF43" s="16">
        <f>IF(H43&gt;I43,1,0)</f>
        <v/>
      </c>
      <c r="AG43" s="16">
        <f>IF(SUM(AE43:AF43)=2,"Anticipatory_Buy","No_Action")</f>
        <v/>
      </c>
      <c r="AH43" s="15" t="n"/>
      <c r="AI43" s="15">
        <f>IF(SUM(AJ43:AK43)=2,"Confirm_Buy","No_Action")</f>
        <v/>
      </c>
      <c r="AJ43" s="15">
        <f>IF(H43&gt;I43,1,0)</f>
        <v/>
      </c>
      <c r="AK43" s="15">
        <f>IF(K43&gt;M43,1,0)</f>
        <v/>
      </c>
    </row>
    <row r="44" ht="14.5" customHeight="1">
      <c r="A44" s="12" t="inlineStr">
        <is>
          <t>BALRAMCHIN</t>
        </is>
      </c>
      <c r="B44" s="13">
        <f>IFERROR(__xludf.DUMMYFUNCTION("GOOGLEFINANCE(""NSE:""&amp;A44,""PRICE"")"),575)</f>
        <v/>
      </c>
      <c r="C44" s="13">
        <f>IFERROR(__xludf.DUMMYFUNCTION("GOOGLEFINANCE(""NSE:""&amp;A44,""PRICEOPEN"")"),584)</f>
        <v/>
      </c>
      <c r="D44" s="13">
        <f>IFERROR(__xludf.DUMMYFUNCTION("GOOGLEFINANCE(""NSE:""&amp;A44,""HIGH"")"),588.4)</f>
        <v/>
      </c>
      <c r="E44" s="13">
        <f>IFERROR(__xludf.DUMMYFUNCTION("GOOGLEFINANCE(""NSE:""&amp;A44,""LOW"")"),568.75)</f>
        <v/>
      </c>
      <c r="F44" s="13">
        <f>IFERROR(__xludf.DUMMYFUNCTION("GOOGLEFINANCE(""NSE:""&amp;A44,""closeyest"")"),583.95)</f>
        <v/>
      </c>
      <c r="G44" s="14">
        <f>(B44-C44)/B44</f>
        <v/>
      </c>
      <c r="H44" s="13">
        <f>IFERROR(__xludf.DUMMYFUNCTION("GOOGLEFINANCE(""NSE:""&amp;A44,""VOLUME"")"),683540)</f>
        <v/>
      </c>
      <c r="I44" s="13">
        <f>IFERROR(__xludf.DUMMYFUNCTION("AVERAGE(index(GOOGLEFINANCE(""NSE:""&amp;$A44, ""volume"", today()-21, today()-1), , 2))"),"#N/A")</f>
        <v/>
      </c>
      <c r="J44" s="14">
        <f>(H44-I44)/I44</f>
        <v/>
      </c>
      <c r="K44" s="13">
        <f>IFERROR(__xludf.DUMMYFUNCTION("AVERAGE(index(GOOGLEFINANCE(""NSE:""&amp;$A44, ""close"", today()-6, today()-1), , 2))"),"#N/A")</f>
        <v/>
      </c>
      <c r="L44" s="13">
        <f>IFERROR(__xludf.DUMMYFUNCTION("AVERAGE(index(GOOGLEFINANCE(""NSE:""&amp;$A44, ""close"", today()-14, today()-1), , 2))"),"#N/A")</f>
        <v/>
      </c>
      <c r="M44" s="13">
        <f>IFERROR(__xludf.DUMMYFUNCTION("AVERAGE(index(GOOGLEFINANCE(""NSE:""&amp;$A44, ""close"", today()-22, today()-1), , 2))"),"#N/A")</f>
        <v/>
      </c>
      <c r="N44" s="13">
        <f>AG44</f>
        <v/>
      </c>
      <c r="O44" s="13">
        <f>AI44</f>
        <v/>
      </c>
      <c r="P44" s="13">
        <f>W44</f>
        <v/>
      </c>
      <c r="Q44" s="13">
        <f>Y44</f>
        <v/>
      </c>
      <c r="R44" s="15" t="n"/>
      <c r="S44" s="15">
        <f>LEFT(W44,2)&amp;LEFT(Y44,2)</f>
        <v/>
      </c>
      <c r="T44" s="15" t="n"/>
      <c r="U44" s="15">
        <f>IF(K44&lt;L44,1,0)</f>
        <v/>
      </c>
      <c r="V44" s="15">
        <f>IF(H44&gt;I44,1,0)</f>
        <v/>
      </c>
      <c r="W44" s="15">
        <f>IF(SUM(U44:V44)=2,"Anticipatory_Sell","No_Action")</f>
        <v/>
      </c>
      <c r="X44" s="15" t="n"/>
      <c r="Y44" s="15">
        <f>IF(SUM(Z44:AA44)=2,"Confirm_Sell","No_Action")</f>
        <v/>
      </c>
      <c r="Z44" s="15">
        <f>IF(H44&gt;I44,1,0)</f>
        <v/>
      </c>
      <c r="AA44" s="15">
        <f>IF(K44&lt;M44,1,0)</f>
        <v/>
      </c>
      <c r="AB44" s="15" t="n"/>
      <c r="AC44" s="15">
        <f>LEFT(AG44,2)&amp;LEFT(AI44,2)</f>
        <v/>
      </c>
      <c r="AD44" s="15" t="n"/>
      <c r="AE44" s="15">
        <f>IF(K44&gt;L44,1,0)</f>
        <v/>
      </c>
      <c r="AF44" s="16">
        <f>IF(H44&gt;I44,1,0)</f>
        <v/>
      </c>
      <c r="AG44" s="16">
        <f>IF(SUM(AE44:AF44)=2,"Anticipatory_Buy","No_Action")</f>
        <v/>
      </c>
      <c r="AH44" s="15" t="n"/>
      <c r="AI44" s="15">
        <f>IF(SUM(AJ44:AK44)=2,"Confirm_Buy","No_Action")</f>
        <v/>
      </c>
      <c r="AJ44" s="15">
        <f>IF(H44&gt;I44,1,0)</f>
        <v/>
      </c>
      <c r="AK44" s="15">
        <f>IF(K44&gt;M44,1,0)</f>
        <v/>
      </c>
    </row>
    <row r="45" ht="14.5" customHeight="1">
      <c r="A45" s="12" t="inlineStr">
        <is>
          <t>BALUFORGE</t>
        </is>
      </c>
      <c r="B45" s="13">
        <f>IFERROR(__xludf.DUMMYFUNCTION("GOOGLEFINANCE(""NSE:""&amp;A45,""PRICE"")"),805)</f>
        <v/>
      </c>
      <c r="C45" s="13">
        <f>IFERROR(__xludf.DUMMYFUNCTION("GOOGLEFINANCE(""NSE:""&amp;A45,""PRICEOPEN"")"),812)</f>
        <v/>
      </c>
      <c r="D45" s="13">
        <f>IFERROR(__xludf.DUMMYFUNCTION("GOOGLEFINANCE(""NSE:""&amp;A45,""HIGH"")"),824)</f>
        <v/>
      </c>
      <c r="E45" s="13">
        <f>IFERROR(__xludf.DUMMYFUNCTION("GOOGLEFINANCE(""NSE:""&amp;A45,""LOW"")"),788.1)</f>
        <v/>
      </c>
      <c r="F45" s="13">
        <f>IFERROR(__xludf.DUMMYFUNCTION("GOOGLEFINANCE(""NSE:""&amp;A45,""closeyest"")"),806.75)</f>
        <v/>
      </c>
      <c r="G45" s="14">
        <f>(B45-C45)/B45</f>
        <v/>
      </c>
      <c r="H45" s="13">
        <f>IFERROR(__xludf.DUMMYFUNCTION("GOOGLEFINANCE(""NSE:""&amp;A45,""VOLUME"")"),610217)</f>
        <v/>
      </c>
      <c r="I45" s="13">
        <f>IFERROR(__xludf.DUMMYFUNCTION("AVERAGE(index(GOOGLEFINANCE(""NSE:""&amp;$A45, ""volume"", today()-21, today()-1), , 2))"),"#N/A")</f>
        <v/>
      </c>
      <c r="J45" s="14">
        <f>(H45-I45)/I45</f>
        <v/>
      </c>
      <c r="K45" s="13">
        <f>IFERROR(__xludf.DUMMYFUNCTION("AVERAGE(index(GOOGLEFINANCE(""NSE:""&amp;$A45, ""close"", today()-6, today()-1), , 2))"),"#N/A")</f>
        <v/>
      </c>
      <c r="L45" s="13">
        <f>IFERROR(__xludf.DUMMYFUNCTION("AVERAGE(index(GOOGLEFINANCE(""NSE:""&amp;$A45, ""close"", today()-14, today()-1), , 2))"),"#N/A")</f>
        <v/>
      </c>
      <c r="M45" s="13">
        <f>IFERROR(__xludf.DUMMYFUNCTION("AVERAGE(index(GOOGLEFINANCE(""NSE:""&amp;$A45, ""close"", today()-22, today()-1), , 2))"),"#N/A")</f>
        <v/>
      </c>
      <c r="N45" s="13">
        <f>AG45</f>
        <v/>
      </c>
      <c r="O45" s="13">
        <f>AI45</f>
        <v/>
      </c>
      <c r="P45" s="13">
        <f>W45</f>
        <v/>
      </c>
      <c r="Q45" s="13">
        <f>Y45</f>
        <v/>
      </c>
      <c r="R45" s="15" t="n"/>
      <c r="S45" s="15">
        <f>LEFT(W45,2)&amp;LEFT(Y45,2)</f>
        <v/>
      </c>
      <c r="T45" s="15" t="n"/>
      <c r="U45" s="15">
        <f>IF(K45&lt;L45,1,0)</f>
        <v/>
      </c>
      <c r="V45" s="15">
        <f>IF(H45&gt;I45,1,0)</f>
        <v/>
      </c>
      <c r="W45" s="15">
        <f>IF(SUM(U45:V45)=2,"Anticipatory_Sell","No_Action")</f>
        <v/>
      </c>
      <c r="X45" s="15" t="n"/>
      <c r="Y45" s="15">
        <f>IF(SUM(Z45:AA45)=2,"Confirm_Sell","No_Action")</f>
        <v/>
      </c>
      <c r="Z45" s="15">
        <f>IF(H45&gt;I45,1,0)</f>
        <v/>
      </c>
      <c r="AA45" s="15">
        <f>IF(K45&lt;M45,1,0)</f>
        <v/>
      </c>
      <c r="AB45" s="15" t="n"/>
      <c r="AC45" s="15">
        <f>LEFT(AG45,2)&amp;LEFT(AI45,2)</f>
        <v/>
      </c>
      <c r="AD45" s="15" t="n"/>
      <c r="AE45" s="15">
        <f>IF(K45&gt;L45,1,0)</f>
        <v/>
      </c>
      <c r="AF45" s="16">
        <f>IF(H45&gt;I45,1,0)</f>
        <v/>
      </c>
      <c r="AG45" s="16">
        <f>IF(SUM(AE45:AF45)=2,"Anticipatory_Buy","No_Action")</f>
        <v/>
      </c>
      <c r="AH45" s="15" t="n"/>
      <c r="AI45" s="15">
        <f>IF(SUM(AJ45:AK45)=2,"Confirm_Buy","No_Action")</f>
        <v/>
      </c>
      <c r="AJ45" s="15">
        <f>IF(H45&gt;I45,1,0)</f>
        <v/>
      </c>
      <c r="AK45" s="15">
        <f>IF(K45&gt;M45,1,0)</f>
        <v/>
      </c>
    </row>
    <row r="46" ht="14.5" customHeight="1">
      <c r="A46" s="12" t="inlineStr">
        <is>
          <t>BANKBARODA</t>
        </is>
      </c>
      <c r="B46" s="13">
        <f>IFERROR(__xludf.DUMMYFUNCTION("GOOGLEFINANCE(""NSE:""&amp;A46,""PRICE"")"),262.9)</f>
        <v/>
      </c>
      <c r="C46" s="13">
        <f>IFERROR(__xludf.DUMMYFUNCTION("GOOGLEFINANCE(""NSE:""&amp;A46,""PRICEOPEN"")"),263)</f>
        <v/>
      </c>
      <c r="D46" s="13">
        <f>IFERROR(__xludf.DUMMYFUNCTION("GOOGLEFINANCE(""NSE:""&amp;A46,""HIGH"")"),264.8)</f>
        <v/>
      </c>
      <c r="E46" s="13">
        <f>IFERROR(__xludf.DUMMYFUNCTION("GOOGLEFINANCE(""NSE:""&amp;A46,""LOW"")"),261.32)</f>
        <v/>
      </c>
      <c r="F46" s="13">
        <f>IFERROR(__xludf.DUMMYFUNCTION("GOOGLEFINANCE(""NSE:""&amp;A46,""closeyest"")"),264.6)</f>
        <v/>
      </c>
      <c r="G46" s="14">
        <f>(B46-C46)/B46</f>
        <v/>
      </c>
      <c r="H46" s="13">
        <f>IFERROR(__xludf.DUMMYFUNCTION("GOOGLEFINANCE(""NSE:""&amp;A46,""VOLUME"")"),9706145)</f>
        <v/>
      </c>
      <c r="I46" s="13">
        <f>IFERROR(__xludf.DUMMYFUNCTION("AVERAGE(index(GOOGLEFINANCE(""NSE:""&amp;$A46, ""volume"", today()-21, today()-1), , 2))"),"#N/A")</f>
        <v/>
      </c>
      <c r="J46" s="14">
        <f>(H46-I46)/I46</f>
        <v/>
      </c>
      <c r="K46" s="13">
        <f>IFERROR(__xludf.DUMMYFUNCTION("AVERAGE(index(GOOGLEFINANCE(""NSE:""&amp;$A46, ""close"", today()-6, today()-1), , 2))"),"#N/A")</f>
        <v/>
      </c>
      <c r="L46" s="13">
        <f>IFERROR(__xludf.DUMMYFUNCTION("AVERAGE(index(GOOGLEFINANCE(""NSE:""&amp;$A46, ""close"", today()-14, today()-1), , 2))"),"#N/A")</f>
        <v/>
      </c>
      <c r="M46" s="13">
        <f>IFERROR(__xludf.DUMMYFUNCTION("AVERAGE(index(GOOGLEFINANCE(""NSE:""&amp;$A46, ""close"", today()-22, today()-1), , 2))"),"#N/A")</f>
        <v/>
      </c>
      <c r="N46" s="13">
        <f>AG46</f>
        <v/>
      </c>
      <c r="O46" s="13">
        <f>AI46</f>
        <v/>
      </c>
      <c r="P46" s="13">
        <f>W46</f>
        <v/>
      </c>
      <c r="Q46" s="13">
        <f>Y46</f>
        <v/>
      </c>
      <c r="R46" s="15" t="n"/>
      <c r="S46" s="15">
        <f>LEFT(W46,2)&amp;LEFT(Y46,2)</f>
        <v/>
      </c>
      <c r="T46" s="15" t="n"/>
      <c r="U46" s="15">
        <f>IF(K46&lt;L46,1,0)</f>
        <v/>
      </c>
      <c r="V46" s="15">
        <f>IF(H46&gt;I46,1,0)</f>
        <v/>
      </c>
      <c r="W46" s="15">
        <f>IF(SUM(U46:V46)=2,"Anticipatory_Sell","No_Action")</f>
        <v/>
      </c>
      <c r="X46" s="15" t="n"/>
      <c r="Y46" s="15">
        <f>IF(SUM(Z46:AA46)=2,"Confirm_Sell","No_Action")</f>
        <v/>
      </c>
      <c r="Z46" s="15">
        <f>IF(H46&gt;I46,1,0)</f>
        <v/>
      </c>
      <c r="AA46" s="15">
        <f>IF(K46&lt;M46,1,0)</f>
        <v/>
      </c>
      <c r="AB46" s="15" t="n"/>
      <c r="AC46" s="15">
        <f>LEFT(AG46,2)&amp;LEFT(AI46,2)</f>
        <v/>
      </c>
      <c r="AD46" s="15" t="n"/>
      <c r="AE46" s="15">
        <f>IF(K46&gt;L46,1,0)</f>
        <v/>
      </c>
      <c r="AF46" s="16">
        <f>IF(H46&gt;I46,1,0)</f>
        <v/>
      </c>
      <c r="AG46" s="16">
        <f>IF(SUM(AE46:AF46)=2,"Anticipatory_Buy","No_Action")</f>
        <v/>
      </c>
      <c r="AH46" s="15" t="n"/>
      <c r="AI46" s="15">
        <f>IF(SUM(AJ46:AK46)=2,"Confirm_Buy","No_Action")</f>
        <v/>
      </c>
      <c r="AJ46" s="15">
        <f>IF(H46&gt;I46,1,0)</f>
        <v/>
      </c>
      <c r="AK46" s="15">
        <f>IF(K46&gt;M46,1,0)</f>
        <v/>
      </c>
    </row>
    <row r="47" ht="14.5" customHeight="1">
      <c r="A47" s="12" t="inlineStr">
        <is>
          <t>MAHABANK</t>
        </is>
      </c>
      <c r="B47" s="13">
        <f>IFERROR(__xludf.DUMMYFUNCTION("GOOGLEFINANCE(""NSE:""&amp;A47,""PRICE"")"),57.3)</f>
        <v/>
      </c>
      <c r="C47" s="13">
        <f>IFERROR(__xludf.DUMMYFUNCTION("GOOGLEFINANCE(""NSE:""&amp;A47,""PRICEOPEN"")"),58.14)</f>
        <v/>
      </c>
      <c r="D47" s="13">
        <f>IFERROR(__xludf.DUMMYFUNCTION("GOOGLEFINANCE(""NSE:""&amp;A47,""HIGH"")"),58.56)</f>
        <v/>
      </c>
      <c r="E47" s="13">
        <f>IFERROR(__xludf.DUMMYFUNCTION("GOOGLEFINANCE(""NSE:""&amp;A47,""LOW"")"),57.11)</f>
        <v/>
      </c>
      <c r="F47" s="13">
        <f>IFERROR(__xludf.DUMMYFUNCTION("GOOGLEFINANCE(""NSE:""&amp;A47,""closeyest"")"),57.84)</f>
        <v/>
      </c>
      <c r="G47" s="14">
        <f>(B47-C47)/B47</f>
        <v/>
      </c>
      <c r="H47" s="13">
        <f>IFERROR(__xludf.DUMMYFUNCTION("GOOGLEFINANCE(""NSE:""&amp;A47,""VOLUME"")"),13119585)</f>
        <v/>
      </c>
      <c r="I47" s="13">
        <f>IFERROR(__xludf.DUMMYFUNCTION("AVERAGE(index(GOOGLEFINANCE(""NSE:""&amp;$A47, ""volume"", today()-21, today()-1), , 2))"),"#N/A")</f>
        <v/>
      </c>
      <c r="J47" s="14">
        <f>(H47-I47)/I47</f>
        <v/>
      </c>
      <c r="K47" s="13">
        <f>IFERROR(__xludf.DUMMYFUNCTION("AVERAGE(index(GOOGLEFINANCE(""NSE:""&amp;$A47, ""close"", today()-6, today()-1), , 2))"),"#N/A")</f>
        <v/>
      </c>
      <c r="L47" s="13">
        <f>IFERROR(__xludf.DUMMYFUNCTION("AVERAGE(index(GOOGLEFINANCE(""NSE:""&amp;$A47, ""close"", today()-14, today()-1), , 2))"),"#N/A")</f>
        <v/>
      </c>
      <c r="M47" s="13">
        <f>IFERROR(__xludf.DUMMYFUNCTION("AVERAGE(index(GOOGLEFINANCE(""NSE:""&amp;$A47, ""close"", today()-22, today()-1), , 2))"),"#N/A")</f>
        <v/>
      </c>
      <c r="N47" s="13">
        <f>AG47</f>
        <v/>
      </c>
      <c r="O47" s="13">
        <f>AI47</f>
        <v/>
      </c>
      <c r="P47" s="13">
        <f>W47</f>
        <v/>
      </c>
      <c r="Q47" s="13">
        <f>Y47</f>
        <v/>
      </c>
      <c r="R47" s="15" t="n"/>
      <c r="S47" s="15">
        <f>LEFT(W47,2)&amp;LEFT(Y47,2)</f>
        <v/>
      </c>
      <c r="T47" s="15" t="n"/>
      <c r="U47" s="15">
        <f>IF(K47&lt;L47,1,0)</f>
        <v/>
      </c>
      <c r="V47" s="15">
        <f>IF(H47&gt;I47,1,0)</f>
        <v/>
      </c>
      <c r="W47" s="15">
        <f>IF(SUM(U47:V47)=2,"Anticipatory_Sell","No_Action")</f>
        <v/>
      </c>
      <c r="X47" s="15" t="n"/>
      <c r="Y47" s="15">
        <f>IF(SUM(Z47:AA47)=2,"Confirm_Sell","No_Action")</f>
        <v/>
      </c>
      <c r="Z47" s="15">
        <f>IF(H47&gt;I47,1,0)</f>
        <v/>
      </c>
      <c r="AA47" s="15">
        <f>IF(K47&lt;M47,1,0)</f>
        <v/>
      </c>
      <c r="AB47" s="15" t="n"/>
      <c r="AC47" s="15">
        <f>LEFT(AG47,2)&amp;LEFT(AI47,2)</f>
        <v/>
      </c>
      <c r="AD47" s="15" t="n"/>
      <c r="AE47" s="15">
        <f>IF(K47&gt;L47,1,0)</f>
        <v/>
      </c>
      <c r="AF47" s="16">
        <f>IF(H47&gt;I47,1,0)</f>
        <v/>
      </c>
      <c r="AG47" s="16">
        <f>IF(SUM(AE47:AF47)=2,"Anticipatory_Buy","No_Action")</f>
        <v/>
      </c>
      <c r="AH47" s="15" t="n"/>
      <c r="AI47" s="15">
        <f>IF(SUM(AJ47:AK47)=2,"Confirm_Buy","No_Action")</f>
        <v/>
      </c>
      <c r="AJ47" s="15">
        <f>IF(H47&gt;I47,1,0)</f>
        <v/>
      </c>
      <c r="AK47" s="15">
        <f>IF(K47&gt;M47,1,0)</f>
        <v/>
      </c>
    </row>
    <row r="48" ht="14.5" customHeight="1">
      <c r="A48" s="12" t="inlineStr">
        <is>
          <t>BATAINDIA</t>
        </is>
      </c>
      <c r="B48" s="13">
        <f>IFERROR(__xludf.DUMMYFUNCTION("GOOGLEFINANCE(""NSE:""&amp;A48,""PRICE"")"),1445.1)</f>
        <v/>
      </c>
      <c r="C48" s="13">
        <f>IFERROR(__xludf.DUMMYFUNCTION("GOOGLEFINANCE(""NSE:""&amp;A48,""PRICEOPEN"")"),1448.8)</f>
        <v/>
      </c>
      <c r="D48" s="13">
        <f>IFERROR(__xludf.DUMMYFUNCTION("GOOGLEFINANCE(""NSE:""&amp;A48,""HIGH"")"),1457.5)</f>
        <v/>
      </c>
      <c r="E48" s="13">
        <f>IFERROR(__xludf.DUMMYFUNCTION("GOOGLEFINANCE(""NSE:""&amp;A48,""LOW"")"),1439.35)</f>
        <v/>
      </c>
      <c r="F48" s="13">
        <f>IFERROR(__xludf.DUMMYFUNCTION("GOOGLEFINANCE(""NSE:""&amp;A48,""closeyest"")"),1447)</f>
        <v/>
      </c>
      <c r="G48" s="14">
        <f>(B48-C48)/B48</f>
        <v/>
      </c>
      <c r="H48" s="13">
        <f>IFERROR(__xludf.DUMMYFUNCTION("GOOGLEFINANCE(""NSE:""&amp;A48,""VOLUME"")"),119924)</f>
        <v/>
      </c>
      <c r="I48" s="13">
        <f>IFERROR(__xludf.DUMMYFUNCTION("AVERAGE(index(GOOGLEFINANCE(""NSE:""&amp;$A48, ""volume"", today()-21, today()-1), , 2))"),"#N/A")</f>
        <v/>
      </c>
      <c r="J48" s="14">
        <f>(H48-I48)/I48</f>
        <v/>
      </c>
      <c r="K48" s="13">
        <f>IFERROR(__xludf.DUMMYFUNCTION("AVERAGE(index(GOOGLEFINANCE(""NSE:""&amp;$A48, ""close"", today()-6, today()-1), , 2))"),"#N/A")</f>
        <v/>
      </c>
      <c r="L48" s="13">
        <f>IFERROR(__xludf.DUMMYFUNCTION("AVERAGE(index(GOOGLEFINANCE(""NSE:""&amp;$A48, ""close"", today()-14, today()-1), , 2))"),"#N/A")</f>
        <v/>
      </c>
      <c r="M48" s="13">
        <f>IFERROR(__xludf.DUMMYFUNCTION("AVERAGE(index(GOOGLEFINANCE(""NSE:""&amp;$A48, ""close"", today()-22, today()-1), , 2))"),"#N/A")</f>
        <v/>
      </c>
      <c r="N48" s="13">
        <f>AG48</f>
        <v/>
      </c>
      <c r="O48" s="13">
        <f>AI48</f>
        <v/>
      </c>
      <c r="P48" s="13">
        <f>W48</f>
        <v/>
      </c>
      <c r="Q48" s="13">
        <f>Y48</f>
        <v/>
      </c>
      <c r="R48" s="15" t="n"/>
      <c r="S48" s="15">
        <f>LEFT(W48,2)&amp;LEFT(Y48,2)</f>
        <v/>
      </c>
      <c r="T48" s="15" t="n"/>
      <c r="U48" s="15">
        <f>IF(K48&lt;L48,1,0)</f>
        <v/>
      </c>
      <c r="V48" s="15">
        <f>IF(H48&gt;I48,1,0)</f>
        <v/>
      </c>
      <c r="W48" s="15">
        <f>IF(SUM(U48:V48)=2,"Anticipatory_Sell","No_Action")</f>
        <v/>
      </c>
      <c r="X48" s="15" t="n"/>
      <c r="Y48" s="15">
        <f>IF(SUM(Z48:AA48)=2,"Confirm_Sell","No_Action")</f>
        <v/>
      </c>
      <c r="Z48" s="15">
        <f>IF(H48&gt;I48,1,0)</f>
        <v/>
      </c>
      <c r="AA48" s="15">
        <f>IF(K48&lt;M48,1,0)</f>
        <v/>
      </c>
      <c r="AB48" s="15" t="n"/>
      <c r="AC48" s="15">
        <f>LEFT(AG48,2)&amp;LEFT(AI48,2)</f>
        <v/>
      </c>
      <c r="AD48" s="15" t="n"/>
      <c r="AE48" s="15">
        <f>IF(K48&gt;L48,1,0)</f>
        <v/>
      </c>
      <c r="AF48" s="16">
        <f>IF(H48&gt;I48,1,0)</f>
        <v/>
      </c>
      <c r="AG48" s="16">
        <f>IF(SUM(AE48:AF48)=2,"Anticipatory_Buy","No_Action")</f>
        <v/>
      </c>
      <c r="AH48" s="15" t="n"/>
      <c r="AI48" s="15">
        <f>IF(SUM(AJ48:AK48)=2,"Confirm_Buy","No_Action")</f>
        <v/>
      </c>
      <c r="AJ48" s="15">
        <f>IF(H48&gt;I48,1,0)</f>
        <v/>
      </c>
      <c r="AK48" s="15">
        <f>IF(K48&gt;M48,1,0)</f>
        <v/>
      </c>
    </row>
    <row r="49" ht="14.5" customHeight="1">
      <c r="A49" s="12" t="inlineStr">
        <is>
          <t>BAYERCROP</t>
        </is>
      </c>
      <c r="B49" s="13">
        <f>IFERROR(__xludf.DUMMYFUNCTION("GOOGLEFINANCE(""NSE:""&amp;A49,""PRICE"")"),6068)</f>
        <v/>
      </c>
      <c r="C49" s="13">
        <f>IFERROR(__xludf.DUMMYFUNCTION("GOOGLEFINANCE(""NSE:""&amp;A49,""PRICEOPEN"")"),6037.95)</f>
        <v/>
      </c>
      <c r="D49" s="13">
        <f>IFERROR(__xludf.DUMMYFUNCTION("GOOGLEFINANCE(""NSE:""&amp;A49,""HIGH"")"),6105)</f>
        <v/>
      </c>
      <c r="E49" s="13">
        <f>IFERROR(__xludf.DUMMYFUNCTION("GOOGLEFINANCE(""NSE:""&amp;A49,""LOW"")"),6009.65)</f>
        <v/>
      </c>
      <c r="F49" s="13">
        <f>IFERROR(__xludf.DUMMYFUNCTION("GOOGLEFINANCE(""NSE:""&amp;A49,""closeyest"")"),6037.95)</f>
        <v/>
      </c>
      <c r="G49" s="14">
        <f>(B49-C49)/B49</f>
        <v/>
      </c>
      <c r="H49" s="13">
        <f>IFERROR(__xludf.DUMMYFUNCTION("GOOGLEFINANCE(""NSE:""&amp;A49,""VOLUME"")"),12050)</f>
        <v/>
      </c>
      <c r="I49" s="13">
        <f>IFERROR(__xludf.DUMMYFUNCTION("AVERAGE(index(GOOGLEFINANCE(""NSE:""&amp;$A49, ""volume"", today()-21, today()-1), , 2))"),"#N/A")</f>
        <v/>
      </c>
      <c r="J49" s="14">
        <f>(H49-I49)/I49</f>
        <v/>
      </c>
      <c r="K49" s="13">
        <f>IFERROR(__xludf.DUMMYFUNCTION("AVERAGE(index(GOOGLEFINANCE(""NSE:""&amp;$A49, ""close"", today()-6, today()-1), , 2))"),"#N/A")</f>
        <v/>
      </c>
      <c r="L49" s="13">
        <f>IFERROR(__xludf.DUMMYFUNCTION("AVERAGE(index(GOOGLEFINANCE(""NSE:""&amp;$A49, ""close"", today()-14, today()-1), , 2))"),"#N/A")</f>
        <v/>
      </c>
      <c r="M49" s="13">
        <f>IFERROR(__xludf.DUMMYFUNCTION("AVERAGE(index(GOOGLEFINANCE(""NSE:""&amp;$A49, ""close"", today()-22, today()-1), , 2))"),"#N/A")</f>
        <v/>
      </c>
      <c r="N49" s="13">
        <f>AG49</f>
        <v/>
      </c>
      <c r="O49" s="13">
        <f>AI49</f>
        <v/>
      </c>
      <c r="P49" s="13">
        <f>W49</f>
        <v/>
      </c>
      <c r="Q49" s="13">
        <f>Y49</f>
        <v/>
      </c>
      <c r="R49" s="15" t="n"/>
      <c r="S49" s="15">
        <f>LEFT(W49,2)&amp;LEFT(Y49,2)</f>
        <v/>
      </c>
      <c r="T49" s="15" t="n"/>
      <c r="U49" s="15">
        <f>IF(K49&lt;L49,1,0)</f>
        <v/>
      </c>
      <c r="V49" s="15">
        <f>IF(H49&gt;I49,1,0)</f>
        <v/>
      </c>
      <c r="W49" s="15">
        <f>IF(SUM(U49:V49)=2,"Anticipatory_Sell","No_Action")</f>
        <v/>
      </c>
      <c r="X49" s="15" t="n"/>
      <c r="Y49" s="15">
        <f>IF(SUM(Z49:AA49)=2,"Confirm_Sell","No_Action")</f>
        <v/>
      </c>
      <c r="Z49" s="15">
        <f>IF(H49&gt;I49,1,0)</f>
        <v/>
      </c>
      <c r="AA49" s="15">
        <f>IF(K49&lt;M49,1,0)</f>
        <v/>
      </c>
      <c r="AB49" s="15" t="n"/>
      <c r="AC49" s="15">
        <f>LEFT(AG49,2)&amp;LEFT(AI49,2)</f>
        <v/>
      </c>
      <c r="AD49" s="15" t="n"/>
      <c r="AE49" s="15">
        <f>IF(K49&gt;L49,1,0)</f>
        <v/>
      </c>
      <c r="AF49" s="16">
        <f>IF(H49&gt;I49,1,0)</f>
        <v/>
      </c>
      <c r="AG49" s="16">
        <f>IF(SUM(AE49:AF49)=2,"Anticipatory_Buy","No_Action")</f>
        <v/>
      </c>
      <c r="AH49" s="15" t="n"/>
      <c r="AI49" s="15">
        <f>IF(SUM(AJ49:AK49)=2,"Confirm_Buy","No_Action")</f>
        <v/>
      </c>
      <c r="AJ49" s="15">
        <f>IF(H49&gt;I49,1,0)</f>
        <v/>
      </c>
      <c r="AK49" s="15">
        <f>IF(K49&gt;M49,1,0)</f>
        <v/>
      </c>
    </row>
    <row r="50" ht="14.5" customHeight="1">
      <c r="A50" s="12" t="inlineStr">
        <is>
          <t>BERGEPAINT</t>
        </is>
      </c>
      <c r="B50" s="13">
        <f>IFERROR(__xludf.DUMMYFUNCTION("GOOGLEFINANCE(""NSE:""&amp;A50,""PRICE"")"),479.85)</f>
        <v/>
      </c>
      <c r="C50" s="13">
        <f>IFERROR(__xludf.DUMMYFUNCTION("GOOGLEFINANCE(""NSE:""&amp;A50,""PRICEOPEN"")"),482)</f>
        <v/>
      </c>
      <c r="D50" s="13">
        <f>IFERROR(__xludf.DUMMYFUNCTION("GOOGLEFINANCE(""NSE:""&amp;A50,""HIGH"")"),482.9)</f>
        <v/>
      </c>
      <c r="E50" s="13">
        <f>IFERROR(__xludf.DUMMYFUNCTION("GOOGLEFINANCE(""NSE:""&amp;A50,""LOW"")"),474.3)</f>
        <v/>
      </c>
      <c r="F50" s="13">
        <f>IFERROR(__xludf.DUMMYFUNCTION("GOOGLEFINANCE(""NSE:""&amp;A50,""closeyest"")"),480.45)</f>
        <v/>
      </c>
      <c r="G50" s="14">
        <f>(B50-C50)/B50</f>
        <v/>
      </c>
      <c r="H50" s="13">
        <f>IFERROR(__xludf.DUMMYFUNCTION("GOOGLEFINANCE(""NSE:""&amp;A50,""VOLUME"")"),1214274)</f>
        <v/>
      </c>
      <c r="I50" s="13">
        <f>IFERROR(__xludf.DUMMYFUNCTION("AVERAGE(index(GOOGLEFINANCE(""NSE:""&amp;$A50, ""volume"", today()-21, today()-1), , 2))"),"#N/A")</f>
        <v/>
      </c>
      <c r="J50" s="14">
        <f>(H50-I50)/I50</f>
        <v/>
      </c>
      <c r="K50" s="13">
        <f>IFERROR(__xludf.DUMMYFUNCTION("AVERAGE(index(GOOGLEFINANCE(""NSE:""&amp;$A50, ""close"", today()-6, today()-1), , 2))"),"#N/A")</f>
        <v/>
      </c>
      <c r="L50" s="13">
        <f>IFERROR(__xludf.DUMMYFUNCTION("AVERAGE(index(GOOGLEFINANCE(""NSE:""&amp;$A50, ""close"", today()-14, today()-1), , 2))"),"#N/A")</f>
        <v/>
      </c>
      <c r="M50" s="13">
        <f>IFERROR(__xludf.DUMMYFUNCTION("AVERAGE(index(GOOGLEFINANCE(""NSE:""&amp;$A50, ""close"", today()-22, today()-1), , 2))"),"#N/A")</f>
        <v/>
      </c>
      <c r="N50" s="13">
        <f>AG50</f>
        <v/>
      </c>
      <c r="O50" s="13">
        <f>AI50</f>
        <v/>
      </c>
      <c r="P50" s="13">
        <f>W50</f>
        <v/>
      </c>
      <c r="Q50" s="13">
        <f>Y50</f>
        <v/>
      </c>
      <c r="R50" s="15" t="n"/>
      <c r="S50" s="15">
        <f>LEFT(W50,2)&amp;LEFT(Y50,2)</f>
        <v/>
      </c>
      <c r="T50" s="15" t="n"/>
      <c r="U50" s="15">
        <f>IF(K50&lt;L50,1,0)</f>
        <v/>
      </c>
      <c r="V50" s="15">
        <f>IF(H50&gt;I50,1,0)</f>
        <v/>
      </c>
      <c r="W50" s="15">
        <f>IF(SUM(U50:V50)=2,"Anticipatory_Sell","No_Action")</f>
        <v/>
      </c>
      <c r="X50" s="15" t="n"/>
      <c r="Y50" s="15">
        <f>IF(SUM(Z50:AA50)=2,"Confirm_Sell","No_Action")</f>
        <v/>
      </c>
      <c r="Z50" s="15">
        <f>IF(H50&gt;I50,1,0)</f>
        <v/>
      </c>
      <c r="AA50" s="15">
        <f>IF(K50&lt;M50,1,0)</f>
        <v/>
      </c>
      <c r="AB50" s="15" t="n"/>
      <c r="AC50" s="15">
        <f>LEFT(AG50,2)&amp;LEFT(AI50,2)</f>
        <v/>
      </c>
      <c r="AD50" s="15" t="n"/>
      <c r="AE50" s="15">
        <f>IF(K50&gt;L50,1,0)</f>
        <v/>
      </c>
      <c r="AF50" s="16">
        <f>IF(H50&gt;I50,1,0)</f>
        <v/>
      </c>
      <c r="AG50" s="16">
        <f>IF(SUM(AE50:AF50)=2,"Anticipatory_Buy","No_Action")</f>
        <v/>
      </c>
      <c r="AH50" s="15" t="n"/>
      <c r="AI50" s="15">
        <f>IF(SUM(AJ50:AK50)=2,"Confirm_Buy","No_Action")</f>
        <v/>
      </c>
      <c r="AJ50" s="15">
        <f>IF(H50&gt;I50,1,0)</f>
        <v/>
      </c>
      <c r="AK50" s="15">
        <f>IF(K50&gt;M50,1,0)</f>
        <v/>
      </c>
    </row>
    <row r="51" ht="14.5" customHeight="1">
      <c r="A51" s="12" t="inlineStr">
        <is>
          <t>BEPL</t>
        </is>
      </c>
      <c r="B51" s="13">
        <f>IFERROR(__xludf.DUMMYFUNCTION("GOOGLEFINANCE(""NSE:""&amp;A51,""PRICE"")"),141.95)</f>
        <v/>
      </c>
      <c r="C51" s="13">
        <f>IFERROR(__xludf.DUMMYFUNCTION("GOOGLEFINANCE(""NSE:""&amp;A51,""PRICEOPEN"")"),143.89)</f>
        <v/>
      </c>
      <c r="D51" s="13">
        <f>IFERROR(__xludf.DUMMYFUNCTION("GOOGLEFINANCE(""NSE:""&amp;A51,""HIGH"")"),146.45)</f>
        <v/>
      </c>
      <c r="E51" s="13">
        <f>IFERROR(__xludf.DUMMYFUNCTION("GOOGLEFINANCE(""NSE:""&amp;A51,""LOW"")"),141.04)</f>
        <v/>
      </c>
      <c r="F51" s="13">
        <f>IFERROR(__xludf.DUMMYFUNCTION("GOOGLEFINANCE(""NSE:""&amp;A51,""closeyest"")"),143.27)</f>
        <v/>
      </c>
      <c r="G51" s="14">
        <f>(B51-C51)/B51</f>
        <v/>
      </c>
      <c r="H51" s="13">
        <f>IFERROR(__xludf.DUMMYFUNCTION("GOOGLEFINANCE(""NSE:""&amp;A51,""VOLUME"")"),711565)</f>
        <v/>
      </c>
      <c r="I51" s="13">
        <f>IFERROR(__xludf.DUMMYFUNCTION("AVERAGE(index(GOOGLEFINANCE(""NSE:""&amp;$A51, ""volume"", today()-21, today()-1), , 2))"),"#N/A")</f>
        <v/>
      </c>
      <c r="J51" s="14">
        <f>(H51-I51)/I51</f>
        <v/>
      </c>
      <c r="K51" s="13">
        <f>IFERROR(__xludf.DUMMYFUNCTION("AVERAGE(index(GOOGLEFINANCE(""NSE:""&amp;$A51, ""close"", today()-6, today()-1), , 2))"),"#N/A")</f>
        <v/>
      </c>
      <c r="L51" s="13">
        <f>IFERROR(__xludf.DUMMYFUNCTION("AVERAGE(index(GOOGLEFINANCE(""NSE:""&amp;$A51, ""close"", today()-14, today()-1), , 2))"),"#N/A")</f>
        <v/>
      </c>
      <c r="M51" s="13">
        <f>IFERROR(__xludf.DUMMYFUNCTION("AVERAGE(index(GOOGLEFINANCE(""NSE:""&amp;$A51, ""close"", today()-22, today()-1), , 2))"),"#N/A")</f>
        <v/>
      </c>
      <c r="N51" s="13">
        <f>AG51</f>
        <v/>
      </c>
      <c r="O51" s="13">
        <f>AI51</f>
        <v/>
      </c>
      <c r="P51" s="13">
        <f>W51</f>
        <v/>
      </c>
      <c r="Q51" s="13">
        <f>Y51</f>
        <v/>
      </c>
      <c r="R51" s="15" t="n"/>
      <c r="S51" s="15">
        <f>LEFT(W51,2)&amp;LEFT(Y51,2)</f>
        <v/>
      </c>
      <c r="T51" s="15" t="n"/>
      <c r="U51" s="15">
        <f>IF(K51&lt;L51,1,0)</f>
        <v/>
      </c>
      <c r="V51" s="15">
        <f>IF(H51&gt;I51,1,0)</f>
        <v/>
      </c>
      <c r="W51" s="15">
        <f>IF(SUM(U51:V51)=2,"Anticipatory_Sell","No_Action")</f>
        <v/>
      </c>
      <c r="X51" s="15" t="n"/>
      <c r="Y51" s="15">
        <f>IF(SUM(Z51:AA51)=2,"Confirm_Sell","No_Action")</f>
        <v/>
      </c>
      <c r="Z51" s="15">
        <f>IF(H51&gt;I51,1,0)</f>
        <v/>
      </c>
      <c r="AA51" s="15">
        <f>IF(K51&lt;M51,1,0)</f>
        <v/>
      </c>
      <c r="AB51" s="15" t="n"/>
      <c r="AC51" s="15">
        <f>LEFT(AG51,2)&amp;LEFT(AI51,2)</f>
        <v/>
      </c>
      <c r="AD51" s="15" t="n"/>
      <c r="AE51" s="15">
        <f>IF(K51&gt;L51,1,0)</f>
        <v/>
      </c>
      <c r="AF51" s="16">
        <f>IF(H51&gt;I51,1,0)</f>
        <v/>
      </c>
      <c r="AG51" s="16">
        <f>IF(SUM(AE51:AF51)=2,"Anticipatory_Buy","No_Action")</f>
        <v/>
      </c>
      <c r="AH51" s="15" t="n"/>
      <c r="AI51" s="15">
        <f>IF(SUM(AJ51:AK51)=2,"Confirm_Buy","No_Action")</f>
        <v/>
      </c>
      <c r="AJ51" s="15">
        <f>IF(H51&gt;I51,1,0)</f>
        <v/>
      </c>
      <c r="AK51" s="15">
        <f>IF(K51&gt;M51,1,0)</f>
        <v/>
      </c>
    </row>
    <row r="52" ht="14.5" customHeight="1">
      <c r="A52" s="12" t="inlineStr">
        <is>
          <t>BHARATFORG</t>
        </is>
      </c>
      <c r="B52" s="13">
        <f>IFERROR(__xludf.DUMMYFUNCTION("GOOGLEFINANCE(""NSE:""&amp;A52,""PRICE"")"),1362.5)</f>
        <v/>
      </c>
      <c r="C52" s="13">
        <f>IFERROR(__xludf.DUMMYFUNCTION("GOOGLEFINANCE(""NSE:""&amp;A52,""PRICEOPEN"")"),1354.75)</f>
        <v/>
      </c>
      <c r="D52" s="13">
        <f>IFERROR(__xludf.DUMMYFUNCTION("GOOGLEFINANCE(""NSE:""&amp;A52,""HIGH"")"),1375)</f>
        <v/>
      </c>
      <c r="E52" s="13">
        <f>IFERROR(__xludf.DUMMYFUNCTION("GOOGLEFINANCE(""NSE:""&amp;A52,""LOW"")"),1341)</f>
        <v/>
      </c>
      <c r="F52" s="13">
        <f>IFERROR(__xludf.DUMMYFUNCTION("GOOGLEFINANCE(""NSE:""&amp;A52,""closeyest"")"),1354.75)</f>
        <v/>
      </c>
      <c r="G52" s="14">
        <f>(B52-C52)/B52</f>
        <v/>
      </c>
      <c r="H52" s="13">
        <f>IFERROR(__xludf.DUMMYFUNCTION("GOOGLEFINANCE(""NSE:""&amp;A52,""VOLUME"")"),909119)</f>
        <v/>
      </c>
      <c r="I52" s="13">
        <f>IFERROR(__xludf.DUMMYFUNCTION("AVERAGE(index(GOOGLEFINANCE(""NSE:""&amp;$A52, ""volume"", today()-21, today()-1), , 2))"),"#N/A")</f>
        <v/>
      </c>
      <c r="J52" s="14">
        <f>(H52-I52)/I52</f>
        <v/>
      </c>
      <c r="K52" s="13">
        <f>IFERROR(__xludf.DUMMYFUNCTION("AVERAGE(index(GOOGLEFINANCE(""NSE:""&amp;$A52, ""close"", today()-6, today()-1), , 2))"),"#N/A")</f>
        <v/>
      </c>
      <c r="L52" s="13">
        <f>IFERROR(__xludf.DUMMYFUNCTION("AVERAGE(index(GOOGLEFINANCE(""NSE:""&amp;$A52, ""close"", today()-14, today()-1), , 2))"),"#N/A")</f>
        <v/>
      </c>
      <c r="M52" s="13">
        <f>IFERROR(__xludf.DUMMYFUNCTION("AVERAGE(index(GOOGLEFINANCE(""NSE:""&amp;$A52, ""close"", today()-22, today()-1), , 2))"),"#N/A")</f>
        <v/>
      </c>
      <c r="N52" s="13">
        <f>AG52</f>
        <v/>
      </c>
      <c r="O52" s="13">
        <f>AI52</f>
        <v/>
      </c>
      <c r="P52" s="13">
        <f>W52</f>
        <v/>
      </c>
      <c r="Q52" s="13">
        <f>Y52</f>
        <v/>
      </c>
      <c r="R52" s="15" t="n"/>
      <c r="S52" s="15">
        <f>LEFT(W52,2)&amp;LEFT(Y52,2)</f>
        <v/>
      </c>
      <c r="T52" s="15" t="n"/>
      <c r="U52" s="15">
        <f>IF(K52&lt;L52,1,0)</f>
        <v/>
      </c>
      <c r="V52" s="15">
        <f>IF(H52&gt;I52,1,0)</f>
        <v/>
      </c>
      <c r="W52" s="15">
        <f>IF(SUM(U52:V52)=2,"Anticipatory_Sell","No_Action")</f>
        <v/>
      </c>
      <c r="X52" s="15" t="n"/>
      <c r="Y52" s="15">
        <f>IF(SUM(Z52:AA52)=2,"Confirm_Sell","No_Action")</f>
        <v/>
      </c>
      <c r="Z52" s="15">
        <f>IF(H52&gt;I52,1,0)</f>
        <v/>
      </c>
      <c r="AA52" s="15">
        <f>IF(K52&lt;M52,1,0)</f>
        <v/>
      </c>
      <c r="AB52" s="15" t="n"/>
      <c r="AC52" s="15">
        <f>LEFT(AG52,2)&amp;LEFT(AI52,2)</f>
        <v/>
      </c>
      <c r="AD52" s="15" t="n"/>
      <c r="AE52" s="15">
        <f>IF(K52&gt;L52,1,0)</f>
        <v/>
      </c>
      <c r="AF52" s="16">
        <f>IF(H52&gt;I52,1,0)</f>
        <v/>
      </c>
      <c r="AG52" s="16">
        <f>IF(SUM(AE52:AF52)=2,"Anticipatory_Buy","No_Action")</f>
        <v/>
      </c>
      <c r="AH52" s="15" t="n"/>
      <c r="AI52" s="15">
        <f>IF(SUM(AJ52:AK52)=2,"Confirm_Buy","No_Action")</f>
        <v/>
      </c>
      <c r="AJ52" s="15">
        <f>IF(H52&gt;I52,1,0)</f>
        <v/>
      </c>
      <c r="AK52" s="15">
        <f>IF(K52&gt;M52,1,0)</f>
        <v/>
      </c>
    </row>
    <row r="53" ht="14.5" customHeight="1">
      <c r="A53" s="12" t="inlineStr">
        <is>
          <t>BHARATRAS</t>
        </is>
      </c>
      <c r="B53" s="13">
        <f>IFERROR(__xludf.DUMMYFUNCTION("GOOGLEFINANCE(""NSE:""&amp;A53,""PRICE"")"),11466.7)</f>
        <v/>
      </c>
      <c r="C53" s="13">
        <f>IFERROR(__xludf.DUMMYFUNCTION("GOOGLEFINANCE(""NSE:""&amp;A53,""PRICEOPEN"")"),11619)</f>
        <v/>
      </c>
      <c r="D53" s="13">
        <f>IFERROR(__xludf.DUMMYFUNCTION("GOOGLEFINANCE(""NSE:""&amp;A53,""HIGH"")"),11619)</f>
        <v/>
      </c>
      <c r="E53" s="13">
        <f>IFERROR(__xludf.DUMMYFUNCTION("GOOGLEFINANCE(""NSE:""&amp;A53,""LOW"")"),11287.55)</f>
        <v/>
      </c>
      <c r="F53" s="13">
        <f>IFERROR(__xludf.DUMMYFUNCTION("GOOGLEFINANCE(""NSE:""&amp;A53,""closeyest"")"),11545.35)</f>
        <v/>
      </c>
      <c r="G53" s="14">
        <f>(B53-C53)/B53</f>
        <v/>
      </c>
      <c r="H53" s="13">
        <f>IFERROR(__xludf.DUMMYFUNCTION("GOOGLEFINANCE(""NSE:""&amp;A53,""VOLUME"")"),2431)</f>
        <v/>
      </c>
      <c r="I53" s="13">
        <f>IFERROR(__xludf.DUMMYFUNCTION("AVERAGE(index(GOOGLEFINANCE(""NSE:""&amp;$A53, ""volume"", today()-21, today()-1), , 2))"),"#N/A")</f>
        <v/>
      </c>
      <c r="J53" s="14">
        <f>(H53-I53)/I53</f>
        <v/>
      </c>
      <c r="K53" s="13">
        <f>IFERROR(__xludf.DUMMYFUNCTION("AVERAGE(index(GOOGLEFINANCE(""NSE:""&amp;$A53, ""close"", today()-6, today()-1), , 2))"),"#N/A")</f>
        <v/>
      </c>
      <c r="L53" s="13">
        <f>IFERROR(__xludf.DUMMYFUNCTION("AVERAGE(index(GOOGLEFINANCE(""NSE:""&amp;$A53, ""close"", today()-14, today()-1), , 2))"),"#N/A")</f>
        <v/>
      </c>
      <c r="M53" s="13">
        <f>IFERROR(__xludf.DUMMYFUNCTION("AVERAGE(index(GOOGLEFINANCE(""NSE:""&amp;$A53, ""close"", today()-22, today()-1), , 2))"),"#N/A")</f>
        <v/>
      </c>
      <c r="N53" s="13">
        <f>AG53</f>
        <v/>
      </c>
      <c r="O53" s="13">
        <f>AI53</f>
        <v/>
      </c>
      <c r="P53" s="13">
        <f>W53</f>
        <v/>
      </c>
      <c r="Q53" s="13">
        <f>Y53</f>
        <v/>
      </c>
      <c r="R53" s="15" t="n"/>
      <c r="S53" s="15">
        <f>LEFT(W53,2)&amp;LEFT(Y53,2)</f>
        <v/>
      </c>
      <c r="T53" s="15" t="n"/>
      <c r="U53" s="15">
        <f>IF(K53&lt;L53,1,0)</f>
        <v/>
      </c>
      <c r="V53" s="15">
        <f>IF(H53&gt;I53,1,0)</f>
        <v/>
      </c>
      <c r="W53" s="15">
        <f>IF(SUM(U53:V53)=2,"Anticipatory_Sell","No_Action")</f>
        <v/>
      </c>
      <c r="X53" s="15" t="n"/>
      <c r="Y53" s="15">
        <f>IF(SUM(Z53:AA53)=2,"Confirm_Sell","No_Action")</f>
        <v/>
      </c>
      <c r="Z53" s="15">
        <f>IF(H53&gt;I53,1,0)</f>
        <v/>
      </c>
      <c r="AA53" s="15">
        <f>IF(K53&lt;M53,1,0)</f>
        <v/>
      </c>
      <c r="AB53" s="15" t="n"/>
      <c r="AC53" s="15">
        <f>LEFT(AG53,2)&amp;LEFT(AI53,2)</f>
        <v/>
      </c>
      <c r="AD53" s="15" t="n"/>
      <c r="AE53" s="15">
        <f>IF(K53&gt;L53,1,0)</f>
        <v/>
      </c>
      <c r="AF53" s="16">
        <f>IF(H53&gt;I53,1,0)</f>
        <v/>
      </c>
      <c r="AG53" s="16">
        <f>IF(SUM(AE53:AF53)=2,"Anticipatory_Buy","No_Action")</f>
        <v/>
      </c>
      <c r="AH53" s="15" t="n"/>
      <c r="AI53" s="15">
        <f>IF(SUM(AJ53:AK53)=2,"Confirm_Buy","No_Action")</f>
        <v/>
      </c>
      <c r="AJ53" s="15">
        <f>IF(H53&gt;I53,1,0)</f>
        <v/>
      </c>
      <c r="AK53" s="15">
        <f>IF(K53&gt;M53,1,0)</f>
        <v/>
      </c>
    </row>
    <row r="54" ht="14.5" customHeight="1">
      <c r="A54" s="12" t="inlineStr">
        <is>
          <t>BHARATWIRE</t>
        </is>
      </c>
      <c r="B54" s="13">
        <f>IFERROR(__xludf.DUMMYFUNCTION("GOOGLEFINANCE(""NSE:""&amp;A54,""PRICE"")"),239.85)</f>
        <v/>
      </c>
      <c r="C54" s="13">
        <f>IFERROR(__xludf.DUMMYFUNCTION("GOOGLEFINANCE(""NSE:""&amp;A54,""PRICEOPEN"")"),239.7)</f>
        <v/>
      </c>
      <c r="D54" s="13">
        <f>IFERROR(__xludf.DUMMYFUNCTION("GOOGLEFINANCE(""NSE:""&amp;A54,""HIGH"")"),241.02)</f>
        <v/>
      </c>
      <c r="E54" s="13">
        <f>IFERROR(__xludf.DUMMYFUNCTION("GOOGLEFINANCE(""NSE:""&amp;A54,""LOW"")"),236.01)</f>
        <v/>
      </c>
      <c r="F54" s="13">
        <f>IFERROR(__xludf.DUMMYFUNCTION("GOOGLEFINANCE(""NSE:""&amp;A54,""closeyest"")"),238)</f>
        <v/>
      </c>
      <c r="G54" s="14">
        <f>(B54-C54)/B54</f>
        <v/>
      </c>
      <c r="H54" s="13">
        <f>IFERROR(__xludf.DUMMYFUNCTION("GOOGLEFINANCE(""NSE:""&amp;A54,""VOLUME"")"),64840)</f>
        <v/>
      </c>
      <c r="I54" s="13">
        <f>IFERROR(__xludf.DUMMYFUNCTION("AVERAGE(index(GOOGLEFINANCE(""NSE:""&amp;$A54, ""volume"", today()-21, today()-1), , 2))"),"#N/A")</f>
        <v/>
      </c>
      <c r="J54" s="14">
        <f>(H54-I54)/I54</f>
        <v/>
      </c>
      <c r="K54" s="13">
        <f>IFERROR(__xludf.DUMMYFUNCTION("AVERAGE(index(GOOGLEFINANCE(""NSE:""&amp;$A54, ""close"", today()-6, today()-1), , 2))"),"#N/A")</f>
        <v/>
      </c>
      <c r="L54" s="13">
        <f>IFERROR(__xludf.DUMMYFUNCTION("AVERAGE(index(GOOGLEFINANCE(""NSE:""&amp;$A54, ""close"", today()-14, today()-1), , 2))"),"#N/A")</f>
        <v/>
      </c>
      <c r="M54" s="13">
        <f>IFERROR(__xludf.DUMMYFUNCTION("AVERAGE(index(GOOGLEFINANCE(""NSE:""&amp;$A54, ""close"", today()-22, today()-1), , 2))"),"#N/A")</f>
        <v/>
      </c>
      <c r="N54" s="13">
        <f>AG54</f>
        <v/>
      </c>
      <c r="O54" s="13">
        <f>AI54</f>
        <v/>
      </c>
      <c r="P54" s="13">
        <f>W54</f>
        <v/>
      </c>
      <c r="Q54" s="13">
        <f>Y54</f>
        <v/>
      </c>
      <c r="R54" s="15" t="n"/>
      <c r="S54" s="15">
        <f>LEFT(W54,2)&amp;LEFT(Y54,2)</f>
        <v/>
      </c>
      <c r="T54" s="15" t="n"/>
      <c r="U54" s="15">
        <f>IF(K54&lt;L54,1,0)</f>
        <v/>
      </c>
      <c r="V54" s="15">
        <f>IF(H54&gt;I54,1,0)</f>
        <v/>
      </c>
      <c r="W54" s="15">
        <f>IF(SUM(U54:V54)=2,"Anticipatory_Sell","No_Action")</f>
        <v/>
      </c>
      <c r="X54" s="15" t="n"/>
      <c r="Y54" s="15">
        <f>IF(SUM(Z54:AA54)=2,"Confirm_Sell","No_Action")</f>
        <v/>
      </c>
      <c r="Z54" s="15">
        <f>IF(H54&gt;I54,1,0)</f>
        <v/>
      </c>
      <c r="AA54" s="15">
        <f>IF(K54&lt;M54,1,0)</f>
        <v/>
      </c>
      <c r="AB54" s="15" t="n"/>
      <c r="AC54" s="15">
        <f>LEFT(AG54,2)&amp;LEFT(AI54,2)</f>
        <v/>
      </c>
      <c r="AD54" s="15" t="n"/>
      <c r="AE54" s="15">
        <f>IF(K54&gt;L54,1,0)</f>
        <v/>
      </c>
      <c r="AF54" s="16">
        <f>IF(H54&gt;I54,1,0)</f>
        <v/>
      </c>
      <c r="AG54" s="16">
        <f>IF(SUM(AE54:AF54)=2,"Anticipatory_Buy","No_Action")</f>
        <v/>
      </c>
      <c r="AH54" s="15" t="n"/>
      <c r="AI54" s="15">
        <f>IF(SUM(AJ54:AK54)=2,"Confirm_Buy","No_Action")</f>
        <v/>
      </c>
      <c r="AJ54" s="15">
        <f>IF(H54&gt;I54,1,0)</f>
        <v/>
      </c>
      <c r="AK54" s="15">
        <f>IF(K54&gt;M54,1,0)</f>
        <v/>
      </c>
    </row>
    <row r="55" ht="14.5" customHeight="1">
      <c r="A55" s="12" t="inlineStr">
        <is>
          <t>BHARTIARTL</t>
        </is>
      </c>
      <c r="B55" s="13">
        <f>IFERROR(__xludf.DUMMYFUNCTION("GOOGLEFINANCE(""NSE:""&amp;A55,""PRICE"")"),1604)</f>
        <v/>
      </c>
      <c r="C55" s="13">
        <f>IFERROR(__xludf.DUMMYFUNCTION("GOOGLEFINANCE(""NSE:""&amp;A55,""PRICEOPEN"")"),1595.9)</f>
        <v/>
      </c>
      <c r="D55" s="13">
        <f>IFERROR(__xludf.DUMMYFUNCTION("GOOGLEFINANCE(""NSE:""&amp;A55,""HIGH"")"),1605.9)</f>
        <v/>
      </c>
      <c r="E55" s="13">
        <f>IFERROR(__xludf.DUMMYFUNCTION("GOOGLEFINANCE(""NSE:""&amp;A55,""LOW"")"),1589.05)</f>
        <v/>
      </c>
      <c r="F55" s="13">
        <f>IFERROR(__xludf.DUMMYFUNCTION("GOOGLEFINANCE(""NSE:""&amp;A55,""closeyest"")"),1597.85)</f>
        <v/>
      </c>
      <c r="G55" s="14">
        <f>(B55-C55)/B55</f>
        <v/>
      </c>
      <c r="H55" s="13">
        <f>IFERROR(__xludf.DUMMYFUNCTION("GOOGLEFINANCE(""NSE:""&amp;A55,""VOLUME"")"),4264409)</f>
        <v/>
      </c>
      <c r="I55" s="13">
        <f>IFERROR(__xludf.DUMMYFUNCTION("AVERAGE(index(GOOGLEFINANCE(""NSE:""&amp;$A55, ""volume"", today()-21, today()-1), , 2))"),"#N/A")</f>
        <v/>
      </c>
      <c r="J55" s="14">
        <f>(H55-I55)/I55</f>
        <v/>
      </c>
      <c r="K55" s="13">
        <f>IFERROR(__xludf.DUMMYFUNCTION("AVERAGE(index(GOOGLEFINANCE(""NSE:""&amp;$A55, ""close"", today()-6, today()-1), , 2))"),"#N/A")</f>
        <v/>
      </c>
      <c r="L55" s="13">
        <f>IFERROR(__xludf.DUMMYFUNCTION("AVERAGE(index(GOOGLEFINANCE(""NSE:""&amp;$A55, ""close"", today()-14, today()-1), , 2))"),"#N/A")</f>
        <v/>
      </c>
      <c r="M55" s="13">
        <f>IFERROR(__xludf.DUMMYFUNCTION("AVERAGE(index(GOOGLEFINANCE(""NSE:""&amp;$A55, ""close"", today()-22, today()-1), , 2))"),"#N/A")</f>
        <v/>
      </c>
      <c r="N55" s="13">
        <f>AG55</f>
        <v/>
      </c>
      <c r="O55" s="13">
        <f>AI55</f>
        <v/>
      </c>
      <c r="P55" s="13">
        <f>W55</f>
        <v/>
      </c>
      <c r="Q55" s="13">
        <f>Y55</f>
        <v/>
      </c>
      <c r="R55" s="15" t="n"/>
      <c r="S55" s="15">
        <f>LEFT(W55,2)&amp;LEFT(Y55,2)</f>
        <v/>
      </c>
      <c r="T55" s="15" t="n"/>
      <c r="U55" s="15">
        <f>IF(K55&lt;L55,1,0)</f>
        <v/>
      </c>
      <c r="V55" s="15">
        <f>IF(H55&gt;I55,1,0)</f>
        <v/>
      </c>
      <c r="W55" s="15">
        <f>IF(SUM(U55:V55)=2,"Anticipatory_Sell","No_Action")</f>
        <v/>
      </c>
      <c r="X55" s="15" t="n"/>
      <c r="Y55" s="15">
        <f>IF(SUM(Z55:AA55)=2,"Confirm_Sell","No_Action")</f>
        <v/>
      </c>
      <c r="Z55" s="15">
        <f>IF(H55&gt;I55,1,0)</f>
        <v/>
      </c>
      <c r="AA55" s="15">
        <f>IF(K55&lt;M55,1,0)</f>
        <v/>
      </c>
      <c r="AB55" s="15" t="n"/>
      <c r="AC55" s="15">
        <f>LEFT(AG55,2)&amp;LEFT(AI55,2)</f>
        <v/>
      </c>
      <c r="AD55" s="15" t="n"/>
      <c r="AE55" s="15">
        <f>IF(K55&gt;L55,1,0)</f>
        <v/>
      </c>
      <c r="AF55" s="16">
        <f>IF(H55&gt;I55,1,0)</f>
        <v/>
      </c>
      <c r="AG55" s="16">
        <f>IF(SUM(AE55:AF55)=2,"Anticipatory_Buy","No_Action")</f>
        <v/>
      </c>
      <c r="AH55" s="15" t="n"/>
      <c r="AI55" s="15">
        <f>IF(SUM(AJ55:AK55)=2,"Confirm_Buy","No_Action")</f>
        <v/>
      </c>
      <c r="AJ55" s="15">
        <f>IF(H55&gt;I55,1,0)</f>
        <v/>
      </c>
      <c r="AK55" s="15">
        <f>IF(K55&gt;M55,1,0)</f>
        <v/>
      </c>
    </row>
    <row r="56" ht="14.5" customHeight="1">
      <c r="A56" s="12" t="inlineStr">
        <is>
          <t>BLS</t>
        </is>
      </c>
      <c r="B56" s="13">
        <f>IFERROR(__xludf.DUMMYFUNCTION("GOOGLEFINANCE(""NSE:""&amp;A56,""PRICE"")"),449)</f>
        <v/>
      </c>
      <c r="C56" s="13">
        <f>IFERROR(__xludf.DUMMYFUNCTION("GOOGLEFINANCE(""NSE:""&amp;A56,""PRICEOPEN"")"),429.9)</f>
        <v/>
      </c>
      <c r="D56" s="13">
        <f>IFERROR(__xludf.DUMMYFUNCTION("GOOGLEFINANCE(""NSE:""&amp;A56,""HIGH"")"),450)</f>
        <v/>
      </c>
      <c r="E56" s="13">
        <f>IFERROR(__xludf.DUMMYFUNCTION("GOOGLEFINANCE(""NSE:""&amp;A56,""LOW"")"),426.3)</f>
        <v/>
      </c>
      <c r="F56" s="13">
        <f>IFERROR(__xludf.DUMMYFUNCTION("GOOGLEFINANCE(""NSE:""&amp;A56,""closeyest"")"),430.05)</f>
        <v/>
      </c>
      <c r="G56" s="14">
        <f>(B56-C56)/B56</f>
        <v/>
      </c>
      <c r="H56" s="13">
        <f>IFERROR(__xludf.DUMMYFUNCTION("GOOGLEFINANCE(""NSE:""&amp;A56,""VOLUME"")"),5955781)</f>
        <v/>
      </c>
      <c r="I56" s="13">
        <f>IFERROR(__xludf.DUMMYFUNCTION("AVERAGE(index(GOOGLEFINANCE(""NSE:""&amp;$A56, ""volume"", today()-21, today()-1), , 2))"),"#N/A")</f>
        <v/>
      </c>
      <c r="J56" s="14">
        <f>(H56-I56)/I56</f>
        <v/>
      </c>
      <c r="K56" s="13">
        <f>IFERROR(__xludf.DUMMYFUNCTION("AVERAGE(index(GOOGLEFINANCE(""NSE:""&amp;$A56, ""close"", today()-6, today()-1), , 2))"),"#N/A")</f>
        <v/>
      </c>
      <c r="L56" s="13">
        <f>IFERROR(__xludf.DUMMYFUNCTION("AVERAGE(index(GOOGLEFINANCE(""NSE:""&amp;$A56, ""close"", today()-14, today()-1), , 2))"),"#N/A")</f>
        <v/>
      </c>
      <c r="M56" s="13">
        <f>IFERROR(__xludf.DUMMYFUNCTION("AVERAGE(index(GOOGLEFINANCE(""NSE:""&amp;$A56, ""close"", today()-22, today()-1), , 2))"),"#N/A")</f>
        <v/>
      </c>
      <c r="N56" s="13">
        <f>AG56</f>
        <v/>
      </c>
      <c r="O56" s="13">
        <f>AI56</f>
        <v/>
      </c>
      <c r="P56" s="13">
        <f>W56</f>
        <v/>
      </c>
      <c r="Q56" s="13">
        <f>Y56</f>
        <v/>
      </c>
      <c r="R56" s="15" t="n"/>
      <c r="S56" s="15">
        <f>LEFT(W56,2)&amp;LEFT(Y56,2)</f>
        <v/>
      </c>
      <c r="T56" s="15" t="n"/>
      <c r="U56" s="15">
        <f>IF(K56&lt;L56,1,0)</f>
        <v/>
      </c>
      <c r="V56" s="15">
        <f>IF(H56&gt;I56,1,0)</f>
        <v/>
      </c>
      <c r="W56" s="15">
        <f>IF(SUM(U56:V56)=2,"Anticipatory_Sell","No_Action")</f>
        <v/>
      </c>
      <c r="X56" s="15" t="n"/>
      <c r="Y56" s="15">
        <f>IF(SUM(Z56:AA56)=2,"Confirm_Sell","No_Action")</f>
        <v/>
      </c>
      <c r="Z56" s="15">
        <f>IF(H56&gt;I56,1,0)</f>
        <v/>
      </c>
      <c r="AA56" s="15">
        <f>IF(K56&lt;M56,1,0)</f>
        <v/>
      </c>
      <c r="AB56" s="15" t="n"/>
      <c r="AC56" s="15">
        <f>LEFT(AG56,2)&amp;LEFT(AI56,2)</f>
        <v/>
      </c>
      <c r="AD56" s="15" t="n"/>
      <c r="AE56" s="15">
        <f>IF(K56&gt;L56,1,0)</f>
        <v/>
      </c>
      <c r="AF56" s="16">
        <f>IF(H56&gt;I56,1,0)</f>
        <v/>
      </c>
      <c r="AG56" s="16">
        <f>IF(SUM(AE56:AF56)=2,"Anticipatory_Buy","No_Action")</f>
        <v/>
      </c>
      <c r="AH56" s="15" t="n"/>
      <c r="AI56" s="15">
        <f>IF(SUM(AJ56:AK56)=2,"Confirm_Buy","No_Action")</f>
        <v/>
      </c>
      <c r="AJ56" s="15">
        <f>IF(H56&gt;I56,1,0)</f>
        <v/>
      </c>
      <c r="AK56" s="15">
        <f>IF(K56&gt;M56,1,0)</f>
        <v/>
      </c>
    </row>
    <row r="57" ht="14.5" customHeight="1">
      <c r="A57" s="12" t="inlineStr">
        <is>
          <t>BLUEDART</t>
        </is>
      </c>
      <c r="B57" s="13">
        <f>IFERROR(__xludf.DUMMYFUNCTION("GOOGLEFINANCE(""NSE:""&amp;A57,""PRICE"")"),7790)</f>
        <v/>
      </c>
      <c r="C57" s="13">
        <f>IFERROR(__xludf.DUMMYFUNCTION("GOOGLEFINANCE(""NSE:""&amp;A57,""PRICEOPEN"")"),7650)</f>
        <v/>
      </c>
      <c r="D57" s="13">
        <f>IFERROR(__xludf.DUMMYFUNCTION("GOOGLEFINANCE(""NSE:""&amp;A57,""HIGH"")"),7830)</f>
        <v/>
      </c>
      <c r="E57" s="13">
        <f>IFERROR(__xludf.DUMMYFUNCTION("GOOGLEFINANCE(""NSE:""&amp;A57,""LOW"")"),7650)</f>
        <v/>
      </c>
      <c r="F57" s="13">
        <f>IFERROR(__xludf.DUMMYFUNCTION("GOOGLEFINANCE(""NSE:""&amp;A57,""closeyest"")"),7688.4)</f>
        <v/>
      </c>
      <c r="G57" s="14">
        <f>(B57-C57)/B57</f>
        <v/>
      </c>
      <c r="H57" s="13">
        <f>IFERROR(__xludf.DUMMYFUNCTION("GOOGLEFINANCE(""NSE:""&amp;A57,""VOLUME"")"),7782)</f>
        <v/>
      </c>
      <c r="I57" s="13">
        <f>IFERROR(__xludf.DUMMYFUNCTION("AVERAGE(index(GOOGLEFINANCE(""NSE:""&amp;$A57, ""volume"", today()-21, today()-1), , 2))"),"#N/A")</f>
        <v/>
      </c>
      <c r="J57" s="14">
        <f>(H57-I57)/I57</f>
        <v/>
      </c>
      <c r="K57" s="13">
        <f>IFERROR(__xludf.DUMMYFUNCTION("AVERAGE(index(GOOGLEFINANCE(""NSE:""&amp;$A57, ""close"", today()-6, today()-1), , 2))"),"#N/A")</f>
        <v/>
      </c>
      <c r="L57" s="13">
        <f>IFERROR(__xludf.DUMMYFUNCTION("AVERAGE(index(GOOGLEFINANCE(""NSE:""&amp;$A57, ""close"", today()-14, today()-1), , 2))"),"#N/A")</f>
        <v/>
      </c>
      <c r="M57" s="13">
        <f>IFERROR(__xludf.DUMMYFUNCTION("AVERAGE(index(GOOGLEFINANCE(""NSE:""&amp;$A57, ""close"", today()-22, today()-1), , 2))"),"#N/A")</f>
        <v/>
      </c>
      <c r="N57" s="13">
        <f>AG57</f>
        <v/>
      </c>
      <c r="O57" s="13">
        <f>AI57</f>
        <v/>
      </c>
      <c r="P57" s="13">
        <f>W57</f>
        <v/>
      </c>
      <c r="Q57" s="13">
        <f>Y57</f>
        <v/>
      </c>
      <c r="R57" s="15" t="n"/>
      <c r="S57" s="15">
        <f>LEFT(W57,2)&amp;LEFT(Y57,2)</f>
        <v/>
      </c>
      <c r="T57" s="15" t="n"/>
      <c r="U57" s="15">
        <f>IF(K57&lt;L57,1,0)</f>
        <v/>
      </c>
      <c r="V57" s="15">
        <f>IF(H57&gt;I57,1,0)</f>
        <v/>
      </c>
      <c r="W57" s="15">
        <f>IF(SUM(U57:V57)=2,"Anticipatory_Sell","No_Action")</f>
        <v/>
      </c>
      <c r="X57" s="15" t="n"/>
      <c r="Y57" s="15">
        <f>IF(SUM(Z57:AA57)=2,"Confirm_Sell","No_Action")</f>
        <v/>
      </c>
      <c r="Z57" s="15">
        <f>IF(H57&gt;I57,1,0)</f>
        <v/>
      </c>
      <c r="AA57" s="15">
        <f>IF(K57&lt;M57,1,0)</f>
        <v/>
      </c>
      <c r="AB57" s="15" t="n"/>
      <c r="AC57" s="15">
        <f>LEFT(AG57,2)&amp;LEFT(AI57,2)</f>
        <v/>
      </c>
      <c r="AD57" s="15" t="n"/>
      <c r="AE57" s="15">
        <f>IF(K57&gt;L57,1,0)</f>
        <v/>
      </c>
      <c r="AF57" s="16">
        <f>IF(H57&gt;I57,1,0)</f>
        <v/>
      </c>
      <c r="AG57" s="16">
        <f>IF(SUM(AE57:AF57)=2,"Anticipatory_Buy","No_Action")</f>
        <v/>
      </c>
      <c r="AH57" s="15" t="n"/>
      <c r="AI57" s="15">
        <f>IF(SUM(AJ57:AK57)=2,"Confirm_Buy","No_Action")</f>
        <v/>
      </c>
      <c r="AJ57" s="15">
        <f>IF(H57&gt;I57,1,0)</f>
        <v/>
      </c>
      <c r="AK57" s="15">
        <f>IF(K57&gt;M57,1,0)</f>
        <v/>
      </c>
    </row>
    <row r="58" ht="14.5" customHeight="1">
      <c r="A58" s="12" t="inlineStr">
        <is>
          <t>BLUESTARCO</t>
        </is>
      </c>
      <c r="B58" s="13">
        <f>IFERROR(__xludf.DUMMYFUNCTION("GOOGLEFINANCE(""NSE:""&amp;A58,""PRICE"")"),2095)</f>
        <v/>
      </c>
      <c r="C58" s="13">
        <f>IFERROR(__xludf.DUMMYFUNCTION("GOOGLEFINANCE(""NSE:""&amp;A58,""PRICEOPEN"")"),2082.5)</f>
        <v/>
      </c>
      <c r="D58" s="13">
        <f>IFERROR(__xludf.DUMMYFUNCTION("GOOGLEFINANCE(""NSE:""&amp;A58,""HIGH"")"),2138.4)</f>
        <v/>
      </c>
      <c r="E58" s="13">
        <f>IFERROR(__xludf.DUMMYFUNCTION("GOOGLEFINANCE(""NSE:""&amp;A58,""LOW"")"),2015)</f>
        <v/>
      </c>
      <c r="F58" s="13">
        <f>IFERROR(__xludf.DUMMYFUNCTION("GOOGLEFINANCE(""NSE:""&amp;A58,""closeyest"")"),2082.05)</f>
        <v/>
      </c>
      <c r="G58" s="14">
        <f>(B58-C58)/B58</f>
        <v/>
      </c>
      <c r="H58" s="13">
        <f>IFERROR(__xludf.DUMMYFUNCTION("GOOGLEFINANCE(""NSE:""&amp;A58,""VOLUME"")"),530463)</f>
        <v/>
      </c>
      <c r="I58" s="13">
        <f>IFERROR(__xludf.DUMMYFUNCTION("AVERAGE(index(GOOGLEFINANCE(""NSE:""&amp;$A58, ""volume"", today()-21, today()-1), , 2))"),"#N/A")</f>
        <v/>
      </c>
      <c r="J58" s="14">
        <f>(H58-I58)/I58</f>
        <v/>
      </c>
      <c r="K58" s="13">
        <f>IFERROR(__xludf.DUMMYFUNCTION("AVERAGE(index(GOOGLEFINANCE(""NSE:""&amp;$A58, ""close"", today()-6, today()-1), , 2))"),"#N/A")</f>
        <v/>
      </c>
      <c r="L58" s="13">
        <f>IFERROR(__xludf.DUMMYFUNCTION("AVERAGE(index(GOOGLEFINANCE(""NSE:""&amp;$A58, ""close"", today()-14, today()-1), , 2))"),"#N/A")</f>
        <v/>
      </c>
      <c r="M58" s="13">
        <f>IFERROR(__xludf.DUMMYFUNCTION("AVERAGE(index(GOOGLEFINANCE(""NSE:""&amp;$A58, ""close"", today()-22, today()-1), , 2))"),"#N/A")</f>
        <v/>
      </c>
      <c r="N58" s="13">
        <f>AG58</f>
        <v/>
      </c>
      <c r="O58" s="13">
        <f>AI58</f>
        <v/>
      </c>
      <c r="P58" s="13">
        <f>W58</f>
        <v/>
      </c>
      <c r="Q58" s="13">
        <f>Y58</f>
        <v/>
      </c>
      <c r="R58" s="15" t="n"/>
      <c r="S58" s="15">
        <f>LEFT(W58,2)&amp;LEFT(Y58,2)</f>
        <v/>
      </c>
      <c r="T58" s="15" t="n"/>
      <c r="U58" s="15">
        <f>IF(K58&lt;L58,1,0)</f>
        <v/>
      </c>
      <c r="V58" s="15">
        <f>IF(H58&gt;I58,1,0)</f>
        <v/>
      </c>
      <c r="W58" s="15">
        <f>IF(SUM(U58:V58)=2,"Anticipatory_Sell","No_Action")</f>
        <v/>
      </c>
      <c r="X58" s="15" t="n"/>
      <c r="Y58" s="15">
        <f>IF(SUM(Z58:AA58)=2,"Confirm_Sell","No_Action")</f>
        <v/>
      </c>
      <c r="Z58" s="15">
        <f>IF(H58&gt;I58,1,0)</f>
        <v/>
      </c>
      <c r="AA58" s="15">
        <f>IF(K58&lt;M58,1,0)</f>
        <v/>
      </c>
      <c r="AB58" s="15" t="n"/>
      <c r="AC58" s="15">
        <f>LEFT(AG58,2)&amp;LEFT(AI58,2)</f>
        <v/>
      </c>
      <c r="AD58" s="15" t="n"/>
      <c r="AE58" s="15">
        <f>IF(K58&gt;L58,1,0)</f>
        <v/>
      </c>
      <c r="AF58" s="16">
        <f>IF(H58&gt;I58,1,0)</f>
        <v/>
      </c>
      <c r="AG58" s="16">
        <f>IF(SUM(AE58:AF58)=2,"Anticipatory_Buy","No_Action")</f>
        <v/>
      </c>
      <c r="AH58" s="15" t="n"/>
      <c r="AI58" s="15">
        <f>IF(SUM(AJ58:AK58)=2,"Confirm_Buy","No_Action")</f>
        <v/>
      </c>
      <c r="AJ58" s="15">
        <f>IF(H58&gt;I58,1,0)</f>
        <v/>
      </c>
      <c r="AK58" s="15">
        <f>IF(K58&gt;M58,1,0)</f>
        <v/>
      </c>
    </row>
    <row r="59" ht="14.5" customHeight="1">
      <c r="A59" s="12" t="inlineStr">
        <is>
          <t>BBTC</t>
        </is>
      </c>
      <c r="B59" s="13">
        <f>IFERROR(__xludf.DUMMYFUNCTION("GOOGLEFINANCE(""NSE:""&amp;A59,""PRICE"")"),2370)</f>
        <v/>
      </c>
      <c r="C59" s="13">
        <f>IFERROR(__xludf.DUMMYFUNCTION("GOOGLEFINANCE(""NSE:""&amp;A59,""PRICEOPEN"")"),2355.45)</f>
        <v/>
      </c>
      <c r="D59" s="13">
        <f>IFERROR(__xludf.DUMMYFUNCTION("GOOGLEFINANCE(""NSE:""&amp;A59,""HIGH"")"),2487.65)</f>
        <v/>
      </c>
      <c r="E59" s="13">
        <f>IFERROR(__xludf.DUMMYFUNCTION("GOOGLEFINANCE(""NSE:""&amp;A59,""LOW"")"),2355.45)</f>
        <v/>
      </c>
      <c r="F59" s="13">
        <f>IFERROR(__xludf.DUMMYFUNCTION("GOOGLEFINANCE(""NSE:""&amp;A59,""closeyest"")"),2355.45)</f>
        <v/>
      </c>
      <c r="G59" s="14">
        <f>(B59-C59)/B59</f>
        <v/>
      </c>
      <c r="H59" s="13">
        <f>IFERROR(__xludf.DUMMYFUNCTION("GOOGLEFINANCE(""NSE:""&amp;A59,""VOLUME"")"),222284)</f>
        <v/>
      </c>
      <c r="I59" s="13">
        <f>IFERROR(__xludf.DUMMYFUNCTION("AVERAGE(index(GOOGLEFINANCE(""NSE:""&amp;$A59, ""volume"", today()-21, today()-1), , 2))"),"#N/A")</f>
        <v/>
      </c>
      <c r="J59" s="14">
        <f>(H59-I59)/I59</f>
        <v/>
      </c>
      <c r="K59" s="13">
        <f>IFERROR(__xludf.DUMMYFUNCTION("AVERAGE(index(GOOGLEFINANCE(""NSE:""&amp;$A59, ""close"", today()-6, today()-1), , 2))"),"#N/A")</f>
        <v/>
      </c>
      <c r="L59" s="13">
        <f>IFERROR(__xludf.DUMMYFUNCTION("AVERAGE(index(GOOGLEFINANCE(""NSE:""&amp;$A59, ""close"", today()-14, today()-1), , 2))"),"#N/A")</f>
        <v/>
      </c>
      <c r="M59" s="13">
        <f>IFERROR(__xludf.DUMMYFUNCTION("AVERAGE(index(GOOGLEFINANCE(""NSE:""&amp;$A59, ""close"", today()-22, today()-1), , 2))"),"#N/A")</f>
        <v/>
      </c>
      <c r="N59" s="13">
        <f>AG59</f>
        <v/>
      </c>
      <c r="O59" s="13">
        <f>AI59</f>
        <v/>
      </c>
      <c r="P59" s="13">
        <f>W59</f>
        <v/>
      </c>
      <c r="Q59" s="13">
        <f>Y59</f>
        <v/>
      </c>
      <c r="R59" s="15" t="n"/>
      <c r="S59" s="15">
        <f>LEFT(W59,2)&amp;LEFT(Y59,2)</f>
        <v/>
      </c>
      <c r="T59" s="15" t="n"/>
      <c r="U59" s="15">
        <f>IF(K59&lt;L59,1,0)</f>
        <v/>
      </c>
      <c r="V59" s="15">
        <f>IF(H59&gt;I59,1,0)</f>
        <v/>
      </c>
      <c r="W59" s="15">
        <f>IF(SUM(U59:V59)=2,"Anticipatory_Sell","No_Action")</f>
        <v/>
      </c>
      <c r="X59" s="15" t="n"/>
      <c r="Y59" s="15">
        <f>IF(SUM(Z59:AA59)=2,"Confirm_Sell","No_Action")</f>
        <v/>
      </c>
      <c r="Z59" s="15">
        <f>IF(H59&gt;I59,1,0)</f>
        <v/>
      </c>
      <c r="AA59" s="15">
        <f>IF(K59&lt;M59,1,0)</f>
        <v/>
      </c>
      <c r="AB59" s="15" t="n"/>
      <c r="AC59" s="15">
        <f>LEFT(AG59,2)&amp;LEFT(AI59,2)</f>
        <v/>
      </c>
      <c r="AD59" s="15" t="n"/>
      <c r="AE59" s="15">
        <f>IF(K59&gt;L59,1,0)</f>
        <v/>
      </c>
      <c r="AF59" s="16">
        <f>IF(H59&gt;I59,1,0)</f>
        <v/>
      </c>
      <c r="AG59" s="16">
        <f>IF(SUM(AE59:AF59)=2,"Anticipatory_Buy","No_Action")</f>
        <v/>
      </c>
      <c r="AH59" s="15" t="n"/>
      <c r="AI59" s="15">
        <f>IF(SUM(AJ59:AK59)=2,"Confirm_Buy","No_Action")</f>
        <v/>
      </c>
      <c r="AJ59" s="15">
        <f>IF(H59&gt;I59,1,0)</f>
        <v/>
      </c>
      <c r="AK59" s="15">
        <f>IF(K59&gt;M59,1,0)</f>
        <v/>
      </c>
    </row>
    <row r="60" ht="14.5" customHeight="1">
      <c r="A60" s="12" t="inlineStr">
        <is>
          <t>BOROLTD</t>
        </is>
      </c>
      <c r="B60" s="13">
        <f>IFERROR(__xludf.DUMMYFUNCTION("GOOGLEFINANCE(""NSE:""&amp;A60,""PRICE"")"),475)</f>
        <v/>
      </c>
      <c r="C60" s="13">
        <f>IFERROR(__xludf.DUMMYFUNCTION("GOOGLEFINANCE(""NSE:""&amp;A60,""PRICEOPEN"")"),467)</f>
        <v/>
      </c>
      <c r="D60" s="13">
        <f>IFERROR(__xludf.DUMMYFUNCTION("GOOGLEFINANCE(""NSE:""&amp;A60,""HIGH"")"),483.35)</f>
        <v/>
      </c>
      <c r="E60" s="13">
        <f>IFERROR(__xludf.DUMMYFUNCTION("GOOGLEFINANCE(""NSE:""&amp;A60,""LOW"")"),463.95)</f>
        <v/>
      </c>
      <c r="F60" s="13">
        <f>IFERROR(__xludf.DUMMYFUNCTION("GOOGLEFINANCE(""NSE:""&amp;A60,""closeyest"")"),469.85)</f>
        <v/>
      </c>
      <c r="G60" s="14">
        <f>(B60-C60)/B60</f>
        <v/>
      </c>
      <c r="H60" s="13">
        <f>IFERROR(__xludf.DUMMYFUNCTION("GOOGLEFINANCE(""NSE:""&amp;A60,""VOLUME"")"),188615)</f>
        <v/>
      </c>
      <c r="I60" s="13">
        <f>IFERROR(__xludf.DUMMYFUNCTION("AVERAGE(index(GOOGLEFINANCE(""NSE:""&amp;$A60, ""volume"", today()-21, today()-1), , 2))"),"#N/A")</f>
        <v/>
      </c>
      <c r="J60" s="14">
        <f>(H60-I60)/I60</f>
        <v/>
      </c>
      <c r="K60" s="13">
        <f>IFERROR(__xludf.DUMMYFUNCTION("AVERAGE(index(GOOGLEFINANCE(""NSE:""&amp;$A60, ""close"", today()-6, today()-1), , 2))"),"#N/A")</f>
        <v/>
      </c>
      <c r="L60" s="13">
        <f>IFERROR(__xludf.DUMMYFUNCTION("AVERAGE(index(GOOGLEFINANCE(""NSE:""&amp;$A60, ""close"", today()-14, today()-1), , 2))"),"#N/A")</f>
        <v/>
      </c>
      <c r="M60" s="13">
        <f>IFERROR(__xludf.DUMMYFUNCTION("AVERAGE(index(GOOGLEFINANCE(""NSE:""&amp;$A60, ""close"", today()-22, today()-1), , 2))"),"#N/A")</f>
        <v/>
      </c>
      <c r="N60" s="13">
        <f>AG60</f>
        <v/>
      </c>
      <c r="O60" s="13">
        <f>AI60</f>
        <v/>
      </c>
      <c r="P60" s="13">
        <f>W60</f>
        <v/>
      </c>
      <c r="Q60" s="13">
        <f>Y60</f>
        <v/>
      </c>
      <c r="R60" s="15" t="n"/>
      <c r="S60" s="15">
        <f>LEFT(W60,2)&amp;LEFT(Y60,2)</f>
        <v/>
      </c>
      <c r="T60" s="15" t="n"/>
      <c r="U60" s="15">
        <f>IF(K60&lt;L60,1,0)</f>
        <v/>
      </c>
      <c r="V60" s="15">
        <f>IF(H60&gt;I60,1,0)</f>
        <v/>
      </c>
      <c r="W60" s="15">
        <f>IF(SUM(U60:V60)=2,"Anticipatory_Sell","No_Action")</f>
        <v/>
      </c>
      <c r="X60" s="15" t="n"/>
      <c r="Y60" s="15">
        <f>IF(SUM(Z60:AA60)=2,"Confirm_Sell","No_Action")</f>
        <v/>
      </c>
      <c r="Z60" s="15">
        <f>IF(H60&gt;I60,1,0)</f>
        <v/>
      </c>
      <c r="AA60" s="15">
        <f>IF(K60&lt;M60,1,0)</f>
        <v/>
      </c>
      <c r="AB60" s="15" t="n"/>
      <c r="AC60" s="15">
        <f>LEFT(AG60,2)&amp;LEFT(AI60,2)</f>
        <v/>
      </c>
      <c r="AD60" s="15" t="n"/>
      <c r="AE60" s="15">
        <f>IF(K60&gt;L60,1,0)</f>
        <v/>
      </c>
      <c r="AF60" s="16">
        <f>IF(H60&gt;I60,1,0)</f>
        <v/>
      </c>
      <c r="AG60" s="16">
        <f>IF(SUM(AE60:AF60)=2,"Anticipatory_Buy","No_Action")</f>
        <v/>
      </c>
      <c r="AH60" s="15" t="n"/>
      <c r="AI60" s="15">
        <f>IF(SUM(AJ60:AK60)=2,"Confirm_Buy","No_Action")</f>
        <v/>
      </c>
      <c r="AJ60" s="15">
        <f>IF(H60&gt;I60,1,0)</f>
        <v/>
      </c>
      <c r="AK60" s="15">
        <f>IF(K60&gt;M60,1,0)</f>
        <v/>
      </c>
    </row>
    <row r="61" ht="14.5" customHeight="1">
      <c r="A61" s="12" t="inlineStr">
        <is>
          <t>BRITANNIA</t>
        </is>
      </c>
      <c r="B61" s="13">
        <f>IFERROR(__xludf.DUMMYFUNCTION("GOOGLEFINANCE(""NSE:""&amp;A61,""PRICE"")"),4798)</f>
        <v/>
      </c>
      <c r="C61" s="13">
        <f>IFERROR(__xludf.DUMMYFUNCTION("GOOGLEFINANCE(""NSE:""&amp;A61,""PRICEOPEN"")"),4844.95)</f>
        <v/>
      </c>
      <c r="D61" s="13">
        <f>IFERROR(__xludf.DUMMYFUNCTION("GOOGLEFINANCE(""NSE:""&amp;A61,""HIGH"")"),4855.9)</f>
        <v/>
      </c>
      <c r="E61" s="13">
        <f>IFERROR(__xludf.DUMMYFUNCTION("GOOGLEFINANCE(""NSE:""&amp;A61,""LOW"")"),4750.05)</f>
        <v/>
      </c>
      <c r="F61" s="13">
        <f>IFERROR(__xludf.DUMMYFUNCTION("GOOGLEFINANCE(""NSE:""&amp;A61,""closeyest"")"),4870.85)</f>
        <v/>
      </c>
      <c r="G61" s="14">
        <f>(B61-C61)/B61</f>
        <v/>
      </c>
      <c r="H61" s="13">
        <f>IFERROR(__xludf.DUMMYFUNCTION("GOOGLEFINANCE(""NSE:""&amp;A61,""VOLUME"")"),467154)</f>
        <v/>
      </c>
      <c r="I61" s="13">
        <f>IFERROR(__xludf.DUMMYFUNCTION("AVERAGE(index(GOOGLEFINANCE(""NSE:""&amp;$A61, ""volume"", today()-21, today()-1), , 2))"),"#N/A")</f>
        <v/>
      </c>
      <c r="J61" s="14">
        <f>(H61-I61)/I61</f>
        <v/>
      </c>
      <c r="K61" s="13">
        <f>IFERROR(__xludf.DUMMYFUNCTION("AVERAGE(index(GOOGLEFINANCE(""NSE:""&amp;$A61, ""close"", today()-6, today()-1), , 2))"),"#N/A")</f>
        <v/>
      </c>
      <c r="L61" s="13">
        <f>IFERROR(__xludf.DUMMYFUNCTION("AVERAGE(index(GOOGLEFINANCE(""NSE:""&amp;$A61, ""close"", today()-14, today()-1), , 2))"),"#N/A")</f>
        <v/>
      </c>
      <c r="M61" s="13">
        <f>IFERROR(__xludf.DUMMYFUNCTION("AVERAGE(index(GOOGLEFINANCE(""NSE:""&amp;$A61, ""close"", today()-22, today()-1), , 2))"),"#N/A")</f>
        <v/>
      </c>
      <c r="N61" s="13">
        <f>AG61</f>
        <v/>
      </c>
      <c r="O61" s="13">
        <f>AI61</f>
        <v/>
      </c>
      <c r="P61" s="13">
        <f>W61</f>
        <v/>
      </c>
      <c r="Q61" s="13">
        <f>Y61</f>
        <v/>
      </c>
      <c r="R61" s="15" t="n"/>
      <c r="S61" s="15">
        <f>LEFT(W61,2)&amp;LEFT(Y61,2)</f>
        <v/>
      </c>
      <c r="T61" s="15" t="n"/>
      <c r="U61" s="15">
        <f>IF(K61&lt;L61,1,0)</f>
        <v/>
      </c>
      <c r="V61" s="15">
        <f>IF(H61&gt;I61,1,0)</f>
        <v/>
      </c>
      <c r="W61" s="15">
        <f>IF(SUM(U61:V61)=2,"Anticipatory_Sell","No_Action")</f>
        <v/>
      </c>
      <c r="X61" s="15" t="n"/>
      <c r="Y61" s="15">
        <f>IF(SUM(Z61:AA61)=2,"Confirm_Sell","No_Action")</f>
        <v/>
      </c>
      <c r="Z61" s="15">
        <f>IF(H61&gt;I61,1,0)</f>
        <v/>
      </c>
      <c r="AA61" s="15">
        <f>IF(K61&lt;M61,1,0)</f>
        <v/>
      </c>
      <c r="AB61" s="15" t="n"/>
      <c r="AC61" s="15">
        <f>LEFT(AG61,2)&amp;LEFT(AI61,2)</f>
        <v/>
      </c>
      <c r="AD61" s="15" t="n"/>
      <c r="AE61" s="15">
        <f>IF(K61&gt;L61,1,0)</f>
        <v/>
      </c>
      <c r="AF61" s="16">
        <f>IF(H61&gt;I61,1,0)</f>
        <v/>
      </c>
      <c r="AG61" s="16">
        <f>IF(SUM(AE61:AF61)=2,"Anticipatory_Buy","No_Action")</f>
        <v/>
      </c>
      <c r="AH61" s="15" t="n"/>
      <c r="AI61" s="15">
        <f>IF(SUM(AJ61:AK61)=2,"Confirm_Buy","No_Action")</f>
        <v/>
      </c>
      <c r="AJ61" s="15">
        <f>IF(H61&gt;I61,1,0)</f>
        <v/>
      </c>
      <c r="AK61" s="15">
        <f>IF(K61&gt;M61,1,0)</f>
        <v/>
      </c>
    </row>
    <row r="62" ht="14.5" customHeight="1">
      <c r="A62" s="12" t="inlineStr">
        <is>
          <t>CAMS</t>
        </is>
      </c>
      <c r="B62" s="13">
        <f>IFERROR(__xludf.DUMMYFUNCTION("GOOGLEFINANCE(""NSE:""&amp;A62,""PRICE"")"),5284)</f>
        <v/>
      </c>
      <c r="C62" s="13">
        <f>IFERROR(__xludf.DUMMYFUNCTION("GOOGLEFINANCE(""NSE:""&amp;A62,""PRICEOPEN"")"),5069.6)</f>
        <v/>
      </c>
      <c r="D62" s="13">
        <f>IFERROR(__xludf.DUMMYFUNCTION("GOOGLEFINANCE(""NSE:""&amp;A62,""HIGH"")"),5315)</f>
        <v/>
      </c>
      <c r="E62" s="13">
        <f>IFERROR(__xludf.DUMMYFUNCTION("GOOGLEFINANCE(""NSE:""&amp;A62,""LOW"")"),5022.05)</f>
        <v/>
      </c>
      <c r="F62" s="13">
        <f>IFERROR(__xludf.DUMMYFUNCTION("GOOGLEFINANCE(""NSE:""&amp;A62,""closeyest"")"),5069.6)</f>
        <v/>
      </c>
      <c r="G62" s="14">
        <f>(B62-C62)/B62</f>
        <v/>
      </c>
      <c r="H62" s="13">
        <f>IFERROR(__xludf.DUMMYFUNCTION("GOOGLEFINANCE(""NSE:""&amp;A62,""VOLUME"")"),746803)</f>
        <v/>
      </c>
      <c r="I62" s="13">
        <f>IFERROR(__xludf.DUMMYFUNCTION("AVERAGE(index(GOOGLEFINANCE(""NSE:""&amp;$A62, ""volume"", today()-21, today()-1), , 2))"),"#N/A")</f>
        <v/>
      </c>
      <c r="J62" s="14">
        <f>(H62-I62)/I62</f>
        <v/>
      </c>
      <c r="K62" s="13">
        <f>IFERROR(__xludf.DUMMYFUNCTION("AVERAGE(index(GOOGLEFINANCE(""NSE:""&amp;$A62, ""close"", today()-6, today()-1), , 2))"),"#N/A")</f>
        <v/>
      </c>
      <c r="L62" s="13">
        <f>IFERROR(__xludf.DUMMYFUNCTION("AVERAGE(index(GOOGLEFINANCE(""NSE:""&amp;$A62, ""close"", today()-14, today()-1), , 2))"),"#N/A")</f>
        <v/>
      </c>
      <c r="M62" s="13">
        <f>IFERROR(__xludf.DUMMYFUNCTION("AVERAGE(index(GOOGLEFINANCE(""NSE:""&amp;$A62, ""close"", today()-22, today()-1), , 2))"),"#N/A")</f>
        <v/>
      </c>
      <c r="N62" s="13">
        <f>AG62</f>
        <v/>
      </c>
      <c r="O62" s="13">
        <f>AI62</f>
        <v/>
      </c>
      <c r="P62" s="13">
        <f>W62</f>
        <v/>
      </c>
      <c r="Q62" s="13">
        <f>Y62</f>
        <v/>
      </c>
      <c r="R62" s="15" t="n"/>
      <c r="S62" s="15">
        <f>LEFT(W62,2)&amp;LEFT(Y62,2)</f>
        <v/>
      </c>
      <c r="T62" s="15" t="n"/>
      <c r="U62" s="15">
        <f>IF(K62&lt;L62,1,0)</f>
        <v/>
      </c>
      <c r="V62" s="15">
        <f>IF(H62&gt;I62,1,0)</f>
        <v/>
      </c>
      <c r="W62" s="15">
        <f>IF(SUM(U62:V62)=2,"Anticipatory_Sell","No_Action")</f>
        <v/>
      </c>
      <c r="X62" s="15" t="n"/>
      <c r="Y62" s="15">
        <f>IF(SUM(Z62:AA62)=2,"Confirm_Sell","No_Action")</f>
        <v/>
      </c>
      <c r="Z62" s="15">
        <f>IF(H62&gt;I62,1,0)</f>
        <v/>
      </c>
      <c r="AA62" s="15">
        <f>IF(K62&lt;M62,1,0)</f>
        <v/>
      </c>
      <c r="AB62" s="15" t="n"/>
      <c r="AC62" s="15">
        <f>LEFT(AG62,2)&amp;LEFT(AI62,2)</f>
        <v/>
      </c>
      <c r="AD62" s="15" t="n"/>
      <c r="AE62" s="15">
        <f>IF(K62&gt;L62,1,0)</f>
        <v/>
      </c>
      <c r="AF62" s="16">
        <f>IF(H62&gt;I62,1,0)</f>
        <v/>
      </c>
      <c r="AG62" s="16">
        <f>IF(SUM(AE62:AF62)=2,"Anticipatory_Buy","No_Action")</f>
        <v/>
      </c>
      <c r="AH62" s="15" t="n"/>
      <c r="AI62" s="15">
        <f>IF(SUM(AJ62:AK62)=2,"Confirm_Buy","No_Action")</f>
        <v/>
      </c>
      <c r="AJ62" s="15">
        <f>IF(H62&gt;I62,1,0)</f>
        <v/>
      </c>
      <c r="AK62" s="15">
        <f>IF(K62&gt;M62,1,0)</f>
        <v/>
      </c>
    </row>
    <row r="63" ht="14.5" customHeight="1">
      <c r="A63" s="12" t="inlineStr">
        <is>
          <t>CAPLIPOINT</t>
        </is>
      </c>
      <c r="B63" s="13">
        <f>IFERROR(__xludf.DUMMYFUNCTION("GOOGLEFINANCE(""NSE:""&amp;A63,""PRICE"")"),2375)</f>
        <v/>
      </c>
      <c r="C63" s="13">
        <f>IFERROR(__xludf.DUMMYFUNCTION("GOOGLEFINANCE(""NSE:""&amp;A63,""PRICEOPEN"")"),2363.2)</f>
        <v/>
      </c>
      <c r="D63" s="13">
        <f>IFERROR(__xludf.DUMMYFUNCTION("GOOGLEFINANCE(""NSE:""&amp;A63,""HIGH"")"),2418)</f>
        <v/>
      </c>
      <c r="E63" s="13">
        <f>IFERROR(__xludf.DUMMYFUNCTION("GOOGLEFINANCE(""NSE:""&amp;A63,""LOW"")"),2340)</f>
        <v/>
      </c>
      <c r="F63" s="13">
        <f>IFERROR(__xludf.DUMMYFUNCTION("GOOGLEFINANCE(""NSE:""&amp;A63,""closeyest"")"),2354.65)</f>
        <v/>
      </c>
      <c r="G63" s="14">
        <f>(B63-C63)/B63</f>
        <v/>
      </c>
      <c r="H63" s="13">
        <f>IFERROR(__xludf.DUMMYFUNCTION("GOOGLEFINANCE(""NSE:""&amp;A63,""VOLUME"")"),139725)</f>
        <v/>
      </c>
      <c r="I63" s="13">
        <f>IFERROR(__xludf.DUMMYFUNCTION("AVERAGE(index(GOOGLEFINANCE(""NSE:""&amp;$A63, ""volume"", today()-21, today()-1), , 2))"),"#N/A")</f>
        <v/>
      </c>
      <c r="J63" s="14">
        <f>(H63-I63)/I63</f>
        <v/>
      </c>
      <c r="K63" s="13">
        <f>IFERROR(__xludf.DUMMYFUNCTION("AVERAGE(index(GOOGLEFINANCE(""NSE:""&amp;$A63, ""close"", today()-6, today()-1), , 2))"),"#N/A")</f>
        <v/>
      </c>
      <c r="L63" s="13">
        <f>IFERROR(__xludf.DUMMYFUNCTION("AVERAGE(index(GOOGLEFINANCE(""NSE:""&amp;$A63, ""close"", today()-14, today()-1), , 2))"),"#N/A")</f>
        <v/>
      </c>
      <c r="M63" s="13">
        <f>IFERROR(__xludf.DUMMYFUNCTION("AVERAGE(index(GOOGLEFINANCE(""NSE:""&amp;$A63, ""close"", today()-22, today()-1), , 2))"),"#N/A")</f>
        <v/>
      </c>
      <c r="N63" s="13">
        <f>AG63</f>
        <v/>
      </c>
      <c r="O63" s="13">
        <f>AI63</f>
        <v/>
      </c>
      <c r="P63" s="13">
        <f>W63</f>
        <v/>
      </c>
      <c r="Q63" s="13">
        <f>Y63</f>
        <v/>
      </c>
      <c r="R63" s="15" t="n"/>
      <c r="S63" s="15">
        <f>LEFT(W63,2)&amp;LEFT(Y63,2)</f>
        <v/>
      </c>
      <c r="T63" s="15" t="n"/>
      <c r="U63" s="15">
        <f>IF(K63&lt;L63,1,0)</f>
        <v/>
      </c>
      <c r="V63" s="15">
        <f>IF(H63&gt;I63,1,0)</f>
        <v/>
      </c>
      <c r="W63" s="15">
        <f>IF(SUM(U63:V63)=2,"Anticipatory_Sell","No_Action")</f>
        <v/>
      </c>
      <c r="X63" s="15" t="n"/>
      <c r="Y63" s="15">
        <f>IF(SUM(Z63:AA63)=2,"Confirm_Sell","No_Action")</f>
        <v/>
      </c>
      <c r="Z63" s="15">
        <f>IF(H63&gt;I63,1,0)</f>
        <v/>
      </c>
      <c r="AA63" s="15">
        <f>IF(K63&lt;M63,1,0)</f>
        <v/>
      </c>
      <c r="AB63" s="15" t="n"/>
      <c r="AC63" s="15">
        <f>LEFT(AG63,2)&amp;LEFT(AI63,2)</f>
        <v/>
      </c>
      <c r="AD63" s="15" t="n"/>
      <c r="AE63" s="15">
        <f>IF(K63&gt;L63,1,0)</f>
        <v/>
      </c>
      <c r="AF63" s="16">
        <f>IF(H63&gt;I63,1,0)</f>
        <v/>
      </c>
      <c r="AG63" s="16">
        <f>IF(SUM(AE63:AF63)=2,"Anticipatory_Buy","No_Action")</f>
        <v/>
      </c>
      <c r="AH63" s="15" t="n"/>
      <c r="AI63" s="15">
        <f>IF(SUM(AJ63:AK63)=2,"Confirm_Buy","No_Action")</f>
        <v/>
      </c>
      <c r="AJ63" s="15">
        <f>IF(H63&gt;I63,1,0)</f>
        <v/>
      </c>
      <c r="AK63" s="15">
        <f>IF(K63&gt;M63,1,0)</f>
        <v/>
      </c>
    </row>
    <row r="64" ht="14.5" customHeight="1">
      <c r="A64" s="12" t="inlineStr">
        <is>
          <t>CARBORUNIV</t>
        </is>
      </c>
      <c r="B64" s="13">
        <f>IFERROR(__xludf.DUMMYFUNCTION("GOOGLEFINANCE(""NSE:""&amp;A64,""PRICE"")"),1365)</f>
        <v/>
      </c>
      <c r="C64" s="13">
        <f>IFERROR(__xludf.DUMMYFUNCTION("GOOGLEFINANCE(""NSE:""&amp;A64,""PRICEOPEN"")"),1365)</f>
        <v/>
      </c>
      <c r="D64" s="13">
        <f>IFERROR(__xludf.DUMMYFUNCTION("GOOGLEFINANCE(""NSE:""&amp;A64,""HIGH"")"),1385.95)</f>
        <v/>
      </c>
      <c r="E64" s="13">
        <f>IFERROR(__xludf.DUMMYFUNCTION("GOOGLEFINANCE(""NSE:""&amp;A64,""LOW"")"),1357.05)</f>
        <v/>
      </c>
      <c r="F64" s="13">
        <f>IFERROR(__xludf.DUMMYFUNCTION("GOOGLEFINANCE(""NSE:""&amp;A64,""closeyest"")"),1363.85)</f>
        <v/>
      </c>
      <c r="G64" s="14">
        <f>(B64-C64)/B64</f>
        <v/>
      </c>
      <c r="H64" s="13">
        <f>IFERROR(__xludf.DUMMYFUNCTION("GOOGLEFINANCE(""NSE:""&amp;A64,""VOLUME"")"),81468)</f>
        <v/>
      </c>
      <c r="I64" s="13">
        <f>IFERROR(__xludf.DUMMYFUNCTION("AVERAGE(index(GOOGLEFINANCE(""NSE:""&amp;$A64, ""volume"", today()-21, today()-1), , 2))"),"#N/A")</f>
        <v/>
      </c>
      <c r="J64" s="14">
        <f>(H64-I64)/I64</f>
        <v/>
      </c>
      <c r="K64" s="13">
        <f>IFERROR(__xludf.DUMMYFUNCTION("AVERAGE(index(GOOGLEFINANCE(""NSE:""&amp;$A64, ""close"", today()-6, today()-1), , 2))"),"#N/A")</f>
        <v/>
      </c>
      <c r="L64" s="13">
        <f>IFERROR(__xludf.DUMMYFUNCTION("AVERAGE(index(GOOGLEFINANCE(""NSE:""&amp;$A64, ""close"", today()-14, today()-1), , 2))"),"#N/A")</f>
        <v/>
      </c>
      <c r="M64" s="13">
        <f>IFERROR(__xludf.DUMMYFUNCTION("AVERAGE(index(GOOGLEFINANCE(""NSE:""&amp;$A64, ""close"", today()-22, today()-1), , 2))"),"#N/A")</f>
        <v/>
      </c>
      <c r="N64" s="13">
        <f>AG64</f>
        <v/>
      </c>
      <c r="O64" s="13">
        <f>AI64</f>
        <v/>
      </c>
      <c r="P64" s="13">
        <f>W64</f>
        <v/>
      </c>
      <c r="Q64" s="13">
        <f>Y64</f>
        <v/>
      </c>
      <c r="R64" s="15" t="n"/>
      <c r="S64" s="15">
        <f>LEFT(W64,2)&amp;LEFT(Y64,2)</f>
        <v/>
      </c>
      <c r="T64" s="15" t="n"/>
      <c r="U64" s="15">
        <f>IF(K64&lt;L64,1,0)</f>
        <v/>
      </c>
      <c r="V64" s="15">
        <f>IF(H64&gt;I64,1,0)</f>
        <v/>
      </c>
      <c r="W64" s="15">
        <f>IF(SUM(U64:V64)=2,"Anticipatory_Sell","No_Action")</f>
        <v/>
      </c>
      <c r="X64" s="15" t="n"/>
      <c r="Y64" s="15">
        <f>IF(SUM(Z64:AA64)=2,"Confirm_Sell","No_Action")</f>
        <v/>
      </c>
      <c r="Z64" s="15">
        <f>IF(H64&gt;I64,1,0)</f>
        <v/>
      </c>
      <c r="AA64" s="15">
        <f>IF(K64&lt;M64,1,0)</f>
        <v/>
      </c>
      <c r="AB64" s="15" t="n"/>
      <c r="AC64" s="15">
        <f>LEFT(AG64,2)&amp;LEFT(AI64,2)</f>
        <v/>
      </c>
      <c r="AD64" s="15" t="n"/>
      <c r="AE64" s="15">
        <f>IF(K64&gt;L64,1,0)</f>
        <v/>
      </c>
      <c r="AF64" s="16">
        <f>IF(H64&gt;I64,1,0)</f>
        <v/>
      </c>
      <c r="AG64" s="16">
        <f>IF(SUM(AE64:AF64)=2,"Anticipatory_Buy","No_Action")</f>
        <v/>
      </c>
      <c r="AH64" s="15" t="n"/>
      <c r="AI64" s="15">
        <f>IF(SUM(AJ64:AK64)=2,"Confirm_Buy","No_Action")</f>
        <v/>
      </c>
      <c r="AJ64" s="15">
        <f>IF(H64&gt;I64,1,0)</f>
        <v/>
      </c>
      <c r="AK64" s="15">
        <f>IF(K64&gt;M64,1,0)</f>
        <v/>
      </c>
    </row>
    <row r="65" ht="14.5" customHeight="1">
      <c r="A65" s="12" t="inlineStr">
        <is>
          <t>CARERATING</t>
        </is>
      </c>
      <c r="B65" s="13">
        <f>IFERROR(__xludf.DUMMYFUNCTION("GOOGLEFINANCE(""NSE:""&amp;A65,""PRICE"")"),1412.05)</f>
        <v/>
      </c>
      <c r="C65" s="13">
        <f>IFERROR(__xludf.DUMMYFUNCTION("GOOGLEFINANCE(""NSE:""&amp;A65,""PRICEOPEN"")"),1420)</f>
        <v/>
      </c>
      <c r="D65" s="13">
        <f>IFERROR(__xludf.DUMMYFUNCTION("GOOGLEFINANCE(""NSE:""&amp;A65,""HIGH"")"),1455.85)</f>
        <v/>
      </c>
      <c r="E65" s="13">
        <f>IFERROR(__xludf.DUMMYFUNCTION("GOOGLEFINANCE(""NSE:""&amp;A65,""LOW"")"),1400)</f>
        <v/>
      </c>
      <c r="F65" s="13">
        <f>IFERROR(__xludf.DUMMYFUNCTION("GOOGLEFINANCE(""NSE:""&amp;A65,""closeyest"")"),1418.1)</f>
        <v/>
      </c>
      <c r="G65" s="14">
        <f>(B65-C65)/B65</f>
        <v/>
      </c>
      <c r="H65" s="13">
        <f>IFERROR(__xludf.DUMMYFUNCTION("GOOGLEFINANCE(""NSE:""&amp;A65,""VOLUME"")"),63977)</f>
        <v/>
      </c>
      <c r="I65" s="13">
        <f>IFERROR(__xludf.DUMMYFUNCTION("AVERAGE(index(GOOGLEFINANCE(""NSE:""&amp;$A65, ""volume"", today()-21, today()-1), , 2))"),"#N/A")</f>
        <v/>
      </c>
      <c r="J65" s="14">
        <f>(H65-I65)/I65</f>
        <v/>
      </c>
      <c r="K65" s="13">
        <f>IFERROR(__xludf.DUMMYFUNCTION("AVERAGE(index(GOOGLEFINANCE(""NSE:""&amp;$A65, ""close"", today()-6, today()-1), , 2))"),"#N/A")</f>
        <v/>
      </c>
      <c r="L65" s="13">
        <f>IFERROR(__xludf.DUMMYFUNCTION("AVERAGE(index(GOOGLEFINANCE(""NSE:""&amp;$A65, ""close"", today()-14, today()-1), , 2))"),"#N/A")</f>
        <v/>
      </c>
      <c r="M65" s="13">
        <f>IFERROR(__xludf.DUMMYFUNCTION("AVERAGE(index(GOOGLEFINANCE(""NSE:""&amp;$A65, ""close"", today()-22, today()-1), , 2))"),"#N/A")</f>
        <v/>
      </c>
      <c r="N65" s="13">
        <f>AG65</f>
        <v/>
      </c>
      <c r="O65" s="13">
        <f>AI65</f>
        <v/>
      </c>
      <c r="P65" s="13">
        <f>W65</f>
        <v/>
      </c>
      <c r="Q65" s="13">
        <f>Y65</f>
        <v/>
      </c>
      <c r="R65" s="15" t="n"/>
      <c r="S65" s="15">
        <f>LEFT(W65,2)&amp;LEFT(Y65,2)</f>
        <v/>
      </c>
      <c r="T65" s="15" t="n"/>
      <c r="U65" s="15">
        <f>IF(K65&lt;L65,1,0)</f>
        <v/>
      </c>
      <c r="V65" s="15">
        <f>IF(H65&gt;I65,1,0)</f>
        <v/>
      </c>
      <c r="W65" s="15">
        <f>IF(SUM(U65:V65)=2,"Anticipatory_Sell","No_Action")</f>
        <v/>
      </c>
      <c r="X65" s="15" t="n"/>
      <c r="Y65" s="15">
        <f>IF(SUM(Z65:AA65)=2,"Confirm_Sell","No_Action")</f>
        <v/>
      </c>
      <c r="Z65" s="15">
        <f>IF(H65&gt;I65,1,0)</f>
        <v/>
      </c>
      <c r="AA65" s="15">
        <f>IF(K65&lt;M65,1,0)</f>
        <v/>
      </c>
      <c r="AB65" s="15" t="n"/>
      <c r="AC65" s="15">
        <f>LEFT(AG65,2)&amp;LEFT(AI65,2)</f>
        <v/>
      </c>
      <c r="AD65" s="15" t="n"/>
      <c r="AE65" s="15">
        <f>IF(K65&gt;L65,1,0)</f>
        <v/>
      </c>
      <c r="AF65" s="16">
        <f>IF(H65&gt;I65,1,0)</f>
        <v/>
      </c>
      <c r="AG65" s="16">
        <f>IF(SUM(AE65:AF65)=2,"Anticipatory_Buy","No_Action")</f>
        <v/>
      </c>
      <c r="AH65" s="15" t="n"/>
      <c r="AI65" s="15">
        <f>IF(SUM(AJ65:AK65)=2,"Confirm_Buy","No_Action")</f>
        <v/>
      </c>
      <c r="AJ65" s="15">
        <f>IF(H65&gt;I65,1,0)</f>
        <v/>
      </c>
      <c r="AK65" s="15">
        <f>IF(K65&gt;M65,1,0)</f>
        <v/>
      </c>
    </row>
    <row r="66" ht="14.5" customHeight="1">
      <c r="A66" s="12" t="inlineStr">
        <is>
          <t>CARYSIL</t>
        </is>
      </c>
      <c r="B66" s="13">
        <f>IFERROR(__xludf.DUMMYFUNCTION("GOOGLEFINANCE(""NSE:""&amp;A66,""PRICE"")"),767.15)</f>
        <v/>
      </c>
      <c r="C66" s="13">
        <f>IFERROR(__xludf.DUMMYFUNCTION("GOOGLEFINANCE(""NSE:""&amp;A66,""PRICEOPEN"")"),768.95)</f>
        <v/>
      </c>
      <c r="D66" s="13">
        <f>IFERROR(__xludf.DUMMYFUNCTION("GOOGLEFINANCE(""NSE:""&amp;A66,""HIGH"")"),776.95)</f>
        <v/>
      </c>
      <c r="E66" s="13">
        <f>IFERROR(__xludf.DUMMYFUNCTION("GOOGLEFINANCE(""NSE:""&amp;A66,""LOW"")"),761)</f>
        <v/>
      </c>
      <c r="F66" s="13">
        <f>IFERROR(__xludf.DUMMYFUNCTION("GOOGLEFINANCE(""NSE:""&amp;A66,""closeyest"")"),768.95)</f>
        <v/>
      </c>
      <c r="G66" s="14">
        <f>(B66-C66)/B66</f>
        <v/>
      </c>
      <c r="H66" s="13">
        <f>IFERROR(__xludf.DUMMYFUNCTION("GOOGLEFINANCE(""NSE:""&amp;A66,""VOLUME"")"),42221)</f>
        <v/>
      </c>
      <c r="I66" s="13">
        <f>IFERROR(__xludf.DUMMYFUNCTION("AVERAGE(index(GOOGLEFINANCE(""NSE:""&amp;$A66, ""volume"", today()-21, today()-1), , 2))"),"#N/A")</f>
        <v/>
      </c>
      <c r="J66" s="14">
        <f>(H66-I66)/I66</f>
        <v/>
      </c>
      <c r="K66" s="13">
        <f>IFERROR(__xludf.DUMMYFUNCTION("AVERAGE(index(GOOGLEFINANCE(""NSE:""&amp;$A66, ""close"", today()-6, today()-1), , 2))"),"#N/A")</f>
        <v/>
      </c>
      <c r="L66" s="13">
        <f>IFERROR(__xludf.DUMMYFUNCTION("AVERAGE(index(GOOGLEFINANCE(""NSE:""&amp;$A66, ""close"", today()-14, today()-1), , 2))"),"#N/A")</f>
        <v/>
      </c>
      <c r="M66" s="13">
        <f>IFERROR(__xludf.DUMMYFUNCTION("AVERAGE(index(GOOGLEFINANCE(""NSE:""&amp;$A66, ""close"", today()-22, today()-1), , 2))"),"#N/A")</f>
        <v/>
      </c>
      <c r="N66" s="13">
        <f>AG66</f>
        <v/>
      </c>
      <c r="O66" s="13">
        <f>AI66</f>
        <v/>
      </c>
      <c r="P66" s="13">
        <f>W66</f>
        <v/>
      </c>
      <c r="Q66" s="13">
        <f>Y66</f>
        <v/>
      </c>
      <c r="R66" s="15" t="n"/>
      <c r="S66" s="15">
        <f>LEFT(W66,2)&amp;LEFT(Y66,2)</f>
        <v/>
      </c>
      <c r="T66" s="15" t="n"/>
      <c r="U66" s="15">
        <f>IF(K66&lt;L66,1,0)</f>
        <v/>
      </c>
      <c r="V66" s="15">
        <f>IF(H66&gt;I66,1,0)</f>
        <v/>
      </c>
      <c r="W66" s="15">
        <f>IF(SUM(U66:V66)=2,"Anticipatory_Sell","No_Action")</f>
        <v/>
      </c>
      <c r="X66" s="15" t="n"/>
      <c r="Y66" s="15">
        <f>IF(SUM(Z66:AA66)=2,"Confirm_Sell","No_Action")</f>
        <v/>
      </c>
      <c r="Z66" s="15">
        <f>IF(H66&gt;I66,1,0)</f>
        <v/>
      </c>
      <c r="AA66" s="15">
        <f>IF(K66&lt;M66,1,0)</f>
        <v/>
      </c>
      <c r="AB66" s="15" t="n"/>
      <c r="AC66" s="15">
        <f>LEFT(AG66,2)&amp;LEFT(AI66,2)</f>
        <v/>
      </c>
      <c r="AD66" s="15" t="n"/>
      <c r="AE66" s="15">
        <f>IF(K66&gt;L66,1,0)</f>
        <v/>
      </c>
      <c r="AF66" s="16">
        <f>IF(H66&gt;I66,1,0)</f>
        <v/>
      </c>
      <c r="AG66" s="16">
        <f>IF(SUM(AE66:AF66)=2,"Anticipatory_Buy","No_Action")</f>
        <v/>
      </c>
      <c r="AH66" s="15" t="n"/>
      <c r="AI66" s="15">
        <f>IF(SUM(AJ66:AK66)=2,"Confirm_Buy","No_Action")</f>
        <v/>
      </c>
      <c r="AJ66" s="15">
        <f>IF(H66&gt;I66,1,0)</f>
        <v/>
      </c>
      <c r="AK66" s="15">
        <f>IF(K66&gt;M66,1,0)</f>
        <v/>
      </c>
    </row>
    <row r="67" ht="14.5" customHeight="1">
      <c r="A67" s="12" t="inlineStr">
        <is>
          <t>CCL</t>
        </is>
      </c>
      <c r="B67" s="13">
        <f>IFERROR(__xludf.DUMMYFUNCTION("GOOGLEFINANCE(""NSE:""&amp;A67,""PRICE"")"),790)</f>
        <v/>
      </c>
      <c r="C67" s="13">
        <f>IFERROR(__xludf.DUMMYFUNCTION("GOOGLEFINANCE(""NSE:""&amp;A67,""PRICEOPEN"")"),790.65)</f>
        <v/>
      </c>
      <c r="D67" s="13">
        <f>IFERROR(__xludf.DUMMYFUNCTION("GOOGLEFINANCE(""NSE:""&amp;A67,""HIGH"")"),796)</f>
        <v/>
      </c>
      <c r="E67" s="13">
        <f>IFERROR(__xludf.DUMMYFUNCTION("GOOGLEFINANCE(""NSE:""&amp;A67,""LOW"")"),772)</f>
        <v/>
      </c>
      <c r="F67" s="13">
        <f>IFERROR(__xludf.DUMMYFUNCTION("GOOGLEFINANCE(""NSE:""&amp;A67,""closeyest"")"),789.25)</f>
        <v/>
      </c>
      <c r="G67" s="14">
        <f>(B67-C67)/B67</f>
        <v/>
      </c>
      <c r="H67" s="13">
        <f>IFERROR(__xludf.DUMMYFUNCTION("GOOGLEFINANCE(""NSE:""&amp;A67,""VOLUME"")"),146107)</f>
        <v/>
      </c>
      <c r="I67" s="13">
        <f>IFERROR(__xludf.DUMMYFUNCTION("AVERAGE(index(GOOGLEFINANCE(""NSE:""&amp;$A67, ""volume"", today()-21, today()-1), , 2))"),"#N/A")</f>
        <v/>
      </c>
      <c r="J67" s="14">
        <f>(H67-I67)/I67</f>
        <v/>
      </c>
      <c r="K67" s="13">
        <f>IFERROR(__xludf.DUMMYFUNCTION("AVERAGE(index(GOOGLEFINANCE(""NSE:""&amp;$A67, ""close"", today()-6, today()-1), , 2))"),"#N/A")</f>
        <v/>
      </c>
      <c r="L67" s="13">
        <f>IFERROR(__xludf.DUMMYFUNCTION("AVERAGE(index(GOOGLEFINANCE(""NSE:""&amp;$A67, ""close"", today()-14, today()-1), , 2))"),"#N/A")</f>
        <v/>
      </c>
      <c r="M67" s="13">
        <f>IFERROR(__xludf.DUMMYFUNCTION("AVERAGE(index(GOOGLEFINANCE(""NSE:""&amp;$A67, ""close"", today()-22, today()-1), , 2))"),"#N/A")</f>
        <v/>
      </c>
      <c r="N67" s="13">
        <f>AG67</f>
        <v/>
      </c>
      <c r="O67" s="13">
        <f>AI67</f>
        <v/>
      </c>
      <c r="P67" s="13">
        <f>W67</f>
        <v/>
      </c>
      <c r="Q67" s="13">
        <f>Y67</f>
        <v/>
      </c>
      <c r="R67" s="15" t="n"/>
      <c r="S67" s="15">
        <f>LEFT(W67,2)&amp;LEFT(Y67,2)</f>
        <v/>
      </c>
      <c r="T67" s="15" t="n"/>
      <c r="U67" s="15">
        <f>IF(K67&lt;L67,1,0)</f>
        <v/>
      </c>
      <c r="V67" s="15">
        <f>IF(H67&gt;I67,1,0)</f>
        <v/>
      </c>
      <c r="W67" s="15">
        <f>IF(SUM(U67:V67)=2,"Anticipatory_Sell","No_Action")</f>
        <v/>
      </c>
      <c r="X67" s="15" t="n"/>
      <c r="Y67" s="15">
        <f>IF(SUM(Z67:AA67)=2,"Confirm_Sell","No_Action")</f>
        <v/>
      </c>
      <c r="Z67" s="15">
        <f>IF(H67&gt;I67,1,0)</f>
        <v/>
      </c>
      <c r="AA67" s="15">
        <f>IF(K67&lt;M67,1,0)</f>
        <v/>
      </c>
      <c r="AB67" s="15" t="n"/>
      <c r="AC67" s="15">
        <f>LEFT(AG67,2)&amp;LEFT(AI67,2)</f>
        <v/>
      </c>
      <c r="AD67" s="15" t="n"/>
      <c r="AE67" s="15">
        <f>IF(K67&gt;L67,1,0)</f>
        <v/>
      </c>
      <c r="AF67" s="16">
        <f>IF(H67&gt;I67,1,0)</f>
        <v/>
      </c>
      <c r="AG67" s="16">
        <f>IF(SUM(AE67:AF67)=2,"Anticipatory_Buy","No_Action")</f>
        <v/>
      </c>
      <c r="AH67" s="15" t="n"/>
      <c r="AI67" s="15">
        <f>IF(SUM(AJ67:AK67)=2,"Confirm_Buy","No_Action")</f>
        <v/>
      </c>
      <c r="AJ67" s="15">
        <f>IF(H67&gt;I67,1,0)</f>
        <v/>
      </c>
      <c r="AK67" s="15">
        <f>IF(K67&gt;M67,1,0)</f>
        <v/>
      </c>
    </row>
    <row r="68" ht="14.5" customHeight="1">
      <c r="A68" s="12" t="inlineStr">
        <is>
          <t>CEATLTD</t>
        </is>
      </c>
      <c r="B68" s="13">
        <f>IFERROR(__xludf.DUMMYFUNCTION("GOOGLEFINANCE(""NSE:""&amp;A68,""PRICE"")"),3329)</f>
        <v/>
      </c>
      <c r="C68" s="13">
        <f>IFERROR(__xludf.DUMMYFUNCTION("GOOGLEFINANCE(""NSE:""&amp;A68,""PRICEOPEN"")"),3270)</f>
        <v/>
      </c>
      <c r="D68" s="13">
        <f>IFERROR(__xludf.DUMMYFUNCTION("GOOGLEFINANCE(""NSE:""&amp;A68,""HIGH"")"),3578.8)</f>
        <v/>
      </c>
      <c r="E68" s="13">
        <f>IFERROR(__xludf.DUMMYFUNCTION("GOOGLEFINANCE(""NSE:""&amp;A68,""LOW"")"),3231.95)</f>
        <v/>
      </c>
      <c r="F68" s="13">
        <f>IFERROR(__xludf.DUMMYFUNCTION("GOOGLEFINANCE(""NSE:""&amp;A68,""closeyest"")"),3095.7)</f>
        <v/>
      </c>
      <c r="G68" s="14">
        <f>(B68-C68)/B68</f>
        <v/>
      </c>
      <c r="H68" s="13">
        <f>IFERROR(__xludf.DUMMYFUNCTION("GOOGLEFINANCE(""NSE:""&amp;A68,""VOLUME"")"),5554507)</f>
        <v/>
      </c>
      <c r="I68" s="13">
        <f>IFERROR(__xludf.DUMMYFUNCTION("AVERAGE(index(GOOGLEFINANCE(""NSE:""&amp;$A68, ""volume"", today()-21, today()-1), , 2))"),"#N/A")</f>
        <v/>
      </c>
      <c r="J68" s="14">
        <f>(H68-I68)/I68</f>
        <v/>
      </c>
      <c r="K68" s="13">
        <f>IFERROR(__xludf.DUMMYFUNCTION("AVERAGE(index(GOOGLEFINANCE(""NSE:""&amp;$A68, ""close"", today()-6, today()-1), , 2))"),"#N/A")</f>
        <v/>
      </c>
      <c r="L68" s="13">
        <f>IFERROR(__xludf.DUMMYFUNCTION("AVERAGE(index(GOOGLEFINANCE(""NSE:""&amp;$A68, ""close"", today()-14, today()-1), , 2))"),"#N/A")</f>
        <v/>
      </c>
      <c r="M68" s="13">
        <f>IFERROR(__xludf.DUMMYFUNCTION("AVERAGE(index(GOOGLEFINANCE(""NSE:""&amp;$A68, ""close"", today()-22, today()-1), , 2))"),"#N/A")</f>
        <v/>
      </c>
      <c r="N68" s="13">
        <f>AG68</f>
        <v/>
      </c>
      <c r="O68" s="13">
        <f>AI68</f>
        <v/>
      </c>
      <c r="P68" s="13">
        <f>W68</f>
        <v/>
      </c>
      <c r="Q68" s="13">
        <f>Y68</f>
        <v/>
      </c>
      <c r="R68" s="15" t="n"/>
      <c r="S68" s="15">
        <f>LEFT(W68,2)&amp;LEFT(Y68,2)</f>
        <v/>
      </c>
      <c r="T68" s="15" t="n"/>
      <c r="U68" s="15">
        <f>IF(K68&lt;L68,1,0)</f>
        <v/>
      </c>
      <c r="V68" s="15">
        <f>IF(H68&gt;I68,1,0)</f>
        <v/>
      </c>
      <c r="W68" s="15">
        <f>IF(SUM(U68:V68)=2,"Anticipatory_Sell","No_Action")</f>
        <v/>
      </c>
      <c r="X68" s="15" t="n"/>
      <c r="Y68" s="15">
        <f>IF(SUM(Z68:AA68)=2,"Confirm_Sell","No_Action")</f>
        <v/>
      </c>
      <c r="Z68" s="15">
        <f>IF(H68&gt;I68,1,0)</f>
        <v/>
      </c>
      <c r="AA68" s="15">
        <f>IF(K68&lt;M68,1,0)</f>
        <v/>
      </c>
      <c r="AB68" s="15" t="n"/>
      <c r="AC68" s="15">
        <f>LEFT(AG68,2)&amp;LEFT(AI68,2)</f>
        <v/>
      </c>
      <c r="AD68" s="15" t="n"/>
      <c r="AE68" s="15">
        <f>IF(K68&gt;L68,1,0)</f>
        <v/>
      </c>
      <c r="AF68" s="16">
        <f>IF(H68&gt;I68,1,0)</f>
        <v/>
      </c>
      <c r="AG68" s="16">
        <f>IF(SUM(AE68:AF68)=2,"Anticipatory_Buy","No_Action")</f>
        <v/>
      </c>
      <c r="AH68" s="15" t="n"/>
      <c r="AI68" s="15">
        <f>IF(SUM(AJ68:AK68)=2,"Confirm_Buy","No_Action")</f>
        <v/>
      </c>
      <c r="AJ68" s="15">
        <f>IF(H68&gt;I68,1,0)</f>
        <v/>
      </c>
      <c r="AK68" s="15">
        <f>IF(K68&gt;M68,1,0)</f>
        <v/>
      </c>
    </row>
    <row r="69" ht="14.5" customHeight="1">
      <c r="A69" s="12" t="inlineStr">
        <is>
          <t>CENTURYPLY</t>
        </is>
      </c>
      <c r="B69" s="13">
        <f>IFERROR(__xludf.DUMMYFUNCTION("GOOGLEFINANCE(""NSE:""&amp;A69,""PRICE"")"),786.4)</f>
        <v/>
      </c>
      <c r="C69" s="13">
        <f>IFERROR(__xludf.DUMMYFUNCTION("GOOGLEFINANCE(""NSE:""&amp;A69,""PRICEOPEN"")"),787.95)</f>
        <v/>
      </c>
      <c r="D69" s="13">
        <f>IFERROR(__xludf.DUMMYFUNCTION("GOOGLEFINANCE(""NSE:""&amp;A69,""HIGH"")"),789.6)</f>
        <v/>
      </c>
      <c r="E69" s="13">
        <f>IFERROR(__xludf.DUMMYFUNCTION("GOOGLEFINANCE(""NSE:""&amp;A69,""LOW"")"),774)</f>
        <v/>
      </c>
      <c r="F69" s="13">
        <f>IFERROR(__xludf.DUMMYFUNCTION("GOOGLEFINANCE(""NSE:""&amp;A69,""closeyest"")"),787.9)</f>
        <v/>
      </c>
      <c r="G69" s="14">
        <f>(B69-C69)/B69</f>
        <v/>
      </c>
      <c r="H69" s="13">
        <f>IFERROR(__xludf.DUMMYFUNCTION("GOOGLEFINANCE(""NSE:""&amp;A69,""VOLUME"")"),81992)</f>
        <v/>
      </c>
      <c r="I69" s="13">
        <f>IFERROR(__xludf.DUMMYFUNCTION("AVERAGE(index(GOOGLEFINANCE(""NSE:""&amp;$A69, ""volume"", today()-21, today()-1), , 2))"),"#N/A")</f>
        <v/>
      </c>
      <c r="J69" s="14">
        <f>(H69-I69)/I69</f>
        <v/>
      </c>
      <c r="K69" s="13">
        <f>IFERROR(__xludf.DUMMYFUNCTION("AVERAGE(index(GOOGLEFINANCE(""NSE:""&amp;$A69, ""close"", today()-6, today()-1), , 2))"),"#N/A")</f>
        <v/>
      </c>
      <c r="L69" s="13">
        <f>IFERROR(__xludf.DUMMYFUNCTION("AVERAGE(index(GOOGLEFINANCE(""NSE:""&amp;$A69, ""close"", today()-14, today()-1), , 2))"),"#N/A")</f>
        <v/>
      </c>
      <c r="M69" s="13">
        <f>IFERROR(__xludf.DUMMYFUNCTION("AVERAGE(index(GOOGLEFINANCE(""NSE:""&amp;$A69, ""close"", today()-22, today()-1), , 2))"),"#N/A")</f>
        <v/>
      </c>
      <c r="N69" s="13">
        <f>AG69</f>
        <v/>
      </c>
      <c r="O69" s="13">
        <f>AI69</f>
        <v/>
      </c>
      <c r="P69" s="13">
        <f>W69</f>
        <v/>
      </c>
      <c r="Q69" s="13">
        <f>Y69</f>
        <v/>
      </c>
      <c r="R69" s="15" t="n"/>
      <c r="S69" s="15">
        <f>LEFT(W69,2)&amp;LEFT(Y69,2)</f>
        <v/>
      </c>
      <c r="T69" s="15" t="n"/>
      <c r="U69" s="15">
        <f>IF(K69&lt;L69,1,0)</f>
        <v/>
      </c>
      <c r="V69" s="15">
        <f>IF(H69&gt;I69,1,0)</f>
        <v/>
      </c>
      <c r="W69" s="15">
        <f>IF(SUM(U69:V69)=2,"Anticipatory_Sell","No_Action")</f>
        <v/>
      </c>
      <c r="X69" s="15" t="n"/>
      <c r="Y69" s="15">
        <f>IF(SUM(Z69:AA69)=2,"Confirm_Sell","No_Action")</f>
        <v/>
      </c>
      <c r="Z69" s="15">
        <f>IF(H69&gt;I69,1,0)</f>
        <v/>
      </c>
      <c r="AA69" s="15">
        <f>IF(K69&lt;M69,1,0)</f>
        <v/>
      </c>
      <c r="AB69" s="15" t="n"/>
      <c r="AC69" s="15">
        <f>LEFT(AG69,2)&amp;LEFT(AI69,2)</f>
        <v/>
      </c>
      <c r="AD69" s="15" t="n"/>
      <c r="AE69" s="15">
        <f>IF(K69&gt;L69,1,0)</f>
        <v/>
      </c>
      <c r="AF69" s="16">
        <f>IF(H69&gt;I69,1,0)</f>
        <v/>
      </c>
      <c r="AG69" s="16">
        <f>IF(SUM(AE69:AF69)=2,"Anticipatory_Buy","No_Action")</f>
        <v/>
      </c>
      <c r="AH69" s="15" t="n"/>
      <c r="AI69" s="15">
        <f>IF(SUM(AJ69:AK69)=2,"Confirm_Buy","No_Action")</f>
        <v/>
      </c>
      <c r="AJ69" s="15">
        <f>IF(H69&gt;I69,1,0)</f>
        <v/>
      </c>
      <c r="AK69" s="15">
        <f>IF(K69&gt;M69,1,0)</f>
        <v/>
      </c>
    </row>
    <row r="70" ht="14.5" customHeight="1">
      <c r="A70" s="12" t="inlineStr">
        <is>
          <t>CERA</t>
        </is>
      </c>
      <c r="B70" s="13">
        <f>IFERROR(__xludf.DUMMYFUNCTION("GOOGLEFINANCE(""NSE:""&amp;A70,""PRICE"")"),7795.25)</f>
        <v/>
      </c>
      <c r="C70" s="13">
        <f>IFERROR(__xludf.DUMMYFUNCTION("GOOGLEFINANCE(""NSE:""&amp;A70,""PRICEOPEN"")"),7888.8)</f>
        <v/>
      </c>
      <c r="D70" s="13">
        <f>IFERROR(__xludf.DUMMYFUNCTION("GOOGLEFINANCE(""NSE:""&amp;A70,""HIGH"")"),7888.8)</f>
        <v/>
      </c>
      <c r="E70" s="13">
        <f>IFERROR(__xludf.DUMMYFUNCTION("GOOGLEFINANCE(""NSE:""&amp;A70,""LOW"")"),7766.3)</f>
        <v/>
      </c>
      <c r="F70" s="13">
        <f>IFERROR(__xludf.DUMMYFUNCTION("GOOGLEFINANCE(""NSE:""&amp;A70,""closeyest"")"),7868.8)</f>
        <v/>
      </c>
      <c r="G70" s="14">
        <f>(B70-C70)/B70</f>
        <v/>
      </c>
      <c r="H70" s="13">
        <f>IFERROR(__xludf.DUMMYFUNCTION("GOOGLEFINANCE(""NSE:""&amp;A70,""VOLUME"")"),9082)</f>
        <v/>
      </c>
      <c r="I70" s="13">
        <f>IFERROR(__xludf.DUMMYFUNCTION("AVERAGE(index(GOOGLEFINANCE(""NSE:""&amp;$A70, ""volume"", today()-21, today()-1), , 2))"),"#N/A")</f>
        <v/>
      </c>
      <c r="J70" s="14">
        <f>(H70-I70)/I70</f>
        <v/>
      </c>
      <c r="K70" s="13">
        <f>IFERROR(__xludf.DUMMYFUNCTION("AVERAGE(index(GOOGLEFINANCE(""NSE:""&amp;$A70, ""close"", today()-6, today()-1), , 2))"),"#N/A")</f>
        <v/>
      </c>
      <c r="L70" s="13">
        <f>IFERROR(__xludf.DUMMYFUNCTION("AVERAGE(index(GOOGLEFINANCE(""NSE:""&amp;$A70, ""close"", today()-14, today()-1), , 2))"),"#N/A")</f>
        <v/>
      </c>
      <c r="M70" s="13">
        <f>IFERROR(__xludf.DUMMYFUNCTION("AVERAGE(index(GOOGLEFINANCE(""NSE:""&amp;$A70, ""close"", today()-22, today()-1), , 2))"),"#N/A")</f>
        <v/>
      </c>
      <c r="N70" s="13">
        <f>AG70</f>
        <v/>
      </c>
      <c r="O70" s="13">
        <f>AI70</f>
        <v/>
      </c>
      <c r="P70" s="13">
        <f>W70</f>
        <v/>
      </c>
      <c r="Q70" s="13">
        <f>Y70</f>
        <v/>
      </c>
      <c r="R70" s="15" t="n"/>
      <c r="S70" s="15">
        <f>LEFT(W70,2)&amp;LEFT(Y70,2)</f>
        <v/>
      </c>
      <c r="T70" s="15" t="n"/>
      <c r="U70" s="15">
        <f>IF(K70&lt;L70,1,0)</f>
        <v/>
      </c>
      <c r="V70" s="15">
        <f>IF(H70&gt;I70,1,0)</f>
        <v/>
      </c>
      <c r="W70" s="15">
        <f>IF(SUM(U70:V70)=2,"Anticipatory_Sell","No_Action")</f>
        <v/>
      </c>
      <c r="X70" s="15" t="n"/>
      <c r="Y70" s="15">
        <f>IF(SUM(Z70:AA70)=2,"Confirm_Sell","No_Action")</f>
        <v/>
      </c>
      <c r="Z70" s="15">
        <f>IF(H70&gt;I70,1,0)</f>
        <v/>
      </c>
      <c r="AA70" s="15">
        <f>IF(K70&lt;M70,1,0)</f>
        <v/>
      </c>
      <c r="AB70" s="15" t="n"/>
      <c r="AC70" s="15">
        <f>LEFT(AG70,2)&amp;LEFT(AI70,2)</f>
        <v/>
      </c>
      <c r="AD70" s="15" t="n"/>
      <c r="AE70" s="15">
        <f>IF(K70&gt;L70,1,0)</f>
        <v/>
      </c>
      <c r="AF70" s="16">
        <f>IF(H70&gt;I70,1,0)</f>
        <v/>
      </c>
      <c r="AG70" s="16">
        <f>IF(SUM(AE70:AF70)=2,"Anticipatory_Buy","No_Action")</f>
        <v/>
      </c>
      <c r="AH70" s="15" t="n"/>
      <c r="AI70" s="15">
        <f>IF(SUM(AJ70:AK70)=2,"Confirm_Buy","No_Action")</f>
        <v/>
      </c>
      <c r="AJ70" s="15">
        <f>IF(H70&gt;I70,1,0)</f>
        <v/>
      </c>
      <c r="AK70" s="15">
        <f>IF(K70&gt;M70,1,0)</f>
        <v/>
      </c>
    </row>
    <row r="71" ht="14.5" customHeight="1">
      <c r="A71" s="12" t="inlineStr">
        <is>
          <t>CHAMBLFERT</t>
        </is>
      </c>
      <c r="B71" s="13">
        <f>IFERROR(__xludf.DUMMYFUNCTION("GOOGLEFINANCE(""NSE:""&amp;A71,""PRICE"")"),527)</f>
        <v/>
      </c>
      <c r="C71" s="13">
        <f>IFERROR(__xludf.DUMMYFUNCTION("GOOGLEFINANCE(""NSE:""&amp;A71,""PRICEOPEN"")"),542.45)</f>
        <v/>
      </c>
      <c r="D71" s="13">
        <f>IFERROR(__xludf.DUMMYFUNCTION("GOOGLEFINANCE(""NSE:""&amp;A71,""HIGH"")"),546.2)</f>
        <v/>
      </c>
      <c r="E71" s="13">
        <f>IFERROR(__xludf.DUMMYFUNCTION("GOOGLEFINANCE(""NSE:""&amp;A71,""LOW"")"),517.25)</f>
        <v/>
      </c>
      <c r="F71" s="13">
        <f>IFERROR(__xludf.DUMMYFUNCTION("GOOGLEFINANCE(""NSE:""&amp;A71,""closeyest"")"),542.65)</f>
        <v/>
      </c>
      <c r="G71" s="14">
        <f>(B71-C71)/B71</f>
        <v/>
      </c>
      <c r="H71" s="13">
        <f>IFERROR(__xludf.DUMMYFUNCTION("GOOGLEFINANCE(""NSE:""&amp;A71,""VOLUME"")"),1830719)</f>
        <v/>
      </c>
      <c r="I71" s="13">
        <f>IFERROR(__xludf.DUMMYFUNCTION("AVERAGE(index(GOOGLEFINANCE(""NSE:""&amp;$A71, ""volume"", today()-21, today()-1), , 2))"),"#N/A")</f>
        <v/>
      </c>
      <c r="J71" s="14">
        <f>(H71-I71)/I71</f>
        <v/>
      </c>
      <c r="K71" s="13">
        <f>IFERROR(__xludf.DUMMYFUNCTION("AVERAGE(index(GOOGLEFINANCE(""NSE:""&amp;$A71, ""close"", today()-6, today()-1), , 2))"),"#N/A")</f>
        <v/>
      </c>
      <c r="L71" s="13">
        <f>IFERROR(__xludf.DUMMYFUNCTION("AVERAGE(index(GOOGLEFINANCE(""NSE:""&amp;$A71, ""close"", today()-14, today()-1), , 2))"),"#N/A")</f>
        <v/>
      </c>
      <c r="M71" s="13">
        <f>IFERROR(__xludf.DUMMYFUNCTION("AVERAGE(index(GOOGLEFINANCE(""NSE:""&amp;$A71, ""close"", today()-22, today()-1), , 2))"),"#N/A")</f>
        <v/>
      </c>
      <c r="N71" s="13">
        <f>AG71</f>
        <v/>
      </c>
      <c r="O71" s="13">
        <f>AI71</f>
        <v/>
      </c>
      <c r="P71" s="13">
        <f>W71</f>
        <v/>
      </c>
      <c r="Q71" s="13">
        <f>Y71</f>
        <v/>
      </c>
      <c r="R71" s="15" t="n"/>
      <c r="S71" s="15">
        <f>LEFT(W71,2)&amp;LEFT(Y71,2)</f>
        <v/>
      </c>
      <c r="T71" s="15" t="n"/>
      <c r="U71" s="15">
        <f>IF(K71&lt;L71,1,0)</f>
        <v/>
      </c>
      <c r="V71" s="15">
        <f>IF(H71&gt;I71,1,0)</f>
        <v/>
      </c>
      <c r="W71" s="15">
        <f>IF(SUM(U71:V71)=2,"Anticipatory_Sell","No_Action")</f>
        <v/>
      </c>
      <c r="X71" s="15" t="n"/>
      <c r="Y71" s="15">
        <f>IF(SUM(Z71:AA71)=2,"Confirm_Sell","No_Action")</f>
        <v/>
      </c>
      <c r="Z71" s="15">
        <f>IF(H71&gt;I71,1,0)</f>
        <v/>
      </c>
      <c r="AA71" s="15">
        <f>IF(K71&lt;M71,1,0)</f>
        <v/>
      </c>
      <c r="AB71" s="15" t="n"/>
      <c r="AC71" s="15">
        <f>LEFT(AG71,2)&amp;LEFT(AI71,2)</f>
        <v/>
      </c>
      <c r="AD71" s="15" t="n"/>
      <c r="AE71" s="15">
        <f>IF(K71&gt;L71,1,0)</f>
        <v/>
      </c>
      <c r="AF71" s="16">
        <f>IF(H71&gt;I71,1,0)</f>
        <v/>
      </c>
      <c r="AG71" s="16">
        <f>IF(SUM(AE71:AF71)=2,"Anticipatory_Buy","No_Action")</f>
        <v/>
      </c>
      <c r="AH71" s="15" t="n"/>
      <c r="AI71" s="15">
        <f>IF(SUM(AJ71:AK71)=2,"Confirm_Buy","No_Action")</f>
        <v/>
      </c>
      <c r="AJ71" s="15">
        <f>IF(H71&gt;I71,1,0)</f>
        <v/>
      </c>
      <c r="AK71" s="15">
        <f>IF(K71&gt;M71,1,0)</f>
        <v/>
      </c>
    </row>
    <row r="72" ht="14.5" customHeight="1">
      <c r="A72" s="12" t="inlineStr">
        <is>
          <t>CHOLAHLDNG</t>
        </is>
      </c>
      <c r="B72" s="13">
        <f>IFERROR(__xludf.DUMMYFUNCTION("GOOGLEFINANCE(""NSE:""&amp;A72,""PRICE"")"),1544)</f>
        <v/>
      </c>
      <c r="C72" s="13">
        <f>IFERROR(__xludf.DUMMYFUNCTION("GOOGLEFINANCE(""NSE:""&amp;A72,""PRICEOPEN"")"),1520)</f>
        <v/>
      </c>
      <c r="D72" s="13">
        <f>IFERROR(__xludf.DUMMYFUNCTION("GOOGLEFINANCE(""NSE:""&amp;A72,""HIGH"")"),1572.9)</f>
        <v/>
      </c>
      <c r="E72" s="13">
        <f>IFERROR(__xludf.DUMMYFUNCTION("GOOGLEFINANCE(""NSE:""&amp;A72,""LOW"")"),1519)</f>
        <v/>
      </c>
      <c r="F72" s="13">
        <f>IFERROR(__xludf.DUMMYFUNCTION("GOOGLEFINANCE(""NSE:""&amp;A72,""closeyest"")"),1520.45)</f>
        <v/>
      </c>
      <c r="G72" s="14">
        <f>(B72-C72)/B72</f>
        <v/>
      </c>
      <c r="H72" s="13">
        <f>IFERROR(__xludf.DUMMYFUNCTION("GOOGLEFINANCE(""NSE:""&amp;A72,""VOLUME"")"),192581)</f>
        <v/>
      </c>
      <c r="I72" s="13">
        <f>IFERROR(__xludf.DUMMYFUNCTION("AVERAGE(index(GOOGLEFINANCE(""NSE:""&amp;$A72, ""volume"", today()-21, today()-1), , 2))"),"#N/A")</f>
        <v/>
      </c>
      <c r="J72" s="14">
        <f>(H72-I72)/I72</f>
        <v/>
      </c>
      <c r="K72" s="13">
        <f>IFERROR(__xludf.DUMMYFUNCTION("AVERAGE(index(GOOGLEFINANCE(""NSE:""&amp;$A72, ""close"", today()-6, today()-1), , 2))"),"#N/A")</f>
        <v/>
      </c>
      <c r="L72" s="13">
        <f>IFERROR(__xludf.DUMMYFUNCTION("AVERAGE(index(GOOGLEFINANCE(""NSE:""&amp;$A72, ""close"", today()-14, today()-1), , 2))"),"#N/A")</f>
        <v/>
      </c>
      <c r="M72" s="13">
        <f>IFERROR(__xludf.DUMMYFUNCTION("AVERAGE(index(GOOGLEFINANCE(""NSE:""&amp;$A72, ""close"", today()-22, today()-1), , 2))"),"#N/A")</f>
        <v/>
      </c>
      <c r="N72" s="13">
        <f>AG72</f>
        <v/>
      </c>
      <c r="O72" s="13">
        <f>AI72</f>
        <v/>
      </c>
      <c r="P72" s="13">
        <f>W72</f>
        <v/>
      </c>
      <c r="Q72" s="13">
        <f>Y72</f>
        <v/>
      </c>
      <c r="R72" s="15" t="n"/>
      <c r="S72" s="15">
        <f>LEFT(W72,2)&amp;LEFT(Y72,2)</f>
        <v/>
      </c>
      <c r="T72" s="15" t="n"/>
      <c r="U72" s="15">
        <f>IF(K72&lt;L72,1,0)</f>
        <v/>
      </c>
      <c r="V72" s="15">
        <f>IF(H72&gt;I72,1,0)</f>
        <v/>
      </c>
      <c r="W72" s="15">
        <f>IF(SUM(U72:V72)=2,"Anticipatory_Sell","No_Action")</f>
        <v/>
      </c>
      <c r="X72" s="15" t="n"/>
      <c r="Y72" s="15">
        <f>IF(SUM(Z72:AA72)=2,"Confirm_Sell","No_Action")</f>
        <v/>
      </c>
      <c r="Z72" s="15">
        <f>IF(H72&gt;I72,1,0)</f>
        <v/>
      </c>
      <c r="AA72" s="15">
        <f>IF(K72&lt;M72,1,0)</f>
        <v/>
      </c>
      <c r="AB72" s="15" t="n"/>
      <c r="AC72" s="15">
        <f>LEFT(AG72,2)&amp;LEFT(AI72,2)</f>
        <v/>
      </c>
      <c r="AD72" s="15" t="n"/>
      <c r="AE72" s="15">
        <f>IF(K72&gt;L72,1,0)</f>
        <v/>
      </c>
      <c r="AF72" s="16">
        <f>IF(H72&gt;I72,1,0)</f>
        <v/>
      </c>
      <c r="AG72" s="16">
        <f>IF(SUM(AE72:AF72)=2,"Anticipatory_Buy","No_Action")</f>
        <v/>
      </c>
      <c r="AH72" s="15" t="n"/>
      <c r="AI72" s="15">
        <f>IF(SUM(AJ72:AK72)=2,"Confirm_Buy","No_Action")</f>
        <v/>
      </c>
      <c r="AJ72" s="15">
        <f>IF(H72&gt;I72,1,0)</f>
        <v/>
      </c>
      <c r="AK72" s="15">
        <f>IF(K72&gt;M72,1,0)</f>
        <v/>
      </c>
    </row>
    <row r="73" ht="14.5" customHeight="1">
      <c r="A73" s="12" t="inlineStr">
        <is>
          <t>CHOLAFIN</t>
        </is>
      </c>
      <c r="B73" s="13">
        <f>IFERROR(__xludf.DUMMYFUNCTION("GOOGLEFINANCE(""NSE:""&amp;A73,""PRICE"")"),1280.05)</f>
        <v/>
      </c>
      <c r="C73" s="13">
        <f>IFERROR(__xludf.DUMMYFUNCTION("GOOGLEFINANCE(""NSE:""&amp;A73,""PRICEOPEN"")"),1275.1)</f>
        <v/>
      </c>
      <c r="D73" s="13">
        <f>IFERROR(__xludf.DUMMYFUNCTION("GOOGLEFINANCE(""NSE:""&amp;A73,""HIGH"")"),1293.4)</f>
        <v/>
      </c>
      <c r="E73" s="13">
        <f>IFERROR(__xludf.DUMMYFUNCTION("GOOGLEFINANCE(""NSE:""&amp;A73,""LOW"")"),1272.65)</f>
        <v/>
      </c>
      <c r="F73" s="13">
        <f>IFERROR(__xludf.DUMMYFUNCTION("GOOGLEFINANCE(""NSE:""&amp;A73,""closeyest"")"),1275.1)</f>
        <v/>
      </c>
      <c r="G73" s="14">
        <f>(B73-C73)/B73</f>
        <v/>
      </c>
      <c r="H73" s="13">
        <f>IFERROR(__xludf.DUMMYFUNCTION("GOOGLEFINANCE(""NSE:""&amp;A73,""VOLUME"")"),1661864)</f>
        <v/>
      </c>
      <c r="I73" s="13">
        <f>IFERROR(__xludf.DUMMYFUNCTION("AVERAGE(index(GOOGLEFINANCE(""NSE:""&amp;$A73, ""volume"", today()-21, today()-1), , 2))"),"#N/A")</f>
        <v/>
      </c>
      <c r="J73" s="14">
        <f>(H73-I73)/I73</f>
        <v/>
      </c>
      <c r="K73" s="13">
        <f>IFERROR(__xludf.DUMMYFUNCTION("AVERAGE(index(GOOGLEFINANCE(""NSE:""&amp;$A73, ""close"", today()-6, today()-1), , 2))"),"#N/A")</f>
        <v/>
      </c>
      <c r="L73" s="13">
        <f>IFERROR(__xludf.DUMMYFUNCTION("AVERAGE(index(GOOGLEFINANCE(""NSE:""&amp;$A73, ""close"", today()-14, today()-1), , 2))"),"#N/A")</f>
        <v/>
      </c>
      <c r="M73" s="13">
        <f>IFERROR(__xludf.DUMMYFUNCTION("AVERAGE(index(GOOGLEFINANCE(""NSE:""&amp;$A73, ""close"", today()-22, today()-1), , 2))"),"#N/A")</f>
        <v/>
      </c>
      <c r="N73" s="13">
        <f>AG73</f>
        <v/>
      </c>
      <c r="O73" s="13">
        <f>AI73</f>
        <v/>
      </c>
      <c r="P73" s="13">
        <f>W73</f>
        <v/>
      </c>
      <c r="Q73" s="13">
        <f>Y73</f>
        <v/>
      </c>
      <c r="R73" s="15" t="n"/>
      <c r="S73" s="15">
        <f>LEFT(W73,2)&amp;LEFT(Y73,2)</f>
        <v/>
      </c>
      <c r="T73" s="15" t="n"/>
      <c r="U73" s="15">
        <f>IF(K73&lt;L73,1,0)</f>
        <v/>
      </c>
      <c r="V73" s="15">
        <f>IF(H73&gt;I73,1,0)</f>
        <v/>
      </c>
      <c r="W73" s="15">
        <f>IF(SUM(U73:V73)=2,"Anticipatory_Sell","No_Action")</f>
        <v/>
      </c>
      <c r="X73" s="15" t="n"/>
      <c r="Y73" s="15">
        <f>IF(SUM(Z73:AA73)=2,"Confirm_Sell","No_Action")</f>
        <v/>
      </c>
      <c r="Z73" s="15">
        <f>IF(H73&gt;I73,1,0)</f>
        <v/>
      </c>
      <c r="AA73" s="15">
        <f>IF(K73&lt;M73,1,0)</f>
        <v/>
      </c>
      <c r="AB73" s="15" t="n"/>
      <c r="AC73" s="15">
        <f>LEFT(AG73,2)&amp;LEFT(AI73,2)</f>
        <v/>
      </c>
      <c r="AD73" s="15" t="n"/>
      <c r="AE73" s="15">
        <f>IF(K73&gt;L73,1,0)</f>
        <v/>
      </c>
      <c r="AF73" s="16">
        <f>IF(H73&gt;I73,1,0)</f>
        <v/>
      </c>
      <c r="AG73" s="16">
        <f>IF(SUM(AE73:AF73)=2,"Anticipatory_Buy","No_Action")</f>
        <v/>
      </c>
      <c r="AH73" s="15" t="n"/>
      <c r="AI73" s="15">
        <f>IF(SUM(AJ73:AK73)=2,"Confirm_Buy","No_Action")</f>
        <v/>
      </c>
      <c r="AJ73" s="15">
        <f>IF(H73&gt;I73,1,0)</f>
        <v/>
      </c>
      <c r="AK73" s="15">
        <f>IF(K73&gt;M73,1,0)</f>
        <v/>
      </c>
    </row>
    <row r="74" ht="14.5" customHeight="1">
      <c r="A74" s="12" t="inlineStr">
        <is>
          <t>CIEINDIA</t>
        </is>
      </c>
      <c r="B74" s="13">
        <f>IFERROR(__xludf.DUMMYFUNCTION("GOOGLEFINANCE(""NSE:""&amp;A74,""PRICE"")"),483.55)</f>
        <v/>
      </c>
      <c r="C74" s="13">
        <f>IFERROR(__xludf.DUMMYFUNCTION("GOOGLEFINANCE(""NSE:""&amp;A74,""PRICEOPEN"")"),480.85)</f>
        <v/>
      </c>
      <c r="D74" s="13">
        <f>IFERROR(__xludf.DUMMYFUNCTION("GOOGLEFINANCE(""NSE:""&amp;A74,""HIGH"")"),487)</f>
        <v/>
      </c>
      <c r="E74" s="13">
        <f>IFERROR(__xludf.DUMMYFUNCTION("GOOGLEFINANCE(""NSE:""&amp;A74,""LOW"")"),477.25)</f>
        <v/>
      </c>
      <c r="F74" s="13">
        <f>IFERROR(__xludf.DUMMYFUNCTION("GOOGLEFINANCE(""NSE:""&amp;A74,""closeyest"")"),481.3)</f>
        <v/>
      </c>
      <c r="G74" s="14">
        <f>(B74-C74)/B74</f>
        <v/>
      </c>
      <c r="H74" s="13">
        <f>IFERROR(__xludf.DUMMYFUNCTION("GOOGLEFINANCE(""NSE:""&amp;A74,""VOLUME"")"),136095)</f>
        <v/>
      </c>
      <c r="I74" s="13">
        <f>IFERROR(__xludf.DUMMYFUNCTION("AVERAGE(index(GOOGLEFINANCE(""NSE:""&amp;$A74, ""volume"", today()-21, today()-1), , 2))"),"#N/A")</f>
        <v/>
      </c>
      <c r="J74" s="14">
        <f>(H74-I74)/I74</f>
        <v/>
      </c>
      <c r="K74" s="13">
        <f>IFERROR(__xludf.DUMMYFUNCTION("AVERAGE(index(GOOGLEFINANCE(""NSE:""&amp;$A74, ""close"", today()-6, today()-1), , 2))"),"#N/A")</f>
        <v/>
      </c>
      <c r="L74" s="13">
        <f>IFERROR(__xludf.DUMMYFUNCTION("AVERAGE(index(GOOGLEFINANCE(""NSE:""&amp;$A74, ""close"", today()-14, today()-1), , 2))"),"#N/A")</f>
        <v/>
      </c>
      <c r="M74" s="13">
        <f>IFERROR(__xludf.DUMMYFUNCTION("AVERAGE(index(GOOGLEFINANCE(""NSE:""&amp;$A74, ""close"", today()-22, today()-1), , 2))"),"#N/A")</f>
        <v/>
      </c>
      <c r="N74" s="13">
        <f>AG74</f>
        <v/>
      </c>
      <c r="O74" s="13">
        <f>AI74</f>
        <v/>
      </c>
      <c r="P74" s="13">
        <f>W74</f>
        <v/>
      </c>
      <c r="Q74" s="13">
        <f>Y74</f>
        <v/>
      </c>
      <c r="R74" s="15" t="n"/>
      <c r="S74" s="15">
        <f>LEFT(W74,2)&amp;LEFT(Y74,2)</f>
        <v/>
      </c>
      <c r="T74" s="15" t="n"/>
      <c r="U74" s="15">
        <f>IF(K74&lt;L74,1,0)</f>
        <v/>
      </c>
      <c r="V74" s="15">
        <f>IF(H74&gt;I74,1,0)</f>
        <v/>
      </c>
      <c r="W74" s="15">
        <f>IF(SUM(U74:V74)=2,"Anticipatory_Sell","No_Action")</f>
        <v/>
      </c>
      <c r="X74" s="15" t="n"/>
      <c r="Y74" s="15">
        <f>IF(SUM(Z74:AA74)=2,"Confirm_Sell","No_Action")</f>
        <v/>
      </c>
      <c r="Z74" s="15">
        <f>IF(H74&gt;I74,1,0)</f>
        <v/>
      </c>
      <c r="AA74" s="15">
        <f>IF(K74&lt;M74,1,0)</f>
        <v/>
      </c>
      <c r="AB74" s="15" t="n"/>
      <c r="AC74" s="15">
        <f>LEFT(AG74,2)&amp;LEFT(AI74,2)</f>
        <v/>
      </c>
      <c r="AD74" s="15" t="n"/>
      <c r="AE74" s="15">
        <f>IF(K74&gt;L74,1,0)</f>
        <v/>
      </c>
      <c r="AF74" s="16">
        <f>IF(H74&gt;I74,1,0)</f>
        <v/>
      </c>
      <c r="AG74" s="16">
        <f>IF(SUM(AE74:AF74)=2,"Anticipatory_Buy","No_Action")</f>
        <v/>
      </c>
      <c r="AH74" s="15" t="n"/>
      <c r="AI74" s="15">
        <f>IF(SUM(AJ74:AK74)=2,"Confirm_Buy","No_Action")</f>
        <v/>
      </c>
      <c r="AJ74" s="15">
        <f>IF(H74&gt;I74,1,0)</f>
        <v/>
      </c>
      <c r="AK74" s="15">
        <f>IF(K74&gt;M74,1,0)</f>
        <v/>
      </c>
    </row>
    <row r="75" ht="14.5" customHeight="1">
      <c r="A75" s="12" t="inlineStr">
        <is>
          <t>CIPLA</t>
        </is>
      </c>
      <c r="B75" s="13">
        <f>IFERROR(__xludf.DUMMYFUNCTION("GOOGLEFINANCE(""NSE:""&amp;A75,""PRICE"")"),1470.8)</f>
        <v/>
      </c>
      <c r="C75" s="13">
        <f>IFERROR(__xludf.DUMMYFUNCTION("GOOGLEFINANCE(""NSE:""&amp;A75,""PRICEOPEN"")"),1480)</f>
        <v/>
      </c>
      <c r="D75" s="13">
        <f>IFERROR(__xludf.DUMMYFUNCTION("GOOGLEFINANCE(""NSE:""&amp;A75,""HIGH"")"),1484.75)</f>
        <v/>
      </c>
      <c r="E75" s="13">
        <f>IFERROR(__xludf.DUMMYFUNCTION("GOOGLEFINANCE(""NSE:""&amp;A75,""LOW"")"),1467.3)</f>
        <v/>
      </c>
      <c r="F75" s="13">
        <f>IFERROR(__xludf.DUMMYFUNCTION("GOOGLEFINANCE(""NSE:""&amp;A75,""closeyest"")"),1477.4)</f>
        <v/>
      </c>
      <c r="G75" s="14">
        <f>(B75-C75)/B75</f>
        <v/>
      </c>
      <c r="H75" s="13">
        <f>IFERROR(__xludf.DUMMYFUNCTION("GOOGLEFINANCE(""NSE:""&amp;A75,""VOLUME"")"),2144057)</f>
        <v/>
      </c>
      <c r="I75" s="13">
        <f>IFERROR(__xludf.DUMMYFUNCTION("AVERAGE(index(GOOGLEFINANCE(""NSE:""&amp;$A75, ""volume"", today()-21, today()-1), , 2))"),"#N/A")</f>
        <v/>
      </c>
      <c r="J75" s="14">
        <f>(H75-I75)/I75</f>
        <v/>
      </c>
      <c r="K75" s="13">
        <f>IFERROR(__xludf.DUMMYFUNCTION("AVERAGE(index(GOOGLEFINANCE(""NSE:""&amp;$A75, ""close"", today()-6, today()-1), , 2))"),"#N/A")</f>
        <v/>
      </c>
      <c r="L75" s="13">
        <f>IFERROR(__xludf.DUMMYFUNCTION("AVERAGE(index(GOOGLEFINANCE(""NSE:""&amp;$A75, ""close"", today()-14, today()-1), , 2))"),"#N/A")</f>
        <v/>
      </c>
      <c r="M75" s="13">
        <f>IFERROR(__xludf.DUMMYFUNCTION("AVERAGE(index(GOOGLEFINANCE(""NSE:""&amp;$A75, ""close"", today()-22, today()-1), , 2))"),"#N/A")</f>
        <v/>
      </c>
      <c r="N75" s="13">
        <f>AG75</f>
        <v/>
      </c>
      <c r="O75" s="13">
        <f>AI75</f>
        <v/>
      </c>
      <c r="P75" s="13">
        <f>W75</f>
        <v/>
      </c>
      <c r="Q75" s="13">
        <f>Y75</f>
        <v/>
      </c>
      <c r="R75" s="15" t="n"/>
      <c r="S75" s="15">
        <f>LEFT(W75,2)&amp;LEFT(Y75,2)</f>
        <v/>
      </c>
      <c r="T75" s="15" t="n"/>
      <c r="U75" s="15">
        <f>IF(K75&lt;L75,1,0)</f>
        <v/>
      </c>
      <c r="V75" s="15">
        <f>IF(H75&gt;I75,1,0)</f>
        <v/>
      </c>
      <c r="W75" s="15">
        <f>IF(SUM(U75:V75)=2,"Anticipatory_Sell","No_Action")</f>
        <v/>
      </c>
      <c r="X75" s="15" t="n"/>
      <c r="Y75" s="15">
        <f>IF(SUM(Z75:AA75)=2,"Confirm_Sell","No_Action")</f>
        <v/>
      </c>
      <c r="Z75" s="15">
        <f>IF(H75&gt;I75,1,0)</f>
        <v/>
      </c>
      <c r="AA75" s="15">
        <f>IF(K75&lt;M75,1,0)</f>
        <v/>
      </c>
      <c r="AB75" s="15" t="n"/>
      <c r="AC75" s="15">
        <f>LEFT(AG75,2)&amp;LEFT(AI75,2)</f>
        <v/>
      </c>
      <c r="AD75" s="15" t="n"/>
      <c r="AE75" s="15">
        <f>IF(K75&gt;L75,1,0)</f>
        <v/>
      </c>
      <c r="AF75" s="16">
        <f>IF(H75&gt;I75,1,0)</f>
        <v/>
      </c>
      <c r="AG75" s="16">
        <f>IF(SUM(AE75:AF75)=2,"Anticipatory_Buy","No_Action")</f>
        <v/>
      </c>
      <c r="AH75" s="15" t="n"/>
      <c r="AI75" s="15">
        <f>IF(SUM(AJ75:AK75)=2,"Confirm_Buy","No_Action")</f>
        <v/>
      </c>
      <c r="AJ75" s="15">
        <f>IF(H75&gt;I75,1,0)</f>
        <v/>
      </c>
      <c r="AK75" s="15">
        <f>IF(K75&gt;M75,1,0)</f>
        <v/>
      </c>
    </row>
    <row r="76" ht="14.5" customHeight="1">
      <c r="A76" s="12" t="inlineStr">
        <is>
          <t>CMSINFO</t>
        </is>
      </c>
      <c r="B76" s="13">
        <f>IFERROR(__xludf.DUMMYFUNCTION("GOOGLEFINANCE(""NSE:""&amp;A76,""PRICE"")"),526.95)</f>
        <v/>
      </c>
      <c r="C76" s="13">
        <f>IFERROR(__xludf.DUMMYFUNCTION("GOOGLEFINANCE(""NSE:""&amp;A76,""PRICEOPEN"")"),516)</f>
        <v/>
      </c>
      <c r="D76" s="13">
        <f>IFERROR(__xludf.DUMMYFUNCTION("GOOGLEFINANCE(""NSE:""&amp;A76,""HIGH"")"),528)</f>
        <v/>
      </c>
      <c r="E76" s="13">
        <f>IFERROR(__xludf.DUMMYFUNCTION("GOOGLEFINANCE(""NSE:""&amp;A76,""LOW"")"),508.15)</f>
        <v/>
      </c>
      <c r="F76" s="13">
        <f>IFERROR(__xludf.DUMMYFUNCTION("GOOGLEFINANCE(""NSE:""&amp;A76,""closeyest"")"),513.5)</f>
        <v/>
      </c>
      <c r="G76" s="14">
        <f>(B76-C76)/B76</f>
        <v/>
      </c>
      <c r="H76" s="13">
        <f>IFERROR(__xludf.DUMMYFUNCTION("GOOGLEFINANCE(""NSE:""&amp;A76,""VOLUME"")"),410273)</f>
        <v/>
      </c>
      <c r="I76" s="13">
        <f>IFERROR(__xludf.DUMMYFUNCTION("AVERAGE(index(GOOGLEFINANCE(""NSE:""&amp;$A76, ""volume"", today()-21, today()-1), , 2))"),"#N/A")</f>
        <v/>
      </c>
      <c r="J76" s="14">
        <f>(H76-I76)/I76</f>
        <v/>
      </c>
      <c r="K76" s="13">
        <f>IFERROR(__xludf.DUMMYFUNCTION("AVERAGE(index(GOOGLEFINANCE(""NSE:""&amp;$A76, ""close"", today()-6, today()-1), , 2))"),"#N/A")</f>
        <v/>
      </c>
      <c r="L76" s="13">
        <f>IFERROR(__xludf.DUMMYFUNCTION("AVERAGE(index(GOOGLEFINANCE(""NSE:""&amp;$A76, ""close"", today()-14, today()-1), , 2))"),"#N/A")</f>
        <v/>
      </c>
      <c r="M76" s="13">
        <f>IFERROR(__xludf.DUMMYFUNCTION("AVERAGE(index(GOOGLEFINANCE(""NSE:""&amp;$A76, ""close"", today()-22, today()-1), , 2))"),"#N/A")</f>
        <v/>
      </c>
      <c r="N76" s="13">
        <f>AG76</f>
        <v/>
      </c>
      <c r="O76" s="13">
        <f>AI76</f>
        <v/>
      </c>
      <c r="P76" s="13">
        <f>W76</f>
        <v/>
      </c>
      <c r="Q76" s="13">
        <f>Y76</f>
        <v/>
      </c>
      <c r="R76" s="15" t="n"/>
      <c r="S76" s="15">
        <f>LEFT(W76,2)&amp;LEFT(Y76,2)</f>
        <v/>
      </c>
      <c r="T76" s="15" t="n"/>
      <c r="U76" s="15">
        <f>IF(K76&lt;L76,1,0)</f>
        <v/>
      </c>
      <c r="V76" s="15">
        <f>IF(H76&gt;I76,1,0)</f>
        <v/>
      </c>
      <c r="W76" s="15">
        <f>IF(SUM(U76:V76)=2,"Anticipatory_Sell","No_Action")</f>
        <v/>
      </c>
      <c r="X76" s="15" t="n"/>
      <c r="Y76" s="15">
        <f>IF(SUM(Z76:AA76)=2,"Confirm_Sell","No_Action")</f>
        <v/>
      </c>
      <c r="Z76" s="15">
        <f>IF(H76&gt;I76,1,0)</f>
        <v/>
      </c>
      <c r="AA76" s="15">
        <f>IF(K76&lt;M76,1,0)</f>
        <v/>
      </c>
      <c r="AB76" s="15" t="n"/>
      <c r="AC76" s="15">
        <f>LEFT(AG76,2)&amp;LEFT(AI76,2)</f>
        <v/>
      </c>
      <c r="AD76" s="15" t="n"/>
      <c r="AE76" s="15">
        <f>IF(K76&gt;L76,1,0)</f>
        <v/>
      </c>
      <c r="AF76" s="16">
        <f>IF(H76&gt;I76,1,0)</f>
        <v/>
      </c>
      <c r="AG76" s="16">
        <f>IF(SUM(AE76:AF76)=2,"Anticipatory_Buy","No_Action")</f>
        <v/>
      </c>
      <c r="AH76" s="15" t="n"/>
      <c r="AI76" s="15">
        <f>IF(SUM(AJ76:AK76)=2,"Confirm_Buy","No_Action")</f>
        <v/>
      </c>
      <c r="AJ76" s="15">
        <f>IF(H76&gt;I76,1,0)</f>
        <v/>
      </c>
      <c r="AK76" s="15">
        <f>IF(K76&gt;M76,1,0)</f>
        <v/>
      </c>
    </row>
    <row r="77" ht="14.5" customHeight="1">
      <c r="A77" s="12" t="inlineStr">
        <is>
          <t>COALINDIA</t>
        </is>
      </c>
      <c r="B77" s="13">
        <f>IFERROR(__xludf.DUMMYFUNCTION("GOOGLEFINANCE(""NSE:""&amp;A77,""PRICE"")"),414.4)</f>
        <v/>
      </c>
      <c r="C77" s="13">
        <f>IFERROR(__xludf.DUMMYFUNCTION("GOOGLEFINANCE(""NSE:""&amp;A77,""PRICEOPEN"")"),418)</f>
        <v/>
      </c>
      <c r="D77" s="13">
        <f>IFERROR(__xludf.DUMMYFUNCTION("GOOGLEFINANCE(""NSE:""&amp;A77,""HIGH"")"),420.95)</f>
        <v/>
      </c>
      <c r="E77" s="13">
        <f>IFERROR(__xludf.DUMMYFUNCTION("GOOGLEFINANCE(""NSE:""&amp;A77,""LOW"")"),412.5)</f>
        <v/>
      </c>
      <c r="F77" s="13">
        <f>IFERROR(__xludf.DUMMYFUNCTION("GOOGLEFINANCE(""NSE:""&amp;A77,""closeyest"")"),417.15)</f>
        <v/>
      </c>
      <c r="G77" s="14">
        <f>(B77-C77)/B77</f>
        <v/>
      </c>
      <c r="H77" s="13">
        <f>IFERROR(__xludf.DUMMYFUNCTION("GOOGLEFINANCE(""NSE:""&amp;A77,""VOLUME"")"),6662023)</f>
        <v/>
      </c>
      <c r="I77" s="13">
        <f>IFERROR(__xludf.DUMMYFUNCTION("AVERAGE(index(GOOGLEFINANCE(""NSE:""&amp;$A77, ""volume"", today()-21, today()-1), , 2))"),"#N/A")</f>
        <v/>
      </c>
      <c r="J77" s="14">
        <f>(H77-I77)/I77</f>
        <v/>
      </c>
      <c r="K77" s="13">
        <f>IFERROR(__xludf.DUMMYFUNCTION("AVERAGE(index(GOOGLEFINANCE(""NSE:""&amp;$A77, ""close"", today()-6, today()-1), , 2))"),"#N/A")</f>
        <v/>
      </c>
      <c r="L77" s="13">
        <f>IFERROR(__xludf.DUMMYFUNCTION("AVERAGE(index(GOOGLEFINANCE(""NSE:""&amp;$A77, ""close"", today()-14, today()-1), , 2))"),"#N/A")</f>
        <v/>
      </c>
      <c r="M77" s="13">
        <f>IFERROR(__xludf.DUMMYFUNCTION("AVERAGE(index(GOOGLEFINANCE(""NSE:""&amp;$A77, ""close"", today()-22, today()-1), , 2))"),"#N/A")</f>
        <v/>
      </c>
      <c r="N77" s="13">
        <f>AG77</f>
        <v/>
      </c>
      <c r="O77" s="13">
        <f>AI77</f>
        <v/>
      </c>
      <c r="P77" s="13">
        <f>W77</f>
        <v/>
      </c>
      <c r="Q77" s="13">
        <f>Y77</f>
        <v/>
      </c>
      <c r="R77" s="15" t="n"/>
      <c r="S77" s="15">
        <f>LEFT(W77,2)&amp;LEFT(Y77,2)</f>
        <v/>
      </c>
      <c r="T77" s="15" t="n"/>
      <c r="U77" s="15">
        <f>IF(K77&lt;L77,1,0)</f>
        <v/>
      </c>
      <c r="V77" s="15">
        <f>IF(H77&gt;I77,1,0)</f>
        <v/>
      </c>
      <c r="W77" s="15">
        <f>IF(SUM(U77:V77)=2,"Anticipatory_Sell","No_Action")</f>
        <v/>
      </c>
      <c r="X77" s="15" t="n"/>
      <c r="Y77" s="15">
        <f>IF(SUM(Z77:AA77)=2,"Confirm_Sell","No_Action")</f>
        <v/>
      </c>
      <c r="Z77" s="15">
        <f>IF(H77&gt;I77,1,0)</f>
        <v/>
      </c>
      <c r="AA77" s="15">
        <f>IF(K77&lt;M77,1,0)</f>
        <v/>
      </c>
      <c r="AB77" s="15" t="n"/>
      <c r="AC77" s="15">
        <f>LEFT(AG77,2)&amp;LEFT(AI77,2)</f>
        <v/>
      </c>
      <c r="AD77" s="15" t="n"/>
      <c r="AE77" s="15">
        <f>IF(K77&gt;L77,1,0)</f>
        <v/>
      </c>
      <c r="AF77" s="16">
        <f>IF(H77&gt;I77,1,0)</f>
        <v/>
      </c>
      <c r="AG77" s="16">
        <f>IF(SUM(AE77:AF77)=2,"Anticipatory_Buy","No_Action")</f>
        <v/>
      </c>
      <c r="AH77" s="15" t="n"/>
      <c r="AI77" s="15">
        <f>IF(SUM(AJ77:AK77)=2,"Confirm_Buy","No_Action")</f>
        <v/>
      </c>
      <c r="AJ77" s="15">
        <f>IF(H77&gt;I77,1,0)</f>
        <v/>
      </c>
      <c r="AK77" s="15">
        <f>IF(K77&gt;M77,1,0)</f>
        <v/>
      </c>
    </row>
    <row r="78" ht="14.5" customHeight="1">
      <c r="A78" s="12" t="inlineStr">
        <is>
          <t>COCHINSHIP</t>
        </is>
      </c>
      <c r="B78" s="13">
        <f>IFERROR(__xludf.DUMMYFUNCTION("GOOGLEFINANCE(""NSE:""&amp;A78,""PRICE"")"),1681)</f>
        <v/>
      </c>
      <c r="C78" s="13">
        <f>IFERROR(__xludf.DUMMYFUNCTION("GOOGLEFINANCE(""NSE:""&amp;A78,""PRICEOPEN"")"),1684.7)</f>
        <v/>
      </c>
      <c r="D78" s="13">
        <f>IFERROR(__xludf.DUMMYFUNCTION("GOOGLEFINANCE(""NSE:""&amp;A78,""HIGH"")"),1693.9)</f>
        <v/>
      </c>
      <c r="E78" s="13">
        <f>IFERROR(__xludf.DUMMYFUNCTION("GOOGLEFINANCE(""NSE:""&amp;A78,""LOW"")"),1663)</f>
        <v/>
      </c>
      <c r="F78" s="13">
        <f>IFERROR(__xludf.DUMMYFUNCTION("GOOGLEFINANCE(""NSE:""&amp;A78,""closeyest"")"),1691.9)</f>
        <v/>
      </c>
      <c r="G78" s="14">
        <f>(B78-C78)/B78</f>
        <v/>
      </c>
      <c r="H78" s="13">
        <f>IFERROR(__xludf.DUMMYFUNCTION("GOOGLEFINANCE(""NSE:""&amp;A78,""VOLUME"")"),359831)</f>
        <v/>
      </c>
      <c r="I78" s="13">
        <f>IFERROR(__xludf.DUMMYFUNCTION("AVERAGE(index(GOOGLEFINANCE(""NSE:""&amp;$A78, ""volume"", today()-21, today()-1), , 2))"),"#N/A")</f>
        <v/>
      </c>
      <c r="J78" s="14">
        <f>(H78-I78)/I78</f>
        <v/>
      </c>
      <c r="K78" s="13">
        <f>IFERROR(__xludf.DUMMYFUNCTION("AVERAGE(index(GOOGLEFINANCE(""NSE:""&amp;$A78, ""close"", today()-6, today()-1), , 2))"),"#N/A")</f>
        <v/>
      </c>
      <c r="L78" s="13">
        <f>IFERROR(__xludf.DUMMYFUNCTION("AVERAGE(index(GOOGLEFINANCE(""NSE:""&amp;$A78, ""close"", today()-14, today()-1), , 2))"),"#N/A")</f>
        <v/>
      </c>
      <c r="M78" s="13">
        <f>IFERROR(__xludf.DUMMYFUNCTION("AVERAGE(index(GOOGLEFINANCE(""NSE:""&amp;$A78, ""close"", today()-22, today()-1), , 2))"),"#N/A")</f>
        <v/>
      </c>
      <c r="N78" s="13">
        <f>AG78</f>
        <v/>
      </c>
      <c r="O78" s="13">
        <f>AI78</f>
        <v/>
      </c>
      <c r="P78" s="13">
        <f>W78</f>
        <v/>
      </c>
      <c r="Q78" s="13">
        <f>Y78</f>
        <v/>
      </c>
      <c r="R78" s="15" t="n"/>
      <c r="S78" s="15">
        <f>LEFT(W78,2)&amp;LEFT(Y78,2)</f>
        <v/>
      </c>
      <c r="T78" s="15" t="n"/>
      <c r="U78" s="15">
        <f>IF(K78&lt;L78,1,0)</f>
        <v/>
      </c>
      <c r="V78" s="15">
        <f>IF(H78&gt;I78,1,0)</f>
        <v/>
      </c>
      <c r="W78" s="15">
        <f>IF(SUM(U78:V78)=2,"Anticipatory_Sell","No_Action")</f>
        <v/>
      </c>
      <c r="X78" s="15" t="n"/>
      <c r="Y78" s="15">
        <f>IF(SUM(Z78:AA78)=2,"Confirm_Sell","No_Action")</f>
        <v/>
      </c>
      <c r="Z78" s="15">
        <f>IF(H78&gt;I78,1,0)</f>
        <v/>
      </c>
      <c r="AA78" s="15">
        <f>IF(K78&lt;M78,1,0)</f>
        <v/>
      </c>
      <c r="AB78" s="15" t="n"/>
      <c r="AC78" s="15">
        <f>LEFT(AG78,2)&amp;LEFT(AI78,2)</f>
        <v/>
      </c>
      <c r="AD78" s="15" t="n"/>
      <c r="AE78" s="15">
        <f>IF(K78&gt;L78,1,0)</f>
        <v/>
      </c>
      <c r="AF78" s="16">
        <f>IF(H78&gt;I78,1,0)</f>
        <v/>
      </c>
      <c r="AG78" s="16">
        <f>IF(SUM(AE78:AF78)=2,"Anticipatory_Buy","No_Action")</f>
        <v/>
      </c>
      <c r="AH78" s="15" t="n"/>
      <c r="AI78" s="15">
        <f>IF(SUM(AJ78:AK78)=2,"Confirm_Buy","No_Action")</f>
        <v/>
      </c>
      <c r="AJ78" s="15">
        <f>IF(H78&gt;I78,1,0)</f>
        <v/>
      </c>
      <c r="AK78" s="15">
        <f>IF(K78&gt;M78,1,0)</f>
        <v/>
      </c>
    </row>
    <row r="79" ht="14.5" customHeight="1">
      <c r="A79" s="12" t="inlineStr">
        <is>
          <t>COLPAL</t>
        </is>
      </c>
      <c r="B79" s="13">
        <f>IFERROR(__xludf.DUMMYFUNCTION("GOOGLEFINANCE(""NSE:""&amp;A79,""PRICE"")"),2804)</f>
        <v/>
      </c>
      <c r="C79" s="13">
        <f>IFERROR(__xludf.DUMMYFUNCTION("GOOGLEFINANCE(""NSE:""&amp;A79,""PRICEOPEN"")"),2886.8)</f>
        <v/>
      </c>
      <c r="D79" s="13">
        <f>IFERROR(__xludf.DUMMYFUNCTION("GOOGLEFINANCE(""NSE:""&amp;A79,""HIGH"")"),2886.8)</f>
        <v/>
      </c>
      <c r="E79" s="13">
        <f>IFERROR(__xludf.DUMMYFUNCTION("GOOGLEFINANCE(""NSE:""&amp;A79,""LOW"")"),2777.5)</f>
        <v/>
      </c>
      <c r="F79" s="13">
        <f>IFERROR(__xludf.DUMMYFUNCTION("GOOGLEFINANCE(""NSE:""&amp;A79,""closeyest"")"),2886.8)</f>
        <v/>
      </c>
      <c r="G79" s="14">
        <f>(B79-C79)/B79</f>
        <v/>
      </c>
      <c r="H79" s="13">
        <f>IFERROR(__xludf.DUMMYFUNCTION("GOOGLEFINANCE(""NSE:""&amp;A79,""VOLUME"")"),834357)</f>
        <v/>
      </c>
      <c r="I79" s="13">
        <f>IFERROR(__xludf.DUMMYFUNCTION("AVERAGE(index(GOOGLEFINANCE(""NSE:""&amp;$A79, ""volume"", today()-21, today()-1), , 2))"),"#N/A")</f>
        <v/>
      </c>
      <c r="J79" s="14">
        <f>(H79-I79)/I79</f>
        <v/>
      </c>
      <c r="K79" s="13">
        <f>IFERROR(__xludf.DUMMYFUNCTION("AVERAGE(index(GOOGLEFINANCE(""NSE:""&amp;$A79, ""close"", today()-6, today()-1), , 2))"),"#N/A")</f>
        <v/>
      </c>
      <c r="L79" s="13">
        <f>IFERROR(__xludf.DUMMYFUNCTION("AVERAGE(index(GOOGLEFINANCE(""NSE:""&amp;$A79, ""close"", today()-14, today()-1), , 2))"),"#N/A")</f>
        <v/>
      </c>
      <c r="M79" s="13">
        <f>IFERROR(__xludf.DUMMYFUNCTION("AVERAGE(index(GOOGLEFINANCE(""NSE:""&amp;$A79, ""close"", today()-22, today()-1), , 2))"),"#N/A")</f>
        <v/>
      </c>
      <c r="N79" s="13">
        <f>AG79</f>
        <v/>
      </c>
      <c r="O79" s="13">
        <f>AI79</f>
        <v/>
      </c>
      <c r="P79" s="13">
        <f>W79</f>
        <v/>
      </c>
      <c r="Q79" s="13">
        <f>Y79</f>
        <v/>
      </c>
      <c r="R79" s="15" t="n"/>
      <c r="S79" s="15">
        <f>LEFT(W79,2)&amp;LEFT(Y79,2)</f>
        <v/>
      </c>
      <c r="T79" s="15" t="n"/>
      <c r="U79" s="15">
        <f>IF(K79&lt;L79,1,0)</f>
        <v/>
      </c>
      <c r="V79" s="15">
        <f>IF(H79&gt;I79,1,0)</f>
        <v/>
      </c>
      <c r="W79" s="15">
        <f>IF(SUM(U79:V79)=2,"Anticipatory_Sell","No_Action")</f>
        <v/>
      </c>
      <c r="X79" s="15" t="n"/>
      <c r="Y79" s="15">
        <f>IF(SUM(Z79:AA79)=2,"Confirm_Sell","No_Action")</f>
        <v/>
      </c>
      <c r="Z79" s="15">
        <f>IF(H79&gt;I79,1,0)</f>
        <v/>
      </c>
      <c r="AA79" s="15">
        <f>IF(K79&lt;M79,1,0)</f>
        <v/>
      </c>
      <c r="AB79" s="15" t="n"/>
      <c r="AC79" s="15">
        <f>LEFT(AG79,2)&amp;LEFT(AI79,2)</f>
        <v/>
      </c>
      <c r="AD79" s="15" t="n"/>
      <c r="AE79" s="15">
        <f>IF(K79&gt;L79,1,0)</f>
        <v/>
      </c>
      <c r="AF79" s="16">
        <f>IF(H79&gt;I79,1,0)</f>
        <v/>
      </c>
      <c r="AG79" s="16">
        <f>IF(SUM(AE79:AF79)=2,"Anticipatory_Buy","No_Action")</f>
        <v/>
      </c>
      <c r="AH79" s="15" t="n"/>
      <c r="AI79" s="15">
        <f>IF(SUM(AJ79:AK79)=2,"Confirm_Buy","No_Action")</f>
        <v/>
      </c>
      <c r="AJ79" s="15">
        <f>IF(H79&gt;I79,1,0)</f>
        <v/>
      </c>
      <c r="AK79" s="15">
        <f>IF(K79&gt;M79,1,0)</f>
        <v/>
      </c>
    </row>
    <row r="80" ht="14.5" customHeight="1">
      <c r="A80" s="12" t="inlineStr">
        <is>
          <t>CONTROLPR</t>
        </is>
      </c>
      <c r="B80" s="13">
        <f>IFERROR(__xludf.DUMMYFUNCTION("GOOGLEFINANCE(""NSE:""&amp;A80,""PRICE"")"),740)</f>
        <v/>
      </c>
      <c r="C80" s="13">
        <f>IFERROR(__xludf.DUMMYFUNCTION("GOOGLEFINANCE(""NSE:""&amp;A80,""PRICEOPEN"")"),730.2)</f>
        <v/>
      </c>
      <c r="D80" s="13">
        <f>IFERROR(__xludf.DUMMYFUNCTION("GOOGLEFINANCE(""NSE:""&amp;A80,""HIGH"")"),746)</f>
        <v/>
      </c>
      <c r="E80" s="13">
        <f>IFERROR(__xludf.DUMMYFUNCTION("GOOGLEFINANCE(""NSE:""&amp;A80,""LOW"")"),730.2)</f>
        <v/>
      </c>
      <c r="F80" s="13">
        <f>IFERROR(__xludf.DUMMYFUNCTION("GOOGLEFINANCE(""NSE:""&amp;A80,""closeyest"")"),738.9)</f>
        <v/>
      </c>
      <c r="G80" s="14">
        <f>(B80-C80)/B80</f>
        <v/>
      </c>
      <c r="H80" s="13">
        <f>IFERROR(__xludf.DUMMYFUNCTION("GOOGLEFINANCE(""NSE:""&amp;A80,""VOLUME"")"),13044)</f>
        <v/>
      </c>
      <c r="I80" s="13">
        <f>IFERROR(__xludf.DUMMYFUNCTION("AVERAGE(index(GOOGLEFINANCE(""NSE:""&amp;$A80, ""volume"", today()-21, today()-1), , 2))"),"#N/A")</f>
        <v/>
      </c>
      <c r="J80" s="14">
        <f>(H80-I80)/I80</f>
        <v/>
      </c>
      <c r="K80" s="13">
        <f>IFERROR(__xludf.DUMMYFUNCTION("AVERAGE(index(GOOGLEFINANCE(""NSE:""&amp;$A80, ""close"", today()-6, today()-1), , 2))"),"#N/A")</f>
        <v/>
      </c>
      <c r="L80" s="13">
        <f>IFERROR(__xludf.DUMMYFUNCTION("AVERAGE(index(GOOGLEFINANCE(""NSE:""&amp;$A80, ""close"", today()-14, today()-1), , 2))"),"#N/A")</f>
        <v/>
      </c>
      <c r="M80" s="13">
        <f>IFERROR(__xludf.DUMMYFUNCTION("AVERAGE(index(GOOGLEFINANCE(""NSE:""&amp;$A80, ""close"", today()-22, today()-1), , 2))"),"#N/A")</f>
        <v/>
      </c>
      <c r="N80" s="13">
        <f>AG80</f>
        <v/>
      </c>
      <c r="O80" s="13">
        <f>AI80</f>
        <v/>
      </c>
      <c r="P80" s="13">
        <f>W80</f>
        <v/>
      </c>
      <c r="Q80" s="13">
        <f>Y80</f>
        <v/>
      </c>
      <c r="R80" s="15" t="n"/>
      <c r="S80" s="15">
        <f>LEFT(W80,2)&amp;LEFT(Y80,2)</f>
        <v/>
      </c>
      <c r="T80" s="15" t="n"/>
      <c r="U80" s="15">
        <f>IF(K80&lt;L80,1,0)</f>
        <v/>
      </c>
      <c r="V80" s="15">
        <f>IF(H80&gt;I80,1,0)</f>
        <v/>
      </c>
      <c r="W80" s="15">
        <f>IF(SUM(U80:V80)=2,"Anticipatory_Sell","No_Action")</f>
        <v/>
      </c>
      <c r="X80" s="15" t="n"/>
      <c r="Y80" s="15">
        <f>IF(SUM(Z80:AA80)=2,"Confirm_Sell","No_Action")</f>
        <v/>
      </c>
      <c r="Z80" s="15">
        <f>IF(H80&gt;I80,1,0)</f>
        <v/>
      </c>
      <c r="AA80" s="15">
        <f>IF(K80&lt;M80,1,0)</f>
        <v/>
      </c>
      <c r="AB80" s="15" t="n"/>
      <c r="AC80" s="15">
        <f>LEFT(AG80,2)&amp;LEFT(AI80,2)</f>
        <v/>
      </c>
      <c r="AD80" s="15" t="n"/>
      <c r="AE80" s="15">
        <f>IF(K80&gt;L80,1,0)</f>
        <v/>
      </c>
      <c r="AF80" s="16">
        <f>IF(H80&gt;I80,1,0)</f>
        <v/>
      </c>
      <c r="AG80" s="16">
        <f>IF(SUM(AE80:AF80)=2,"Anticipatory_Buy","No_Action")</f>
        <v/>
      </c>
      <c r="AH80" s="15" t="n"/>
      <c r="AI80" s="15">
        <f>IF(SUM(AJ80:AK80)=2,"Confirm_Buy","No_Action")</f>
        <v/>
      </c>
      <c r="AJ80" s="15">
        <f>IF(H80&gt;I80,1,0)</f>
        <v/>
      </c>
      <c r="AK80" s="15">
        <f>IF(K80&gt;M80,1,0)</f>
        <v/>
      </c>
    </row>
    <row r="81" ht="14.5" customHeight="1">
      <c r="A81" s="12" t="inlineStr">
        <is>
          <t>COROMANDEL</t>
        </is>
      </c>
      <c r="B81" s="13">
        <f>IFERROR(__xludf.DUMMYFUNCTION("GOOGLEFINANCE(""NSE:""&amp;A81,""PRICE"")"),1762.05)</f>
        <v/>
      </c>
      <c r="C81" s="13">
        <f>IFERROR(__xludf.DUMMYFUNCTION("GOOGLEFINANCE(""NSE:""&amp;A81,""PRICEOPEN"")"),1762.4)</f>
        <v/>
      </c>
      <c r="D81" s="13">
        <f>IFERROR(__xludf.DUMMYFUNCTION("GOOGLEFINANCE(""NSE:""&amp;A81,""HIGH"")"),1772.95)</f>
        <v/>
      </c>
      <c r="E81" s="13">
        <f>IFERROR(__xludf.DUMMYFUNCTION("GOOGLEFINANCE(""NSE:""&amp;A81,""LOW"")"),1730.6)</f>
        <v/>
      </c>
      <c r="F81" s="13">
        <f>IFERROR(__xludf.DUMMYFUNCTION("GOOGLEFINANCE(""NSE:""&amp;A81,""closeyest"")"),1762.4)</f>
        <v/>
      </c>
      <c r="G81" s="14">
        <f>(B81-C81)/B81</f>
        <v/>
      </c>
      <c r="H81" s="13">
        <f>IFERROR(__xludf.DUMMYFUNCTION("GOOGLEFINANCE(""NSE:""&amp;A81,""VOLUME"")"),343856)</f>
        <v/>
      </c>
      <c r="I81" s="13">
        <f>IFERROR(__xludf.DUMMYFUNCTION("AVERAGE(index(GOOGLEFINANCE(""NSE:""&amp;$A81, ""volume"", today()-21, today()-1), , 2))"),"#N/A")</f>
        <v/>
      </c>
      <c r="J81" s="14">
        <f>(H81-I81)/I81</f>
        <v/>
      </c>
      <c r="K81" s="13">
        <f>IFERROR(__xludf.DUMMYFUNCTION("AVERAGE(index(GOOGLEFINANCE(""NSE:""&amp;$A81, ""close"", today()-6, today()-1), , 2))"),"#N/A")</f>
        <v/>
      </c>
      <c r="L81" s="13">
        <f>IFERROR(__xludf.DUMMYFUNCTION("AVERAGE(index(GOOGLEFINANCE(""NSE:""&amp;$A81, ""close"", today()-14, today()-1), , 2))"),"#N/A")</f>
        <v/>
      </c>
      <c r="M81" s="13">
        <f>IFERROR(__xludf.DUMMYFUNCTION("AVERAGE(index(GOOGLEFINANCE(""NSE:""&amp;$A81, ""close"", today()-22, today()-1), , 2))"),"#N/A")</f>
        <v/>
      </c>
      <c r="N81" s="13">
        <f>AG81</f>
        <v/>
      </c>
      <c r="O81" s="13">
        <f>AI81</f>
        <v/>
      </c>
      <c r="P81" s="13">
        <f>W81</f>
        <v/>
      </c>
      <c r="Q81" s="13">
        <f>Y81</f>
        <v/>
      </c>
      <c r="R81" s="15" t="n"/>
      <c r="S81" s="15">
        <f>LEFT(W81,2)&amp;LEFT(Y81,2)</f>
        <v/>
      </c>
      <c r="T81" s="15" t="n"/>
      <c r="U81" s="15">
        <f>IF(K81&lt;L81,1,0)</f>
        <v/>
      </c>
      <c r="V81" s="15">
        <f>IF(H81&gt;I81,1,0)</f>
        <v/>
      </c>
      <c r="W81" s="15">
        <f>IF(SUM(U81:V81)=2,"Anticipatory_Sell","No_Action")</f>
        <v/>
      </c>
      <c r="X81" s="15" t="n"/>
      <c r="Y81" s="15">
        <f>IF(SUM(Z81:AA81)=2,"Confirm_Sell","No_Action")</f>
        <v/>
      </c>
      <c r="Z81" s="15">
        <f>IF(H81&gt;I81,1,0)</f>
        <v/>
      </c>
      <c r="AA81" s="15">
        <f>IF(K81&lt;M81,1,0)</f>
        <v/>
      </c>
      <c r="AB81" s="15" t="n"/>
      <c r="AC81" s="15">
        <f>LEFT(AG81,2)&amp;LEFT(AI81,2)</f>
        <v/>
      </c>
      <c r="AD81" s="15" t="n"/>
      <c r="AE81" s="15">
        <f>IF(K81&gt;L81,1,0)</f>
        <v/>
      </c>
      <c r="AF81" s="16">
        <f>IF(H81&gt;I81,1,0)</f>
        <v/>
      </c>
      <c r="AG81" s="16">
        <f>IF(SUM(AE81:AF81)=2,"Anticipatory_Buy","No_Action")</f>
        <v/>
      </c>
      <c r="AH81" s="15" t="n"/>
      <c r="AI81" s="15">
        <f>IF(SUM(AJ81:AK81)=2,"Confirm_Buy","No_Action")</f>
        <v/>
      </c>
      <c r="AJ81" s="15">
        <f>IF(H81&gt;I81,1,0)</f>
        <v/>
      </c>
      <c r="AK81" s="15">
        <f>IF(K81&gt;M81,1,0)</f>
        <v/>
      </c>
    </row>
    <row r="82" ht="14.5" customHeight="1">
      <c r="A82" s="12" t="inlineStr">
        <is>
          <t>CREDITACC</t>
        </is>
      </c>
      <c r="B82" s="13">
        <f>IFERROR(__xludf.DUMMYFUNCTION("GOOGLEFINANCE(""NSE:""&amp;A82,""PRICE"")"),938)</f>
        <v/>
      </c>
      <c r="C82" s="13">
        <f>IFERROR(__xludf.DUMMYFUNCTION("GOOGLEFINANCE(""NSE:""&amp;A82,""PRICEOPEN"")"),933)</f>
        <v/>
      </c>
      <c r="D82" s="13">
        <f>IFERROR(__xludf.DUMMYFUNCTION("GOOGLEFINANCE(""NSE:""&amp;A82,""HIGH"")"),942)</f>
        <v/>
      </c>
      <c r="E82" s="13">
        <f>IFERROR(__xludf.DUMMYFUNCTION("GOOGLEFINANCE(""NSE:""&amp;A82,""LOW"")"),926.55)</f>
        <v/>
      </c>
      <c r="F82" s="13">
        <f>IFERROR(__xludf.DUMMYFUNCTION("GOOGLEFINANCE(""NSE:""&amp;A82,""closeyest"")"),933.3)</f>
        <v/>
      </c>
      <c r="G82" s="14">
        <f>(B82-C82)/B82</f>
        <v/>
      </c>
      <c r="H82" s="13">
        <f>IFERROR(__xludf.DUMMYFUNCTION("GOOGLEFINANCE(""NSE:""&amp;A82,""VOLUME"")"),152830)</f>
        <v/>
      </c>
      <c r="I82" s="13">
        <f>IFERROR(__xludf.DUMMYFUNCTION("AVERAGE(index(GOOGLEFINANCE(""NSE:""&amp;$A82, ""volume"", today()-21, today()-1), , 2))"),"#N/A")</f>
        <v/>
      </c>
      <c r="J82" s="14">
        <f>(H82-I82)/I82</f>
        <v/>
      </c>
      <c r="K82" s="13">
        <f>IFERROR(__xludf.DUMMYFUNCTION("AVERAGE(index(GOOGLEFINANCE(""NSE:""&amp;$A82, ""close"", today()-6, today()-1), , 2))"),"#N/A")</f>
        <v/>
      </c>
      <c r="L82" s="13">
        <f>IFERROR(__xludf.DUMMYFUNCTION("AVERAGE(index(GOOGLEFINANCE(""NSE:""&amp;$A82, ""close"", today()-14, today()-1), , 2))"),"#N/A")</f>
        <v/>
      </c>
      <c r="M82" s="13">
        <f>IFERROR(__xludf.DUMMYFUNCTION("AVERAGE(index(GOOGLEFINANCE(""NSE:""&amp;$A82, ""close"", today()-22, today()-1), , 2))"),"#N/A")</f>
        <v/>
      </c>
      <c r="N82" s="13">
        <f>AG82</f>
        <v/>
      </c>
      <c r="O82" s="13">
        <f>AI82</f>
        <v/>
      </c>
      <c r="P82" s="13">
        <f>W82</f>
        <v/>
      </c>
      <c r="Q82" s="13">
        <f>Y82</f>
        <v/>
      </c>
      <c r="R82" s="15" t="n"/>
      <c r="S82" s="15">
        <f>LEFT(W82,2)&amp;LEFT(Y82,2)</f>
        <v/>
      </c>
      <c r="T82" s="15" t="n"/>
      <c r="U82" s="15">
        <f>IF(K82&lt;L82,1,0)</f>
        <v/>
      </c>
      <c r="V82" s="15">
        <f>IF(H82&gt;I82,1,0)</f>
        <v/>
      </c>
      <c r="W82" s="15">
        <f>IF(SUM(U82:V82)=2,"Anticipatory_Sell","No_Action")</f>
        <v/>
      </c>
      <c r="X82" s="15" t="n"/>
      <c r="Y82" s="15">
        <f>IF(SUM(Z82:AA82)=2,"Confirm_Sell","No_Action")</f>
        <v/>
      </c>
      <c r="Z82" s="15">
        <f>IF(H82&gt;I82,1,0)</f>
        <v/>
      </c>
      <c r="AA82" s="15">
        <f>IF(K82&lt;M82,1,0)</f>
        <v/>
      </c>
      <c r="AB82" s="15" t="n"/>
      <c r="AC82" s="15">
        <f>LEFT(AG82,2)&amp;LEFT(AI82,2)</f>
        <v/>
      </c>
      <c r="AD82" s="15" t="n"/>
      <c r="AE82" s="15">
        <f>IF(K82&gt;L82,1,0)</f>
        <v/>
      </c>
      <c r="AF82" s="16">
        <f>IF(H82&gt;I82,1,0)</f>
        <v/>
      </c>
      <c r="AG82" s="16">
        <f>IF(SUM(AE82:AF82)=2,"Anticipatory_Buy","No_Action")</f>
        <v/>
      </c>
      <c r="AH82" s="15" t="n"/>
      <c r="AI82" s="15">
        <f>IF(SUM(AJ82:AK82)=2,"Confirm_Buy","No_Action")</f>
        <v/>
      </c>
      <c r="AJ82" s="15">
        <f>IF(H82&gt;I82,1,0)</f>
        <v/>
      </c>
      <c r="AK82" s="15">
        <f>IF(K82&gt;M82,1,0)</f>
        <v/>
      </c>
    </row>
    <row r="83" ht="14.5" customHeight="1">
      <c r="A83" s="12" t="inlineStr">
        <is>
          <t>CROMPTON</t>
        </is>
      </c>
      <c r="B83" s="13">
        <f>IFERROR(__xludf.DUMMYFUNCTION("GOOGLEFINANCE(""NSE:""&amp;A83,""PRICE"")"),414.25)</f>
        <v/>
      </c>
      <c r="C83" s="13">
        <f>IFERROR(__xludf.DUMMYFUNCTION("GOOGLEFINANCE(""NSE:""&amp;A83,""PRICEOPEN"")"),406.5)</f>
        <v/>
      </c>
      <c r="D83" s="13">
        <f>IFERROR(__xludf.DUMMYFUNCTION("GOOGLEFINANCE(""NSE:""&amp;A83,""HIGH"")"),418)</f>
        <v/>
      </c>
      <c r="E83" s="13">
        <f>IFERROR(__xludf.DUMMYFUNCTION("GOOGLEFINANCE(""NSE:""&amp;A83,""LOW"")"),405.7)</f>
        <v/>
      </c>
      <c r="F83" s="13">
        <f>IFERROR(__xludf.DUMMYFUNCTION("GOOGLEFINANCE(""NSE:""&amp;A83,""closeyest"")"),406.2)</f>
        <v/>
      </c>
      <c r="G83" s="14">
        <f>(B83-C83)/B83</f>
        <v/>
      </c>
      <c r="H83" s="13">
        <f>IFERROR(__xludf.DUMMYFUNCTION("GOOGLEFINANCE(""NSE:""&amp;A83,""VOLUME"")"),1575373)</f>
        <v/>
      </c>
      <c r="I83" s="13">
        <f>IFERROR(__xludf.DUMMYFUNCTION("AVERAGE(index(GOOGLEFINANCE(""NSE:""&amp;$A83, ""volume"", today()-21, today()-1), , 2))"),"#N/A")</f>
        <v/>
      </c>
      <c r="J83" s="14">
        <f>(H83-I83)/I83</f>
        <v/>
      </c>
      <c r="K83" s="13">
        <f>IFERROR(__xludf.DUMMYFUNCTION("AVERAGE(index(GOOGLEFINANCE(""NSE:""&amp;$A83, ""close"", today()-6, today()-1), , 2))"),"#N/A")</f>
        <v/>
      </c>
      <c r="L83" s="13">
        <f>IFERROR(__xludf.DUMMYFUNCTION("AVERAGE(index(GOOGLEFINANCE(""NSE:""&amp;$A83, ""close"", today()-14, today()-1), , 2))"),"#N/A")</f>
        <v/>
      </c>
      <c r="M83" s="13">
        <f>IFERROR(__xludf.DUMMYFUNCTION("AVERAGE(index(GOOGLEFINANCE(""NSE:""&amp;$A83, ""close"", today()-22, today()-1), , 2))"),"#N/A")</f>
        <v/>
      </c>
      <c r="N83" s="13">
        <f>AG83</f>
        <v/>
      </c>
      <c r="O83" s="13">
        <f>AI83</f>
        <v/>
      </c>
      <c r="P83" s="13">
        <f>W83</f>
        <v/>
      </c>
      <c r="Q83" s="13">
        <f>Y83</f>
        <v/>
      </c>
      <c r="R83" s="15" t="n"/>
      <c r="S83" s="15">
        <f>LEFT(W83,2)&amp;LEFT(Y83,2)</f>
        <v/>
      </c>
      <c r="T83" s="15" t="n"/>
      <c r="U83" s="15">
        <f>IF(K83&lt;L83,1,0)</f>
        <v/>
      </c>
      <c r="V83" s="15">
        <f>IF(H83&gt;I83,1,0)</f>
        <v/>
      </c>
      <c r="W83" s="15">
        <f>IF(SUM(U83:V83)=2,"Anticipatory_Sell","No_Action")</f>
        <v/>
      </c>
      <c r="X83" s="15" t="n"/>
      <c r="Y83" s="15">
        <f>IF(SUM(Z83:AA83)=2,"Confirm_Sell","No_Action")</f>
        <v/>
      </c>
      <c r="Z83" s="15">
        <f>IF(H83&gt;I83,1,0)</f>
        <v/>
      </c>
      <c r="AA83" s="15">
        <f>IF(K83&lt;M83,1,0)</f>
        <v/>
      </c>
      <c r="AB83" s="15" t="n"/>
      <c r="AC83" s="15">
        <f>LEFT(AG83,2)&amp;LEFT(AI83,2)</f>
        <v/>
      </c>
      <c r="AD83" s="15" t="n"/>
      <c r="AE83" s="15">
        <f>IF(K83&gt;L83,1,0)</f>
        <v/>
      </c>
      <c r="AF83" s="16">
        <f>IF(H83&gt;I83,1,0)</f>
        <v/>
      </c>
      <c r="AG83" s="16">
        <f>IF(SUM(AE83:AF83)=2,"Anticipatory_Buy","No_Action")</f>
        <v/>
      </c>
      <c r="AH83" s="15" t="n"/>
      <c r="AI83" s="15">
        <f>IF(SUM(AJ83:AK83)=2,"Confirm_Buy","No_Action")</f>
        <v/>
      </c>
      <c r="AJ83" s="15">
        <f>IF(H83&gt;I83,1,0)</f>
        <v/>
      </c>
      <c r="AK83" s="15">
        <f>IF(K83&gt;M83,1,0)</f>
        <v/>
      </c>
    </row>
    <row r="84" ht="14.5" customHeight="1">
      <c r="A84" s="12" t="inlineStr">
        <is>
          <t>CUMMINSIND</t>
        </is>
      </c>
      <c r="B84" s="13">
        <f>IFERROR(__xludf.DUMMYFUNCTION("GOOGLEFINANCE(""NSE:""&amp;A84,""PRICE"")"),3501)</f>
        <v/>
      </c>
      <c r="C84" s="13">
        <f>IFERROR(__xludf.DUMMYFUNCTION("GOOGLEFINANCE(""NSE:""&amp;A84,""PRICEOPEN"")"),3469.95)</f>
        <v/>
      </c>
      <c r="D84" s="13">
        <f>IFERROR(__xludf.DUMMYFUNCTION("GOOGLEFINANCE(""NSE:""&amp;A84,""HIGH"")"),3518)</f>
        <v/>
      </c>
      <c r="E84" s="13">
        <f>IFERROR(__xludf.DUMMYFUNCTION("GOOGLEFINANCE(""NSE:""&amp;A84,""LOW"")"),3460)</f>
        <v/>
      </c>
      <c r="F84" s="13">
        <f>IFERROR(__xludf.DUMMYFUNCTION("GOOGLEFINANCE(""NSE:""&amp;A84,""closeyest"")"),3465)</f>
        <v/>
      </c>
      <c r="G84" s="14">
        <f>(B84-C84)/B84</f>
        <v/>
      </c>
      <c r="H84" s="13">
        <f>IFERROR(__xludf.DUMMYFUNCTION("GOOGLEFINANCE(""NSE:""&amp;A84,""VOLUME"")"),185203)</f>
        <v/>
      </c>
      <c r="I84" s="13">
        <f>IFERROR(__xludf.DUMMYFUNCTION("AVERAGE(index(GOOGLEFINANCE(""NSE:""&amp;$A84, ""volume"", today()-21, today()-1), , 2))"),"#N/A")</f>
        <v/>
      </c>
      <c r="J84" s="14">
        <f>(H84-I84)/I84</f>
        <v/>
      </c>
      <c r="K84" s="13">
        <f>IFERROR(__xludf.DUMMYFUNCTION("AVERAGE(index(GOOGLEFINANCE(""NSE:""&amp;$A84, ""close"", today()-6, today()-1), , 2))"),"#N/A")</f>
        <v/>
      </c>
      <c r="L84" s="13">
        <f>IFERROR(__xludf.DUMMYFUNCTION("AVERAGE(index(GOOGLEFINANCE(""NSE:""&amp;$A84, ""close"", today()-14, today()-1), , 2))"),"#N/A")</f>
        <v/>
      </c>
      <c r="M84" s="13">
        <f>IFERROR(__xludf.DUMMYFUNCTION("AVERAGE(index(GOOGLEFINANCE(""NSE:""&amp;$A84, ""close"", today()-22, today()-1), , 2))"),"#N/A")</f>
        <v/>
      </c>
      <c r="N84" s="13">
        <f>AG84</f>
        <v/>
      </c>
      <c r="O84" s="13">
        <f>AI84</f>
        <v/>
      </c>
      <c r="P84" s="13">
        <f>W84</f>
        <v/>
      </c>
      <c r="Q84" s="13">
        <f>Y84</f>
        <v/>
      </c>
      <c r="R84" s="15" t="n"/>
      <c r="S84" s="15">
        <f>LEFT(W84,2)&amp;LEFT(Y84,2)</f>
        <v/>
      </c>
      <c r="T84" s="15" t="n"/>
      <c r="U84" s="15">
        <f>IF(K84&lt;L84,1,0)</f>
        <v/>
      </c>
      <c r="V84" s="15">
        <f>IF(H84&gt;I84,1,0)</f>
        <v/>
      </c>
      <c r="W84" s="15">
        <f>IF(SUM(U84:V84)=2,"Anticipatory_Sell","No_Action")</f>
        <v/>
      </c>
      <c r="X84" s="15" t="n"/>
      <c r="Y84" s="15">
        <f>IF(SUM(Z84:AA84)=2,"Confirm_Sell","No_Action")</f>
        <v/>
      </c>
      <c r="Z84" s="15">
        <f>IF(H84&gt;I84,1,0)</f>
        <v/>
      </c>
      <c r="AA84" s="15">
        <f>IF(K84&lt;M84,1,0)</f>
        <v/>
      </c>
      <c r="AB84" s="15" t="n"/>
      <c r="AC84" s="15">
        <f>LEFT(AG84,2)&amp;LEFT(AI84,2)</f>
        <v/>
      </c>
      <c r="AD84" s="15" t="n"/>
      <c r="AE84" s="15">
        <f>IF(K84&gt;L84,1,0)</f>
        <v/>
      </c>
      <c r="AF84" s="16">
        <f>IF(H84&gt;I84,1,0)</f>
        <v/>
      </c>
      <c r="AG84" s="16">
        <f>IF(SUM(AE84:AF84)=2,"Anticipatory_Buy","No_Action")</f>
        <v/>
      </c>
      <c r="AH84" s="15" t="n"/>
      <c r="AI84" s="15">
        <f>IF(SUM(AJ84:AK84)=2,"Confirm_Buy","No_Action")</f>
        <v/>
      </c>
      <c r="AJ84" s="15">
        <f>IF(H84&gt;I84,1,0)</f>
        <v/>
      </c>
      <c r="AK84" s="15">
        <f>IF(K84&gt;M84,1,0)</f>
        <v/>
      </c>
    </row>
    <row r="85" ht="14.5" customHeight="1">
      <c r="A85" s="12" t="inlineStr">
        <is>
          <t>DBCORP</t>
        </is>
      </c>
      <c r="B85" s="13">
        <f>IFERROR(__xludf.DUMMYFUNCTION("GOOGLEFINANCE(""NSE:""&amp;A85,""PRICE"")"),323.4)</f>
        <v/>
      </c>
      <c r="C85" s="13">
        <f>IFERROR(__xludf.DUMMYFUNCTION("GOOGLEFINANCE(""NSE:""&amp;A85,""PRICEOPEN"")"),331.5)</f>
        <v/>
      </c>
      <c r="D85" s="13">
        <f>IFERROR(__xludf.DUMMYFUNCTION("GOOGLEFINANCE(""NSE:""&amp;A85,""HIGH"")"),331.6)</f>
        <v/>
      </c>
      <c r="E85" s="13">
        <f>IFERROR(__xludf.DUMMYFUNCTION("GOOGLEFINANCE(""NSE:""&amp;A85,""LOW"")"),321.6)</f>
        <v/>
      </c>
      <c r="F85" s="13">
        <f>IFERROR(__xludf.DUMMYFUNCTION("GOOGLEFINANCE(""NSE:""&amp;A85,""closeyest"")"),331.6)</f>
        <v/>
      </c>
      <c r="G85" s="14">
        <f>(B85-C85)/B85</f>
        <v/>
      </c>
      <c r="H85" s="13">
        <f>IFERROR(__xludf.DUMMYFUNCTION("GOOGLEFINANCE(""NSE:""&amp;A85,""VOLUME"")"),55341)</f>
        <v/>
      </c>
      <c r="I85" s="13">
        <f>IFERROR(__xludf.DUMMYFUNCTION("AVERAGE(index(GOOGLEFINANCE(""NSE:""&amp;$A85, ""volume"", today()-21, today()-1), , 2))"),"#N/A")</f>
        <v/>
      </c>
      <c r="J85" s="14">
        <f>(H85-I85)/I85</f>
        <v/>
      </c>
      <c r="K85" s="13">
        <f>IFERROR(__xludf.DUMMYFUNCTION("AVERAGE(index(GOOGLEFINANCE(""NSE:""&amp;$A85, ""close"", today()-6, today()-1), , 2))"),"#N/A")</f>
        <v/>
      </c>
      <c r="L85" s="13">
        <f>IFERROR(__xludf.DUMMYFUNCTION("AVERAGE(index(GOOGLEFINANCE(""NSE:""&amp;$A85, ""close"", today()-14, today()-1), , 2))"),"#N/A")</f>
        <v/>
      </c>
      <c r="M85" s="13">
        <f>IFERROR(__xludf.DUMMYFUNCTION("AVERAGE(index(GOOGLEFINANCE(""NSE:""&amp;$A85, ""close"", today()-22, today()-1), , 2))"),"#N/A")</f>
        <v/>
      </c>
      <c r="N85" s="13">
        <f>AG85</f>
        <v/>
      </c>
      <c r="O85" s="13">
        <f>AI85</f>
        <v/>
      </c>
      <c r="P85" s="13">
        <f>W85</f>
        <v/>
      </c>
      <c r="Q85" s="13">
        <f>Y85</f>
        <v/>
      </c>
      <c r="R85" s="15" t="n"/>
      <c r="S85" s="15">
        <f>LEFT(W85,2)&amp;LEFT(Y85,2)</f>
        <v/>
      </c>
      <c r="T85" s="15" t="n"/>
      <c r="U85" s="15">
        <f>IF(K85&lt;L85,1,0)</f>
        <v/>
      </c>
      <c r="V85" s="15">
        <f>IF(H85&gt;I85,1,0)</f>
        <v/>
      </c>
      <c r="W85" s="15">
        <f>IF(SUM(U85:V85)=2,"Anticipatory_Sell","No_Action")</f>
        <v/>
      </c>
      <c r="X85" s="15" t="n"/>
      <c r="Y85" s="15">
        <f>IF(SUM(Z85:AA85)=2,"Confirm_Sell","No_Action")</f>
        <v/>
      </c>
      <c r="Z85" s="15">
        <f>IF(H85&gt;I85,1,0)</f>
        <v/>
      </c>
      <c r="AA85" s="15">
        <f>IF(K85&lt;M85,1,0)</f>
        <v/>
      </c>
      <c r="AB85" s="15" t="n"/>
      <c r="AC85" s="15">
        <f>LEFT(AG85,2)&amp;LEFT(AI85,2)</f>
        <v/>
      </c>
      <c r="AD85" s="15" t="n"/>
      <c r="AE85" s="15">
        <f>IF(K85&gt;L85,1,0)</f>
        <v/>
      </c>
      <c r="AF85" s="16">
        <f>IF(H85&gt;I85,1,0)</f>
        <v/>
      </c>
      <c r="AG85" s="16">
        <f>IF(SUM(AE85:AF85)=2,"Anticipatory_Buy","No_Action")</f>
        <v/>
      </c>
      <c r="AH85" s="15" t="n"/>
      <c r="AI85" s="15">
        <f>IF(SUM(AJ85:AK85)=2,"Confirm_Buy","No_Action")</f>
        <v/>
      </c>
      <c r="AJ85" s="15">
        <f>IF(H85&gt;I85,1,0)</f>
        <v/>
      </c>
      <c r="AK85" s="15">
        <f>IF(K85&gt;M85,1,0)</f>
        <v/>
      </c>
    </row>
    <row r="86" ht="14.5" customHeight="1">
      <c r="A86" s="12" t="inlineStr">
        <is>
          <t>DABUR</t>
        </is>
      </c>
      <c r="B86" s="13">
        <f>IFERROR(__xludf.DUMMYFUNCTION("GOOGLEFINANCE(""NSE:""&amp;A86,""PRICE"")"),507)</f>
        <v/>
      </c>
      <c r="C86" s="13">
        <f>IFERROR(__xludf.DUMMYFUNCTION("GOOGLEFINANCE(""NSE:""&amp;A86,""PRICEOPEN"")"),519)</f>
        <v/>
      </c>
      <c r="D86" s="13">
        <f>IFERROR(__xludf.DUMMYFUNCTION("GOOGLEFINANCE(""NSE:""&amp;A86,""HIGH"")"),520.75)</f>
        <v/>
      </c>
      <c r="E86" s="13">
        <f>IFERROR(__xludf.DUMMYFUNCTION("GOOGLEFINANCE(""NSE:""&amp;A86,""LOW"")"),503.2)</f>
        <v/>
      </c>
      <c r="F86" s="13">
        <f>IFERROR(__xludf.DUMMYFUNCTION("GOOGLEFINANCE(""NSE:""&amp;A86,""closeyest"")"),523.8)</f>
        <v/>
      </c>
      <c r="G86" s="14">
        <f>(B86-C86)/B86</f>
        <v/>
      </c>
      <c r="H86" s="13">
        <f>IFERROR(__xludf.DUMMYFUNCTION("GOOGLEFINANCE(""NSE:""&amp;A86,""VOLUME"")"),6086175)</f>
        <v/>
      </c>
      <c r="I86" s="13">
        <f>IFERROR(__xludf.DUMMYFUNCTION("AVERAGE(index(GOOGLEFINANCE(""NSE:""&amp;$A86, ""volume"", today()-21, today()-1), , 2))"),"#N/A")</f>
        <v/>
      </c>
      <c r="J86" s="14">
        <f>(H86-I86)/I86</f>
        <v/>
      </c>
      <c r="K86" s="13">
        <f>IFERROR(__xludf.DUMMYFUNCTION("AVERAGE(index(GOOGLEFINANCE(""NSE:""&amp;$A86, ""close"", today()-6, today()-1), , 2))"),"#N/A")</f>
        <v/>
      </c>
      <c r="L86" s="13">
        <f>IFERROR(__xludf.DUMMYFUNCTION("AVERAGE(index(GOOGLEFINANCE(""NSE:""&amp;$A86, ""close"", today()-14, today()-1), , 2))"),"#N/A")</f>
        <v/>
      </c>
      <c r="M86" s="13">
        <f>IFERROR(__xludf.DUMMYFUNCTION("AVERAGE(index(GOOGLEFINANCE(""NSE:""&amp;$A86, ""close"", today()-22, today()-1), , 2))"),"#N/A")</f>
        <v/>
      </c>
      <c r="N86" s="13">
        <f>AG86</f>
        <v/>
      </c>
      <c r="O86" s="13">
        <f>AI86</f>
        <v/>
      </c>
      <c r="P86" s="13">
        <f>W86</f>
        <v/>
      </c>
      <c r="Q86" s="13">
        <f>Y86</f>
        <v/>
      </c>
      <c r="R86" s="15" t="n"/>
      <c r="S86" s="15">
        <f>LEFT(W86,2)&amp;LEFT(Y86,2)</f>
        <v/>
      </c>
      <c r="T86" s="15" t="n"/>
      <c r="U86" s="15">
        <f>IF(K86&lt;L86,1,0)</f>
        <v/>
      </c>
      <c r="V86" s="15">
        <f>IF(H86&gt;I86,1,0)</f>
        <v/>
      </c>
      <c r="W86" s="15">
        <f>IF(SUM(U86:V86)=2,"Anticipatory_Sell","No_Action")</f>
        <v/>
      </c>
      <c r="X86" s="15" t="n"/>
      <c r="Y86" s="15">
        <f>IF(SUM(Z86:AA86)=2,"Confirm_Sell","No_Action")</f>
        <v/>
      </c>
      <c r="Z86" s="15">
        <f>IF(H86&gt;I86,1,0)</f>
        <v/>
      </c>
      <c r="AA86" s="15">
        <f>IF(K86&lt;M86,1,0)</f>
        <v/>
      </c>
      <c r="AB86" s="15" t="n"/>
      <c r="AC86" s="15">
        <f>LEFT(AG86,2)&amp;LEFT(AI86,2)</f>
        <v/>
      </c>
      <c r="AD86" s="15" t="n"/>
      <c r="AE86" s="15">
        <f>IF(K86&gt;L86,1,0)</f>
        <v/>
      </c>
      <c r="AF86" s="16">
        <f>IF(H86&gt;I86,1,0)</f>
        <v/>
      </c>
      <c r="AG86" s="16">
        <f>IF(SUM(AE86:AF86)=2,"Anticipatory_Buy","No_Action")</f>
        <v/>
      </c>
      <c r="AH86" s="15" t="n"/>
      <c r="AI86" s="15">
        <f>IF(SUM(AJ86:AK86)=2,"Confirm_Buy","No_Action")</f>
        <v/>
      </c>
      <c r="AJ86" s="15">
        <f>IF(H86&gt;I86,1,0)</f>
        <v/>
      </c>
      <c r="AK86" s="15">
        <f>IF(K86&gt;M86,1,0)</f>
        <v/>
      </c>
    </row>
    <row r="87" ht="14.5" customHeight="1">
      <c r="A87" s="12" t="inlineStr">
        <is>
          <t>DEEPAKNTR</t>
        </is>
      </c>
      <c r="B87" s="13">
        <f>IFERROR(__xludf.DUMMYFUNCTION("GOOGLEFINANCE(""NSE:""&amp;A87,""PRICE"")"),2682.5)</f>
        <v/>
      </c>
      <c r="C87" s="13">
        <f>IFERROR(__xludf.DUMMYFUNCTION("GOOGLEFINANCE(""NSE:""&amp;A87,""PRICEOPEN"")"),2714)</f>
        <v/>
      </c>
      <c r="D87" s="13">
        <f>IFERROR(__xludf.DUMMYFUNCTION("GOOGLEFINANCE(""NSE:""&amp;A87,""HIGH"")"),2715.45)</f>
        <v/>
      </c>
      <c r="E87" s="13">
        <f>IFERROR(__xludf.DUMMYFUNCTION("GOOGLEFINANCE(""NSE:""&amp;A87,""LOW"")"),2661.35)</f>
        <v/>
      </c>
      <c r="F87" s="13">
        <f>IFERROR(__xludf.DUMMYFUNCTION("GOOGLEFINANCE(""NSE:""&amp;A87,""closeyest"")"),2701.8)</f>
        <v/>
      </c>
      <c r="G87" s="14">
        <f>(B87-C87)/B87</f>
        <v/>
      </c>
      <c r="H87" s="13">
        <f>IFERROR(__xludf.DUMMYFUNCTION("GOOGLEFINANCE(""NSE:""&amp;A87,""VOLUME"")"),111268)</f>
        <v/>
      </c>
      <c r="I87" s="13">
        <f>IFERROR(__xludf.DUMMYFUNCTION("AVERAGE(index(GOOGLEFINANCE(""NSE:""&amp;$A87, ""volume"", today()-21, today()-1), , 2))"),"#N/A")</f>
        <v/>
      </c>
      <c r="J87" s="14">
        <f>(H87-I87)/I87</f>
        <v/>
      </c>
      <c r="K87" s="13">
        <f>IFERROR(__xludf.DUMMYFUNCTION("AVERAGE(index(GOOGLEFINANCE(""NSE:""&amp;$A87, ""close"", today()-6, today()-1), , 2))"),"#N/A")</f>
        <v/>
      </c>
      <c r="L87" s="13">
        <f>IFERROR(__xludf.DUMMYFUNCTION("AVERAGE(index(GOOGLEFINANCE(""NSE:""&amp;$A87, ""close"", today()-14, today()-1), , 2))"),"#N/A")</f>
        <v/>
      </c>
      <c r="M87" s="13">
        <f>IFERROR(__xludf.DUMMYFUNCTION("AVERAGE(index(GOOGLEFINANCE(""NSE:""&amp;$A87, ""close"", today()-22, today()-1), , 2))"),"#N/A")</f>
        <v/>
      </c>
      <c r="N87" s="13">
        <f>AG87</f>
        <v/>
      </c>
      <c r="O87" s="13">
        <f>AI87</f>
        <v/>
      </c>
      <c r="P87" s="13">
        <f>W87</f>
        <v/>
      </c>
      <c r="Q87" s="13">
        <f>Y87</f>
        <v/>
      </c>
      <c r="R87" s="15" t="n"/>
      <c r="S87" s="15">
        <f>LEFT(W87,2)&amp;LEFT(Y87,2)</f>
        <v/>
      </c>
      <c r="T87" s="15" t="n"/>
      <c r="U87" s="15">
        <f>IF(K87&lt;L87,1,0)</f>
        <v/>
      </c>
      <c r="V87" s="15">
        <f>IF(H87&gt;I87,1,0)</f>
        <v/>
      </c>
      <c r="W87" s="15">
        <f>IF(SUM(U87:V87)=2,"Anticipatory_Sell","No_Action")</f>
        <v/>
      </c>
      <c r="X87" s="15" t="n"/>
      <c r="Y87" s="15">
        <f>IF(SUM(Z87:AA87)=2,"Confirm_Sell","No_Action")</f>
        <v/>
      </c>
      <c r="Z87" s="15">
        <f>IF(H87&gt;I87,1,0)</f>
        <v/>
      </c>
      <c r="AA87" s="15">
        <f>IF(K87&lt;M87,1,0)</f>
        <v/>
      </c>
      <c r="AB87" s="15" t="n"/>
      <c r="AC87" s="15">
        <f>LEFT(AG87,2)&amp;LEFT(AI87,2)</f>
        <v/>
      </c>
      <c r="AD87" s="15" t="n"/>
      <c r="AE87" s="15">
        <f>IF(K87&gt;L87,1,0)</f>
        <v/>
      </c>
      <c r="AF87" s="16">
        <f>IF(H87&gt;I87,1,0)</f>
        <v/>
      </c>
      <c r="AG87" s="16">
        <f>IF(SUM(AE87:AF87)=2,"Anticipatory_Buy","No_Action")</f>
        <v/>
      </c>
      <c r="AH87" s="15" t="n"/>
      <c r="AI87" s="15">
        <f>IF(SUM(AJ87:AK87)=2,"Confirm_Buy","No_Action")</f>
        <v/>
      </c>
      <c r="AJ87" s="15">
        <f>IF(H87&gt;I87,1,0)</f>
        <v/>
      </c>
      <c r="AK87" s="15">
        <f>IF(K87&gt;M87,1,0)</f>
        <v/>
      </c>
    </row>
    <row r="88" ht="14.5" customHeight="1">
      <c r="A88" s="12" t="inlineStr">
        <is>
          <t>DELTACORP</t>
        </is>
      </c>
      <c r="B88" s="13">
        <f>IFERROR(__xludf.DUMMYFUNCTION("GOOGLEFINANCE(""NSE:""&amp;A88,""PRICE"")"),123.9)</f>
        <v/>
      </c>
      <c r="C88" s="13">
        <f>IFERROR(__xludf.DUMMYFUNCTION("GOOGLEFINANCE(""NSE:""&amp;A88,""PRICEOPEN"")"),125)</f>
        <v/>
      </c>
      <c r="D88" s="13">
        <f>IFERROR(__xludf.DUMMYFUNCTION("GOOGLEFINANCE(""NSE:""&amp;A88,""HIGH"")"),125.42)</f>
        <v/>
      </c>
      <c r="E88" s="13">
        <f>IFERROR(__xludf.DUMMYFUNCTION("GOOGLEFINANCE(""NSE:""&amp;A88,""LOW"")"),123.4)</f>
        <v/>
      </c>
      <c r="F88" s="13">
        <f>IFERROR(__xludf.DUMMYFUNCTION("GOOGLEFINANCE(""NSE:""&amp;A88,""closeyest"")"),122.65)</f>
        <v/>
      </c>
      <c r="G88" s="14">
        <f>(B88-C88)/B88</f>
        <v/>
      </c>
      <c r="H88" s="13">
        <f>IFERROR(__xludf.DUMMYFUNCTION("GOOGLEFINANCE(""NSE:""&amp;A88,""VOLUME"")"),2877926)</f>
        <v/>
      </c>
      <c r="I88" s="13">
        <f>IFERROR(__xludf.DUMMYFUNCTION("AVERAGE(index(GOOGLEFINANCE(""NSE:""&amp;$A88, ""volume"", today()-21, today()-1), , 2))"),"#N/A")</f>
        <v/>
      </c>
      <c r="J88" s="14">
        <f>(H88-I88)/I88</f>
        <v/>
      </c>
      <c r="K88" s="13">
        <f>IFERROR(__xludf.DUMMYFUNCTION("AVERAGE(index(GOOGLEFINANCE(""NSE:""&amp;$A88, ""close"", today()-6, today()-1), , 2))"),"#N/A")</f>
        <v/>
      </c>
      <c r="L88" s="13">
        <f>IFERROR(__xludf.DUMMYFUNCTION("AVERAGE(index(GOOGLEFINANCE(""NSE:""&amp;$A88, ""close"", today()-14, today()-1), , 2))"),"#N/A")</f>
        <v/>
      </c>
      <c r="M88" s="13">
        <f>IFERROR(__xludf.DUMMYFUNCTION("AVERAGE(index(GOOGLEFINANCE(""NSE:""&amp;$A88, ""close"", today()-22, today()-1), , 2))"),"#N/A")</f>
        <v/>
      </c>
      <c r="N88" s="13">
        <f>AG88</f>
        <v/>
      </c>
      <c r="O88" s="13">
        <f>AI88</f>
        <v/>
      </c>
      <c r="P88" s="13">
        <f>W88</f>
        <v/>
      </c>
      <c r="Q88" s="13">
        <f>Y88</f>
        <v/>
      </c>
      <c r="R88" s="15" t="n"/>
      <c r="S88" s="15">
        <f>LEFT(W88,2)&amp;LEFT(Y88,2)</f>
        <v/>
      </c>
      <c r="T88" s="15" t="n"/>
      <c r="U88" s="15">
        <f>IF(K88&lt;L88,1,0)</f>
        <v/>
      </c>
      <c r="V88" s="15">
        <f>IF(H88&gt;I88,1,0)</f>
        <v/>
      </c>
      <c r="W88" s="15">
        <f>IF(SUM(U88:V88)=2,"Anticipatory_Sell","No_Action")</f>
        <v/>
      </c>
      <c r="X88" s="15" t="n"/>
      <c r="Y88" s="15">
        <f>IF(SUM(Z88:AA88)=2,"Confirm_Sell","No_Action")</f>
        <v/>
      </c>
      <c r="Z88" s="15">
        <f>IF(H88&gt;I88,1,0)</f>
        <v/>
      </c>
      <c r="AA88" s="15">
        <f>IF(K88&lt;M88,1,0)</f>
        <v/>
      </c>
      <c r="AB88" s="15" t="n"/>
      <c r="AC88" s="15">
        <f>LEFT(AG88,2)&amp;LEFT(AI88,2)</f>
        <v/>
      </c>
      <c r="AD88" s="15" t="n"/>
      <c r="AE88" s="15">
        <f>IF(K88&gt;L88,1,0)</f>
        <v/>
      </c>
      <c r="AF88" s="16">
        <f>IF(H88&gt;I88,1,0)</f>
        <v/>
      </c>
      <c r="AG88" s="16">
        <f>IF(SUM(AE88:AF88)=2,"Anticipatory_Buy","No_Action")</f>
        <v/>
      </c>
      <c r="AH88" s="15" t="n"/>
      <c r="AI88" s="15">
        <f>IF(SUM(AJ88:AK88)=2,"Confirm_Buy","No_Action")</f>
        <v/>
      </c>
      <c r="AJ88" s="15">
        <f>IF(H88&gt;I88,1,0)</f>
        <v/>
      </c>
      <c r="AK88" s="15">
        <f>IF(K88&gt;M88,1,0)</f>
        <v/>
      </c>
    </row>
    <row r="89" ht="14.5" customHeight="1">
      <c r="A89" s="12" t="inlineStr">
        <is>
          <t>DHANUKA</t>
        </is>
      </c>
      <c r="B89" s="13">
        <f>IFERROR(__xludf.DUMMYFUNCTION("GOOGLEFINANCE(""NSE:""&amp;A89,""PRICE"")"),1575)</f>
        <v/>
      </c>
      <c r="C89" s="13">
        <f>IFERROR(__xludf.DUMMYFUNCTION("GOOGLEFINANCE(""NSE:""&amp;A89,""PRICEOPEN"")"),1600)</f>
        <v/>
      </c>
      <c r="D89" s="13">
        <f>IFERROR(__xludf.DUMMYFUNCTION("GOOGLEFINANCE(""NSE:""&amp;A89,""HIGH"")"),1620)</f>
        <v/>
      </c>
      <c r="E89" s="13">
        <f>IFERROR(__xludf.DUMMYFUNCTION("GOOGLEFINANCE(""NSE:""&amp;A89,""LOW"")"),1570.05)</f>
        <v/>
      </c>
      <c r="F89" s="13">
        <f>IFERROR(__xludf.DUMMYFUNCTION("GOOGLEFINANCE(""NSE:""&amp;A89,""closeyest"")"),1599.7)</f>
        <v/>
      </c>
      <c r="G89" s="14">
        <f>(B89-C89)/B89</f>
        <v/>
      </c>
      <c r="H89" s="13">
        <f>IFERROR(__xludf.DUMMYFUNCTION("GOOGLEFINANCE(""NSE:""&amp;A89,""VOLUME"")"),29396)</f>
        <v/>
      </c>
      <c r="I89" s="13">
        <f>IFERROR(__xludf.DUMMYFUNCTION("AVERAGE(index(GOOGLEFINANCE(""NSE:""&amp;$A89, ""volume"", today()-21, today()-1), , 2))"),"#N/A")</f>
        <v/>
      </c>
      <c r="J89" s="14">
        <f>(H89-I89)/I89</f>
        <v/>
      </c>
      <c r="K89" s="13">
        <f>IFERROR(__xludf.DUMMYFUNCTION("AVERAGE(index(GOOGLEFINANCE(""NSE:""&amp;$A89, ""close"", today()-6, today()-1), , 2))"),"#N/A")</f>
        <v/>
      </c>
      <c r="L89" s="13">
        <f>IFERROR(__xludf.DUMMYFUNCTION("AVERAGE(index(GOOGLEFINANCE(""NSE:""&amp;$A89, ""close"", today()-14, today()-1), , 2))"),"#N/A")</f>
        <v/>
      </c>
      <c r="M89" s="13">
        <f>IFERROR(__xludf.DUMMYFUNCTION("AVERAGE(index(GOOGLEFINANCE(""NSE:""&amp;$A89, ""close"", today()-22, today()-1), , 2))"),"#N/A")</f>
        <v/>
      </c>
      <c r="N89" s="13">
        <f>AG89</f>
        <v/>
      </c>
      <c r="O89" s="13">
        <f>AI89</f>
        <v/>
      </c>
      <c r="P89" s="13">
        <f>W89</f>
        <v/>
      </c>
      <c r="Q89" s="13">
        <f>Y89</f>
        <v/>
      </c>
      <c r="R89" s="15" t="n"/>
      <c r="S89" s="15">
        <f>LEFT(W89,2)&amp;LEFT(Y89,2)</f>
        <v/>
      </c>
      <c r="T89" s="15" t="n"/>
      <c r="U89" s="15">
        <f>IF(K89&lt;L89,1,0)</f>
        <v/>
      </c>
      <c r="V89" s="15">
        <f>IF(H89&gt;I89,1,0)</f>
        <v/>
      </c>
      <c r="W89" s="15">
        <f>IF(SUM(U89:V89)=2,"Anticipatory_Sell","No_Action")</f>
        <v/>
      </c>
      <c r="X89" s="15" t="n"/>
      <c r="Y89" s="15">
        <f>IF(SUM(Z89:AA89)=2,"Confirm_Sell","No_Action")</f>
        <v/>
      </c>
      <c r="Z89" s="15">
        <f>IF(H89&gt;I89,1,0)</f>
        <v/>
      </c>
      <c r="AA89" s="15">
        <f>IF(K89&lt;M89,1,0)</f>
        <v/>
      </c>
      <c r="AB89" s="15" t="n"/>
      <c r="AC89" s="15">
        <f>LEFT(AG89,2)&amp;LEFT(AI89,2)</f>
        <v/>
      </c>
      <c r="AD89" s="15" t="n"/>
      <c r="AE89" s="15">
        <f>IF(K89&gt;L89,1,0)</f>
        <v/>
      </c>
      <c r="AF89" s="16">
        <f>IF(H89&gt;I89,1,0)</f>
        <v/>
      </c>
      <c r="AG89" s="16">
        <f>IF(SUM(AE89:AF89)=2,"Anticipatory_Buy","No_Action")</f>
        <v/>
      </c>
      <c r="AH89" s="15" t="n"/>
      <c r="AI89" s="15">
        <f>IF(SUM(AJ89:AK89)=2,"Confirm_Buy","No_Action")</f>
        <v/>
      </c>
      <c r="AJ89" s="15">
        <f>IF(H89&gt;I89,1,0)</f>
        <v/>
      </c>
      <c r="AK89" s="15">
        <f>IF(K89&gt;M89,1,0)</f>
        <v/>
      </c>
    </row>
    <row r="90" ht="14.5" customHeight="1">
      <c r="A90" s="12" t="inlineStr">
        <is>
          <t>DIVISLAB</t>
        </is>
      </c>
      <c r="B90" s="13">
        <f>IFERROR(__xludf.DUMMYFUNCTION("GOOGLEFINANCE(""NSE:""&amp;A90,""PRICE"")"),5951.85)</f>
        <v/>
      </c>
      <c r="C90" s="13">
        <f>IFERROR(__xludf.DUMMYFUNCTION("GOOGLEFINANCE(""NSE:""&amp;A90,""PRICEOPEN"")"),5999.95)</f>
        <v/>
      </c>
      <c r="D90" s="13">
        <f>IFERROR(__xludf.DUMMYFUNCTION("GOOGLEFINANCE(""NSE:""&amp;A90,""HIGH"")"),6041.55)</f>
        <v/>
      </c>
      <c r="E90" s="13">
        <f>IFERROR(__xludf.DUMMYFUNCTION("GOOGLEFINANCE(""NSE:""&amp;A90,""LOW"")"),5937.65)</f>
        <v/>
      </c>
      <c r="F90" s="13">
        <f>IFERROR(__xludf.DUMMYFUNCTION("GOOGLEFINANCE(""NSE:""&amp;A90,""closeyest"")"),6130.75)</f>
        <v/>
      </c>
      <c r="G90" s="14">
        <f>(B90-C90)/B90</f>
        <v/>
      </c>
      <c r="H90" s="13">
        <f>IFERROR(__xludf.DUMMYFUNCTION("GOOGLEFINANCE(""NSE:""&amp;A90,""VOLUME"")"),1123022)</f>
        <v/>
      </c>
      <c r="I90" s="13">
        <f>IFERROR(__xludf.DUMMYFUNCTION("AVERAGE(index(GOOGLEFINANCE(""NSE:""&amp;$A90, ""volume"", today()-21, today()-1), , 2))"),"#N/A")</f>
        <v/>
      </c>
      <c r="J90" s="14">
        <f>(H90-I90)/I90</f>
        <v/>
      </c>
      <c r="K90" s="13">
        <f>IFERROR(__xludf.DUMMYFUNCTION("AVERAGE(index(GOOGLEFINANCE(""NSE:""&amp;$A90, ""close"", today()-6, today()-1), , 2))"),"#N/A")</f>
        <v/>
      </c>
      <c r="L90" s="13">
        <f>IFERROR(__xludf.DUMMYFUNCTION("AVERAGE(index(GOOGLEFINANCE(""NSE:""&amp;$A90, ""close"", today()-14, today()-1), , 2))"),"#N/A")</f>
        <v/>
      </c>
      <c r="M90" s="13">
        <f>IFERROR(__xludf.DUMMYFUNCTION("AVERAGE(index(GOOGLEFINANCE(""NSE:""&amp;$A90, ""close"", today()-22, today()-1), , 2))"),"#N/A")</f>
        <v/>
      </c>
      <c r="N90" s="13">
        <f>AG90</f>
        <v/>
      </c>
      <c r="O90" s="13">
        <f>AI90</f>
        <v/>
      </c>
      <c r="P90" s="13">
        <f>W90</f>
        <v/>
      </c>
      <c r="Q90" s="13">
        <f>Y90</f>
        <v/>
      </c>
      <c r="R90" s="15" t="n"/>
      <c r="S90" s="15">
        <f>LEFT(W90,2)&amp;LEFT(Y90,2)</f>
        <v/>
      </c>
      <c r="T90" s="15" t="n"/>
      <c r="U90" s="15">
        <f>IF(K90&lt;L90,1,0)</f>
        <v/>
      </c>
      <c r="V90" s="15">
        <f>IF(H90&gt;I90,1,0)</f>
        <v/>
      </c>
      <c r="W90" s="15">
        <f>IF(SUM(U90:V90)=2,"Anticipatory_Sell","No_Action")</f>
        <v/>
      </c>
      <c r="X90" s="15" t="n"/>
      <c r="Y90" s="15">
        <f>IF(SUM(Z90:AA90)=2,"Confirm_Sell","No_Action")</f>
        <v/>
      </c>
      <c r="Z90" s="15">
        <f>IF(H90&gt;I90,1,0)</f>
        <v/>
      </c>
      <c r="AA90" s="15">
        <f>IF(K90&lt;M90,1,0)</f>
        <v/>
      </c>
      <c r="AB90" s="15" t="n"/>
      <c r="AC90" s="15">
        <f>LEFT(AG90,2)&amp;LEFT(AI90,2)</f>
        <v/>
      </c>
      <c r="AD90" s="15" t="n"/>
      <c r="AE90" s="15">
        <f>IF(K90&gt;L90,1,0)</f>
        <v/>
      </c>
      <c r="AF90" s="16">
        <f>IF(H90&gt;I90,1,0)</f>
        <v/>
      </c>
      <c r="AG90" s="16">
        <f>IF(SUM(AE90:AF90)=2,"Anticipatory_Buy","No_Action")</f>
        <v/>
      </c>
      <c r="AH90" s="15" t="n"/>
      <c r="AI90" s="15">
        <f>IF(SUM(AJ90:AK90)=2,"Confirm_Buy","No_Action")</f>
        <v/>
      </c>
      <c r="AJ90" s="15">
        <f>IF(H90&gt;I90,1,0)</f>
        <v/>
      </c>
      <c r="AK90" s="15">
        <f>IF(K90&gt;M90,1,0)</f>
        <v/>
      </c>
    </row>
    <row r="91" ht="14.5" customHeight="1">
      <c r="A91" s="12" t="inlineStr">
        <is>
          <t>DIXON</t>
        </is>
      </c>
      <c r="B91" s="13">
        <f>IFERROR(__xludf.DUMMYFUNCTION("GOOGLEFINANCE(""NSE:""&amp;A91,""PRICE"")"),17369)</f>
        <v/>
      </c>
      <c r="C91" s="13">
        <f>IFERROR(__xludf.DUMMYFUNCTION("GOOGLEFINANCE(""NSE:""&amp;A91,""PRICEOPEN"")"),17421.05)</f>
        <v/>
      </c>
      <c r="D91" s="13">
        <f>IFERROR(__xludf.DUMMYFUNCTION("GOOGLEFINANCE(""NSE:""&amp;A91,""HIGH"")"),17685)</f>
        <v/>
      </c>
      <c r="E91" s="13">
        <f>IFERROR(__xludf.DUMMYFUNCTION("GOOGLEFINANCE(""NSE:""&amp;A91,""LOW"")"),17290)</f>
        <v/>
      </c>
      <c r="F91" s="13">
        <f>IFERROR(__xludf.DUMMYFUNCTION("GOOGLEFINANCE(""NSE:""&amp;A91,""closeyest"")"),17421.05)</f>
        <v/>
      </c>
      <c r="G91" s="14">
        <f>(B91-C91)/B91</f>
        <v/>
      </c>
      <c r="H91" s="13">
        <f>IFERROR(__xludf.DUMMYFUNCTION("GOOGLEFINANCE(""NSE:""&amp;A91,""VOLUME"")"),367646)</f>
        <v/>
      </c>
      <c r="I91" s="13">
        <f>IFERROR(__xludf.DUMMYFUNCTION("AVERAGE(index(GOOGLEFINANCE(""NSE:""&amp;$A91, ""volume"", today()-21, today()-1), , 2))"),"#N/A")</f>
        <v/>
      </c>
      <c r="J91" s="14">
        <f>(H91-I91)/I91</f>
        <v/>
      </c>
      <c r="K91" s="13">
        <f>IFERROR(__xludf.DUMMYFUNCTION("AVERAGE(index(GOOGLEFINANCE(""NSE:""&amp;$A91, ""close"", today()-6, today()-1), , 2))"),"#N/A")</f>
        <v/>
      </c>
      <c r="L91" s="13">
        <f>IFERROR(__xludf.DUMMYFUNCTION("AVERAGE(index(GOOGLEFINANCE(""NSE:""&amp;$A91, ""close"", today()-14, today()-1), , 2))"),"#N/A")</f>
        <v/>
      </c>
      <c r="M91" s="13">
        <f>IFERROR(__xludf.DUMMYFUNCTION("AVERAGE(index(GOOGLEFINANCE(""NSE:""&amp;$A91, ""close"", today()-22, today()-1), , 2))"),"#N/A")</f>
        <v/>
      </c>
      <c r="N91" s="13">
        <f>AG91</f>
        <v/>
      </c>
      <c r="O91" s="13">
        <f>AI91</f>
        <v/>
      </c>
      <c r="P91" s="13">
        <f>W91</f>
        <v/>
      </c>
      <c r="Q91" s="13">
        <f>Y91</f>
        <v/>
      </c>
      <c r="R91" s="15" t="n"/>
      <c r="S91" s="15">
        <f>LEFT(W91,2)&amp;LEFT(Y91,2)</f>
        <v/>
      </c>
      <c r="T91" s="15" t="n"/>
      <c r="U91" s="15">
        <f>IF(K91&lt;L91,1,0)</f>
        <v/>
      </c>
      <c r="V91" s="15">
        <f>IF(H91&gt;I91,1,0)</f>
        <v/>
      </c>
      <c r="W91" s="15">
        <f>IF(SUM(U91:V91)=2,"Anticipatory_Sell","No_Action")</f>
        <v/>
      </c>
      <c r="X91" s="15" t="n"/>
      <c r="Y91" s="15">
        <f>IF(SUM(Z91:AA91)=2,"Confirm_Sell","No_Action")</f>
        <v/>
      </c>
      <c r="Z91" s="15">
        <f>IF(H91&gt;I91,1,0)</f>
        <v/>
      </c>
      <c r="AA91" s="15">
        <f>IF(K91&lt;M91,1,0)</f>
        <v/>
      </c>
      <c r="AB91" s="15" t="n"/>
      <c r="AC91" s="15">
        <f>LEFT(AG91,2)&amp;LEFT(AI91,2)</f>
        <v/>
      </c>
      <c r="AD91" s="15" t="n"/>
      <c r="AE91" s="15">
        <f>IF(K91&gt;L91,1,0)</f>
        <v/>
      </c>
      <c r="AF91" s="16">
        <f>IF(H91&gt;I91,1,0)</f>
        <v/>
      </c>
      <c r="AG91" s="16">
        <f>IF(SUM(AE91:AF91)=2,"Anticipatory_Buy","No_Action")</f>
        <v/>
      </c>
      <c r="AH91" s="15" t="n"/>
      <c r="AI91" s="15">
        <f>IF(SUM(AJ91:AK91)=2,"Confirm_Buy","No_Action")</f>
        <v/>
      </c>
      <c r="AJ91" s="15">
        <f>IF(H91&gt;I91,1,0)</f>
        <v/>
      </c>
      <c r="AK91" s="15">
        <f>IF(K91&gt;M91,1,0)</f>
        <v/>
      </c>
    </row>
    <row r="92" ht="14.5" customHeight="1">
      <c r="A92" s="12" t="inlineStr">
        <is>
          <t>LALPATHLAB</t>
        </is>
      </c>
      <c r="B92" s="13">
        <f>IFERROR(__xludf.DUMMYFUNCTION("GOOGLEFINANCE(""NSE:""&amp;A92,""PRICE"")"),3146.9)</f>
        <v/>
      </c>
      <c r="C92" s="13">
        <f>IFERROR(__xludf.DUMMYFUNCTION("GOOGLEFINANCE(""NSE:""&amp;A92,""PRICEOPEN"")"),3073.85)</f>
        <v/>
      </c>
      <c r="D92" s="13">
        <f>IFERROR(__xludf.DUMMYFUNCTION("GOOGLEFINANCE(""NSE:""&amp;A92,""HIGH"")"),3146.9)</f>
        <v/>
      </c>
      <c r="E92" s="13">
        <f>IFERROR(__xludf.DUMMYFUNCTION("GOOGLEFINANCE(""NSE:""&amp;A92,""LOW"")"),3026.35)</f>
        <v/>
      </c>
      <c r="F92" s="13">
        <f>IFERROR(__xludf.DUMMYFUNCTION("GOOGLEFINANCE(""NSE:""&amp;A92,""closeyest"")"),3068.05)</f>
        <v/>
      </c>
      <c r="G92" s="14">
        <f>(B92-C92)/B92</f>
        <v/>
      </c>
      <c r="H92" s="13">
        <f>IFERROR(__xludf.DUMMYFUNCTION("GOOGLEFINANCE(""NSE:""&amp;A92,""VOLUME"")"),181602)</f>
        <v/>
      </c>
      <c r="I92" s="13">
        <f>IFERROR(__xludf.DUMMYFUNCTION("AVERAGE(index(GOOGLEFINANCE(""NSE:""&amp;$A92, ""volume"", today()-21, today()-1), , 2))"),"#N/A")</f>
        <v/>
      </c>
      <c r="J92" s="14">
        <f>(H92-I92)/I92</f>
        <v/>
      </c>
      <c r="K92" s="13">
        <f>IFERROR(__xludf.DUMMYFUNCTION("AVERAGE(index(GOOGLEFINANCE(""NSE:""&amp;$A92, ""close"", today()-6, today()-1), , 2))"),"#N/A")</f>
        <v/>
      </c>
      <c r="L92" s="13">
        <f>IFERROR(__xludf.DUMMYFUNCTION("AVERAGE(index(GOOGLEFINANCE(""NSE:""&amp;$A92, ""close"", today()-14, today()-1), , 2))"),"#N/A")</f>
        <v/>
      </c>
      <c r="M92" s="13">
        <f>IFERROR(__xludf.DUMMYFUNCTION("AVERAGE(index(GOOGLEFINANCE(""NSE:""&amp;$A92, ""close"", today()-22, today()-1), , 2))"),"#N/A")</f>
        <v/>
      </c>
      <c r="N92" s="13">
        <f>AG92</f>
        <v/>
      </c>
      <c r="O92" s="13">
        <f>AI92</f>
        <v/>
      </c>
      <c r="P92" s="13">
        <f>W92</f>
        <v/>
      </c>
      <c r="Q92" s="13">
        <f>Y92</f>
        <v/>
      </c>
      <c r="R92" s="15" t="n"/>
      <c r="S92" s="15">
        <f>LEFT(W92,2)&amp;LEFT(Y92,2)</f>
        <v/>
      </c>
      <c r="T92" s="15" t="n"/>
      <c r="U92" s="15">
        <f>IF(K92&lt;L92,1,0)</f>
        <v/>
      </c>
      <c r="V92" s="15">
        <f>IF(H92&gt;I92,1,0)</f>
        <v/>
      </c>
      <c r="W92" s="15">
        <f>IF(SUM(U92:V92)=2,"Anticipatory_Sell","No_Action")</f>
        <v/>
      </c>
      <c r="X92" s="15" t="n"/>
      <c r="Y92" s="15">
        <f>IF(SUM(Z92:AA92)=2,"Confirm_Sell","No_Action")</f>
        <v/>
      </c>
      <c r="Z92" s="15">
        <f>IF(H92&gt;I92,1,0)</f>
        <v/>
      </c>
      <c r="AA92" s="15">
        <f>IF(K92&lt;M92,1,0)</f>
        <v/>
      </c>
      <c r="AB92" s="15" t="n"/>
      <c r="AC92" s="15">
        <f>LEFT(AG92,2)&amp;LEFT(AI92,2)</f>
        <v/>
      </c>
      <c r="AD92" s="15" t="n"/>
      <c r="AE92" s="15">
        <f>IF(K92&gt;L92,1,0)</f>
        <v/>
      </c>
      <c r="AF92" s="16">
        <f>IF(H92&gt;I92,1,0)</f>
        <v/>
      </c>
      <c r="AG92" s="16">
        <f>IF(SUM(AE92:AF92)=2,"Anticipatory_Buy","No_Action")</f>
        <v/>
      </c>
      <c r="AH92" s="15" t="n"/>
      <c r="AI92" s="15">
        <f>IF(SUM(AJ92:AK92)=2,"Confirm_Buy","No_Action")</f>
        <v/>
      </c>
      <c r="AJ92" s="15">
        <f>IF(H92&gt;I92,1,0)</f>
        <v/>
      </c>
      <c r="AK92" s="15">
        <f>IF(K92&gt;M92,1,0)</f>
        <v/>
      </c>
    </row>
    <row r="93" ht="14.5" customHeight="1">
      <c r="A93" s="12" t="inlineStr">
        <is>
          <t>DRREDDY</t>
        </is>
      </c>
      <c r="B93" s="13">
        <f>IFERROR(__xludf.DUMMYFUNCTION("GOOGLEFINANCE(""NSE:""&amp;A93,""PRICE"")"),1255.5)</f>
        <v/>
      </c>
      <c r="C93" s="13">
        <f>IFERROR(__xludf.DUMMYFUNCTION("GOOGLEFINANCE(""NSE:""&amp;A93,""PRICEOPEN"")"),1254.65)</f>
        <v/>
      </c>
      <c r="D93" s="13">
        <f>IFERROR(__xludf.DUMMYFUNCTION("GOOGLEFINANCE(""NSE:""&amp;A93,""HIGH"")"),1261.8)</f>
        <v/>
      </c>
      <c r="E93" s="13">
        <f>IFERROR(__xludf.DUMMYFUNCTION("GOOGLEFINANCE(""NSE:""&amp;A93,""LOW"")"),1243.25)</f>
        <v/>
      </c>
      <c r="F93" s="13">
        <f>IFERROR(__xludf.DUMMYFUNCTION("GOOGLEFINANCE(""NSE:""&amp;A93,""closeyest"")"),1253.7)</f>
        <v/>
      </c>
      <c r="G93" s="14">
        <f>(B93-C93)/B93</f>
        <v/>
      </c>
      <c r="H93" s="13">
        <f>IFERROR(__xludf.DUMMYFUNCTION("GOOGLEFINANCE(""NSE:""&amp;A93,""VOLUME"")"),1269332)</f>
        <v/>
      </c>
      <c r="I93" s="13">
        <f>IFERROR(__xludf.DUMMYFUNCTION("AVERAGE(index(GOOGLEFINANCE(""NSE:""&amp;$A93, ""volume"", today()-21, today()-1), , 2))"),"#N/A")</f>
        <v/>
      </c>
      <c r="J93" s="14">
        <f>(H93-I93)/I93</f>
        <v/>
      </c>
      <c r="K93" s="13">
        <f>IFERROR(__xludf.DUMMYFUNCTION("AVERAGE(index(GOOGLEFINANCE(""NSE:""&amp;$A93, ""close"", today()-6, today()-1), , 2))"),"#N/A")</f>
        <v/>
      </c>
      <c r="L93" s="13">
        <f>IFERROR(__xludf.DUMMYFUNCTION("AVERAGE(index(GOOGLEFINANCE(""NSE:""&amp;$A93, ""close"", today()-14, today()-1), , 2))"),"#N/A")</f>
        <v/>
      </c>
      <c r="M93" s="13">
        <f>IFERROR(__xludf.DUMMYFUNCTION("AVERAGE(index(GOOGLEFINANCE(""NSE:""&amp;$A93, ""close"", today()-22, today()-1), , 2))"),"#N/A")</f>
        <v/>
      </c>
      <c r="N93" s="13">
        <f>AG93</f>
        <v/>
      </c>
      <c r="O93" s="13">
        <f>AI93</f>
        <v/>
      </c>
      <c r="P93" s="13">
        <f>W93</f>
        <v/>
      </c>
      <c r="Q93" s="13">
        <f>Y93</f>
        <v/>
      </c>
      <c r="R93" s="15" t="n"/>
      <c r="S93" s="15">
        <f>LEFT(W93,2)&amp;LEFT(Y93,2)</f>
        <v/>
      </c>
      <c r="T93" s="15" t="n"/>
      <c r="U93" s="15">
        <f>IF(K93&lt;L93,1,0)</f>
        <v/>
      </c>
      <c r="V93" s="15">
        <f>IF(H93&gt;I93,1,0)</f>
        <v/>
      </c>
      <c r="W93" s="15">
        <f>IF(SUM(U93:V93)=2,"Anticipatory_Sell","No_Action")</f>
        <v/>
      </c>
      <c r="X93" s="15" t="n"/>
      <c r="Y93" s="15">
        <f>IF(SUM(Z93:AA93)=2,"Confirm_Sell","No_Action")</f>
        <v/>
      </c>
      <c r="Z93" s="15">
        <f>IF(H93&gt;I93,1,0)</f>
        <v/>
      </c>
      <c r="AA93" s="15">
        <f>IF(K93&lt;M93,1,0)</f>
        <v/>
      </c>
      <c r="AB93" s="15" t="n"/>
      <c r="AC93" s="15">
        <f>LEFT(AG93,2)&amp;LEFT(AI93,2)</f>
        <v/>
      </c>
      <c r="AD93" s="15" t="n"/>
      <c r="AE93" s="15">
        <f>IF(K93&gt;L93,1,0)</f>
        <v/>
      </c>
      <c r="AF93" s="16">
        <f>IF(H93&gt;I93,1,0)</f>
        <v/>
      </c>
      <c r="AG93" s="16">
        <f>IF(SUM(AE93:AF93)=2,"Anticipatory_Buy","No_Action")</f>
        <v/>
      </c>
      <c r="AH93" s="15" t="n"/>
      <c r="AI93" s="15">
        <f>IF(SUM(AJ93:AK93)=2,"Confirm_Buy","No_Action")</f>
        <v/>
      </c>
      <c r="AJ93" s="15">
        <f>IF(H93&gt;I93,1,0)</f>
        <v/>
      </c>
      <c r="AK93" s="15">
        <f>IF(K93&gt;M93,1,0)</f>
        <v/>
      </c>
    </row>
    <row r="94" ht="14.5" customHeight="1">
      <c r="A94" s="12" t="inlineStr">
        <is>
          <t>DREAMFOLKS</t>
        </is>
      </c>
      <c r="B94" s="13">
        <f>IFERROR(__xludf.DUMMYFUNCTION("GOOGLEFINANCE(""NSE:""&amp;A94,""PRICE"")"),426.3)</f>
        <v/>
      </c>
      <c r="C94" s="13">
        <f>IFERROR(__xludf.DUMMYFUNCTION("GOOGLEFINANCE(""NSE:""&amp;A94,""PRICEOPEN"")"),426.95)</f>
        <v/>
      </c>
      <c r="D94" s="13">
        <f>IFERROR(__xludf.DUMMYFUNCTION("GOOGLEFINANCE(""NSE:""&amp;A94,""HIGH"")"),431.9)</f>
        <v/>
      </c>
      <c r="E94" s="13">
        <f>IFERROR(__xludf.DUMMYFUNCTION("GOOGLEFINANCE(""NSE:""&amp;A94,""LOW"")"),422.4)</f>
        <v/>
      </c>
      <c r="F94" s="13">
        <f>IFERROR(__xludf.DUMMYFUNCTION("GOOGLEFINANCE(""NSE:""&amp;A94,""closeyest"")"),425.6)</f>
        <v/>
      </c>
      <c r="G94" s="14">
        <f>(B94-C94)/B94</f>
        <v/>
      </c>
      <c r="H94" s="13">
        <f>IFERROR(__xludf.DUMMYFUNCTION("GOOGLEFINANCE(""NSE:""&amp;A94,""VOLUME"")"),84447)</f>
        <v/>
      </c>
      <c r="I94" s="13">
        <f>IFERROR(__xludf.DUMMYFUNCTION("AVERAGE(index(GOOGLEFINANCE(""NSE:""&amp;$A94, ""volume"", today()-21, today()-1), , 2))"),"#N/A")</f>
        <v/>
      </c>
      <c r="J94" s="14">
        <f>(H94-I94)/I94</f>
        <v/>
      </c>
      <c r="K94" s="13">
        <f>IFERROR(__xludf.DUMMYFUNCTION("AVERAGE(index(GOOGLEFINANCE(""NSE:""&amp;$A94, ""close"", today()-6, today()-1), , 2))"),"#N/A")</f>
        <v/>
      </c>
      <c r="L94" s="13">
        <f>IFERROR(__xludf.DUMMYFUNCTION("AVERAGE(index(GOOGLEFINANCE(""NSE:""&amp;$A94, ""close"", today()-14, today()-1), , 2))"),"#N/A")</f>
        <v/>
      </c>
      <c r="M94" s="13">
        <f>IFERROR(__xludf.DUMMYFUNCTION("AVERAGE(index(GOOGLEFINANCE(""NSE:""&amp;$A94, ""close"", today()-22, today()-1), , 2))"),"#N/A")</f>
        <v/>
      </c>
      <c r="N94" s="13">
        <f>AG94</f>
        <v/>
      </c>
      <c r="O94" s="13">
        <f>AI94</f>
        <v/>
      </c>
      <c r="P94" s="13">
        <f>W94</f>
        <v/>
      </c>
      <c r="Q94" s="13">
        <f>Y94</f>
        <v/>
      </c>
      <c r="R94" s="15" t="n"/>
      <c r="S94" s="15">
        <f>LEFT(W94,2)&amp;LEFT(Y94,2)</f>
        <v/>
      </c>
      <c r="T94" s="15" t="n"/>
      <c r="U94" s="15">
        <f>IF(K94&lt;L94,1,0)</f>
        <v/>
      </c>
      <c r="V94" s="15">
        <f>IF(H94&gt;I94,1,0)</f>
        <v/>
      </c>
      <c r="W94" s="15">
        <f>IF(SUM(U94:V94)=2,"Anticipatory_Sell","No_Action")</f>
        <v/>
      </c>
      <c r="X94" s="15" t="n"/>
      <c r="Y94" s="15">
        <f>IF(SUM(Z94:AA94)=2,"Confirm_Sell","No_Action")</f>
        <v/>
      </c>
      <c r="Z94" s="15">
        <f>IF(H94&gt;I94,1,0)</f>
        <v/>
      </c>
      <c r="AA94" s="15">
        <f>IF(K94&lt;M94,1,0)</f>
        <v/>
      </c>
      <c r="AB94" s="15" t="n"/>
      <c r="AC94" s="15">
        <f>LEFT(AG94,2)&amp;LEFT(AI94,2)</f>
        <v/>
      </c>
      <c r="AD94" s="15" t="n"/>
      <c r="AE94" s="15">
        <f>IF(K94&gt;L94,1,0)</f>
        <v/>
      </c>
      <c r="AF94" s="16">
        <f>IF(H94&gt;I94,1,0)</f>
        <v/>
      </c>
      <c r="AG94" s="16">
        <f>IF(SUM(AE94:AF94)=2,"Anticipatory_Buy","No_Action")</f>
        <v/>
      </c>
      <c r="AH94" s="15" t="n"/>
      <c r="AI94" s="15">
        <f>IF(SUM(AJ94:AK94)=2,"Confirm_Buy","No_Action")</f>
        <v/>
      </c>
      <c r="AJ94" s="15">
        <f>IF(H94&gt;I94,1,0)</f>
        <v/>
      </c>
      <c r="AK94" s="15">
        <f>IF(K94&gt;M94,1,0)</f>
        <v/>
      </c>
    </row>
    <row r="95" ht="14.5" customHeight="1">
      <c r="A95" s="12" t="inlineStr">
        <is>
          <t>ECLERX</t>
        </is>
      </c>
      <c r="B95" s="13">
        <f>IFERROR(__xludf.DUMMYFUNCTION("GOOGLEFINANCE(""NSE:""&amp;A95,""PRICE"")"),3665.05)</f>
        <v/>
      </c>
      <c r="C95" s="13">
        <f>IFERROR(__xludf.DUMMYFUNCTION("GOOGLEFINANCE(""NSE:""&amp;A95,""PRICEOPEN"")"),3634.95)</f>
        <v/>
      </c>
      <c r="D95" s="13">
        <f>IFERROR(__xludf.DUMMYFUNCTION("GOOGLEFINANCE(""NSE:""&amp;A95,""HIGH"")"),3700)</f>
        <v/>
      </c>
      <c r="E95" s="13">
        <f>IFERROR(__xludf.DUMMYFUNCTION("GOOGLEFINANCE(""NSE:""&amp;A95,""LOW"")"),3615.85)</f>
        <v/>
      </c>
      <c r="F95" s="13">
        <f>IFERROR(__xludf.DUMMYFUNCTION("GOOGLEFINANCE(""NSE:""&amp;A95,""closeyest"")"),3615.85)</f>
        <v/>
      </c>
      <c r="G95" s="14">
        <f>(B95-C95)/B95</f>
        <v/>
      </c>
      <c r="H95" s="13">
        <f>IFERROR(__xludf.DUMMYFUNCTION("GOOGLEFINANCE(""NSE:""&amp;A95,""VOLUME"")"),62319)</f>
        <v/>
      </c>
      <c r="I95" s="13">
        <f>IFERROR(__xludf.DUMMYFUNCTION("AVERAGE(index(GOOGLEFINANCE(""NSE:""&amp;$A95, ""volume"", today()-21, today()-1), , 2))"),"#N/A")</f>
        <v/>
      </c>
      <c r="J95" s="14">
        <f>(H95-I95)/I95</f>
        <v/>
      </c>
      <c r="K95" s="13">
        <f>IFERROR(__xludf.DUMMYFUNCTION("AVERAGE(index(GOOGLEFINANCE(""NSE:""&amp;$A95, ""close"", today()-6, today()-1), , 2))"),"#N/A")</f>
        <v/>
      </c>
      <c r="L95" s="13">
        <f>IFERROR(__xludf.DUMMYFUNCTION("AVERAGE(index(GOOGLEFINANCE(""NSE:""&amp;$A95, ""close"", today()-14, today()-1), , 2))"),"#N/A")</f>
        <v/>
      </c>
      <c r="M95" s="13">
        <f>IFERROR(__xludf.DUMMYFUNCTION("AVERAGE(index(GOOGLEFINANCE(""NSE:""&amp;$A95, ""close"", today()-22, today()-1), , 2))"),"#N/A")</f>
        <v/>
      </c>
      <c r="N95" s="13">
        <f>AG95</f>
        <v/>
      </c>
      <c r="O95" s="13">
        <f>AI95</f>
        <v/>
      </c>
      <c r="P95" s="13">
        <f>W95</f>
        <v/>
      </c>
      <c r="Q95" s="13">
        <f>Y95</f>
        <v/>
      </c>
      <c r="R95" s="15" t="n"/>
      <c r="S95" s="15">
        <f>LEFT(W95,2)&amp;LEFT(Y95,2)</f>
        <v/>
      </c>
      <c r="T95" s="15" t="n"/>
      <c r="U95" s="15">
        <f>IF(K95&lt;L95,1,0)</f>
        <v/>
      </c>
      <c r="V95" s="15">
        <f>IF(H95&gt;I95,1,0)</f>
        <v/>
      </c>
      <c r="W95" s="15">
        <f>IF(SUM(U95:V95)=2,"Anticipatory_Sell","No_Action")</f>
        <v/>
      </c>
      <c r="X95" s="15" t="n"/>
      <c r="Y95" s="15">
        <f>IF(SUM(Z95:AA95)=2,"Confirm_Sell","No_Action")</f>
        <v/>
      </c>
      <c r="Z95" s="15">
        <f>IF(H95&gt;I95,1,0)</f>
        <v/>
      </c>
      <c r="AA95" s="15">
        <f>IF(K95&lt;M95,1,0)</f>
        <v/>
      </c>
      <c r="AB95" s="15" t="n"/>
      <c r="AC95" s="15">
        <f>LEFT(AG95,2)&amp;LEFT(AI95,2)</f>
        <v/>
      </c>
      <c r="AD95" s="15" t="n"/>
      <c r="AE95" s="15">
        <f>IF(K95&gt;L95,1,0)</f>
        <v/>
      </c>
      <c r="AF95" s="16">
        <f>IF(H95&gt;I95,1,0)</f>
        <v/>
      </c>
      <c r="AG95" s="16">
        <f>IF(SUM(AE95:AF95)=2,"Anticipatory_Buy","No_Action")</f>
        <v/>
      </c>
      <c r="AH95" s="15" t="n"/>
      <c r="AI95" s="15">
        <f>IF(SUM(AJ95:AK95)=2,"Confirm_Buy","No_Action")</f>
        <v/>
      </c>
      <c r="AJ95" s="15">
        <f>IF(H95&gt;I95,1,0)</f>
        <v/>
      </c>
      <c r="AK95" s="15">
        <f>IF(K95&gt;M95,1,0)</f>
        <v/>
      </c>
    </row>
    <row r="96" ht="14.5" customHeight="1">
      <c r="A96" s="12" t="inlineStr">
        <is>
          <t>EICHERMOT</t>
        </is>
      </c>
      <c r="B96" s="13">
        <f>IFERROR(__xludf.DUMMYFUNCTION("GOOGLEFINANCE(""NSE:""&amp;A96,""PRICE"")"),4857.4)</f>
        <v/>
      </c>
      <c r="C96" s="13">
        <f>IFERROR(__xludf.DUMMYFUNCTION("GOOGLEFINANCE(""NSE:""&amp;A96,""PRICEOPEN"")"),4886.6)</f>
        <v/>
      </c>
      <c r="D96" s="13">
        <f>IFERROR(__xludf.DUMMYFUNCTION("GOOGLEFINANCE(""NSE:""&amp;A96,""HIGH"")"),4888)</f>
        <v/>
      </c>
      <c r="E96" s="13">
        <f>IFERROR(__xludf.DUMMYFUNCTION("GOOGLEFINANCE(""NSE:""&amp;A96,""LOW"")"),4815)</f>
        <v/>
      </c>
      <c r="F96" s="13">
        <f>IFERROR(__xludf.DUMMYFUNCTION("GOOGLEFINANCE(""NSE:""&amp;A96,""closeyest"")"),4877.05)</f>
        <v/>
      </c>
      <c r="G96" s="14">
        <f>(B96-C96)/B96</f>
        <v/>
      </c>
      <c r="H96" s="13">
        <f>IFERROR(__xludf.DUMMYFUNCTION("GOOGLEFINANCE(""NSE:""&amp;A96,""VOLUME"")"),377043)</f>
        <v/>
      </c>
      <c r="I96" s="13">
        <f>IFERROR(__xludf.DUMMYFUNCTION("AVERAGE(index(GOOGLEFINANCE(""NSE:""&amp;$A96, ""volume"", today()-21, today()-1), , 2))"),"#N/A")</f>
        <v/>
      </c>
      <c r="J96" s="14">
        <f>(H96-I96)/I96</f>
        <v/>
      </c>
      <c r="K96" s="13">
        <f>IFERROR(__xludf.DUMMYFUNCTION("AVERAGE(index(GOOGLEFINANCE(""NSE:""&amp;$A96, ""close"", today()-6, today()-1), , 2))"),"#N/A")</f>
        <v/>
      </c>
      <c r="L96" s="13">
        <f>IFERROR(__xludf.DUMMYFUNCTION("AVERAGE(index(GOOGLEFINANCE(""NSE:""&amp;$A96, ""close"", today()-14, today()-1), , 2))"),"#N/A")</f>
        <v/>
      </c>
      <c r="M96" s="13">
        <f>IFERROR(__xludf.DUMMYFUNCTION("AVERAGE(index(GOOGLEFINANCE(""NSE:""&amp;$A96, ""close"", today()-22, today()-1), , 2))"),"#N/A")</f>
        <v/>
      </c>
      <c r="N96" s="13">
        <f>AG96</f>
        <v/>
      </c>
      <c r="O96" s="13">
        <f>AI96</f>
        <v/>
      </c>
      <c r="P96" s="13">
        <f>W96</f>
        <v/>
      </c>
      <c r="Q96" s="13">
        <f>Y96</f>
        <v/>
      </c>
      <c r="R96" s="15" t="n"/>
      <c r="S96" s="15">
        <f>LEFT(W96,2)&amp;LEFT(Y96,2)</f>
        <v/>
      </c>
      <c r="T96" s="15" t="n"/>
      <c r="U96" s="15">
        <f>IF(K96&lt;L96,1,0)</f>
        <v/>
      </c>
      <c r="V96" s="15">
        <f>IF(H96&gt;I96,1,0)</f>
        <v/>
      </c>
      <c r="W96" s="15">
        <f>IF(SUM(U96:V96)=2,"Anticipatory_Sell","No_Action")</f>
        <v/>
      </c>
      <c r="X96" s="15" t="n"/>
      <c r="Y96" s="15">
        <f>IF(SUM(Z96:AA96)=2,"Confirm_Sell","No_Action")</f>
        <v/>
      </c>
      <c r="Z96" s="15">
        <f>IF(H96&gt;I96,1,0)</f>
        <v/>
      </c>
      <c r="AA96" s="15">
        <f>IF(K96&lt;M96,1,0)</f>
        <v/>
      </c>
      <c r="AB96" s="15" t="n"/>
      <c r="AC96" s="15">
        <f>LEFT(AG96,2)&amp;LEFT(AI96,2)</f>
        <v/>
      </c>
      <c r="AD96" s="15" t="n"/>
      <c r="AE96" s="15">
        <f>IF(K96&gt;L96,1,0)</f>
        <v/>
      </c>
      <c r="AF96" s="16">
        <f>IF(H96&gt;I96,1,0)</f>
        <v/>
      </c>
      <c r="AG96" s="16">
        <f>IF(SUM(AE96:AF96)=2,"Anticipatory_Buy","No_Action")</f>
        <v/>
      </c>
      <c r="AH96" s="15" t="n"/>
      <c r="AI96" s="15">
        <f>IF(SUM(AJ96:AK96)=2,"Confirm_Buy","No_Action")</f>
        <v/>
      </c>
      <c r="AJ96" s="15">
        <f>IF(H96&gt;I96,1,0)</f>
        <v/>
      </c>
      <c r="AK96" s="15">
        <f>IF(K96&gt;M96,1,0)</f>
        <v/>
      </c>
    </row>
    <row r="97" ht="14.5" customHeight="1">
      <c r="A97" s="12" t="inlineStr">
        <is>
          <t>EIDPARRY</t>
        </is>
      </c>
      <c r="B97" s="13">
        <f>IFERROR(__xludf.DUMMYFUNCTION("GOOGLEFINANCE(""NSE:""&amp;A97,""PRICE"")"),895)</f>
        <v/>
      </c>
      <c r="C97" s="13">
        <f>IFERROR(__xludf.DUMMYFUNCTION("GOOGLEFINANCE(""NSE:""&amp;A97,""PRICEOPEN"")"),925.1)</f>
        <v/>
      </c>
      <c r="D97" s="13">
        <f>IFERROR(__xludf.DUMMYFUNCTION("GOOGLEFINANCE(""NSE:""&amp;A97,""HIGH"")"),925.1)</f>
        <v/>
      </c>
      <c r="E97" s="13">
        <f>IFERROR(__xludf.DUMMYFUNCTION("GOOGLEFINANCE(""NSE:""&amp;A97,""LOW"")"),891.55)</f>
        <v/>
      </c>
      <c r="F97" s="13">
        <f>IFERROR(__xludf.DUMMYFUNCTION("GOOGLEFINANCE(""NSE:""&amp;A97,""closeyest"")"),907.7)</f>
        <v/>
      </c>
      <c r="G97" s="14">
        <f>(B97-C97)/B97</f>
        <v/>
      </c>
      <c r="H97" s="13">
        <f>IFERROR(__xludf.DUMMYFUNCTION("GOOGLEFINANCE(""NSE:""&amp;A97,""VOLUME"")"),237332)</f>
        <v/>
      </c>
      <c r="I97" s="13">
        <f>IFERROR(__xludf.DUMMYFUNCTION("AVERAGE(index(GOOGLEFINANCE(""NSE:""&amp;$A97, ""volume"", today()-21, today()-1), , 2))"),"#N/A")</f>
        <v/>
      </c>
      <c r="J97" s="14">
        <f>(H97-I97)/I97</f>
        <v/>
      </c>
      <c r="K97" s="13">
        <f>IFERROR(__xludf.DUMMYFUNCTION("AVERAGE(index(GOOGLEFINANCE(""NSE:""&amp;$A97, ""close"", today()-6, today()-1), , 2))"),"#N/A")</f>
        <v/>
      </c>
      <c r="L97" s="13">
        <f>IFERROR(__xludf.DUMMYFUNCTION("AVERAGE(index(GOOGLEFINANCE(""NSE:""&amp;$A97, ""close"", today()-14, today()-1), , 2))"),"#N/A")</f>
        <v/>
      </c>
      <c r="M97" s="13">
        <f>IFERROR(__xludf.DUMMYFUNCTION("AVERAGE(index(GOOGLEFINANCE(""NSE:""&amp;$A97, ""close"", today()-22, today()-1), , 2))"),"#N/A")</f>
        <v/>
      </c>
      <c r="N97" s="13">
        <f>AG97</f>
        <v/>
      </c>
      <c r="O97" s="13">
        <f>AI97</f>
        <v/>
      </c>
      <c r="P97" s="13">
        <f>W97</f>
        <v/>
      </c>
      <c r="Q97" s="13">
        <f>Y97</f>
        <v/>
      </c>
      <c r="R97" s="15" t="n"/>
      <c r="S97" s="15">
        <f>LEFT(W97,2)&amp;LEFT(Y97,2)</f>
        <v/>
      </c>
      <c r="T97" s="15" t="n"/>
      <c r="U97" s="15">
        <f>IF(K97&lt;L97,1,0)</f>
        <v/>
      </c>
      <c r="V97" s="15">
        <f>IF(H97&gt;I97,1,0)</f>
        <v/>
      </c>
      <c r="W97" s="15">
        <f>IF(SUM(U97:V97)=2,"Anticipatory_Sell","No_Action")</f>
        <v/>
      </c>
      <c r="X97" s="15" t="n"/>
      <c r="Y97" s="15">
        <f>IF(SUM(Z97:AA97)=2,"Confirm_Sell","No_Action")</f>
        <v/>
      </c>
      <c r="Z97" s="15">
        <f>IF(H97&gt;I97,1,0)</f>
        <v/>
      </c>
      <c r="AA97" s="15">
        <f>IF(K97&lt;M97,1,0)</f>
        <v/>
      </c>
      <c r="AB97" s="15" t="n"/>
      <c r="AC97" s="15">
        <f>LEFT(AG97,2)&amp;LEFT(AI97,2)</f>
        <v/>
      </c>
      <c r="AD97" s="15" t="n"/>
      <c r="AE97" s="15">
        <f>IF(K97&gt;L97,1,0)</f>
        <v/>
      </c>
      <c r="AF97" s="16">
        <f>IF(H97&gt;I97,1,0)</f>
        <v/>
      </c>
      <c r="AG97" s="16">
        <f>IF(SUM(AE97:AF97)=2,"Anticipatory_Buy","No_Action")</f>
        <v/>
      </c>
      <c r="AH97" s="15" t="n"/>
      <c r="AI97" s="15">
        <f>IF(SUM(AJ97:AK97)=2,"Confirm_Buy","No_Action")</f>
        <v/>
      </c>
      <c r="AJ97" s="15">
        <f>IF(H97&gt;I97,1,0)</f>
        <v/>
      </c>
      <c r="AK97" s="15">
        <f>IF(K97&gt;M97,1,0)</f>
        <v/>
      </c>
    </row>
    <row r="98" ht="14.5" customHeight="1">
      <c r="A98" s="12" t="inlineStr">
        <is>
          <t>EIHOTEL</t>
        </is>
      </c>
      <c r="B98" s="13">
        <f>IFERROR(__xludf.DUMMYFUNCTION("GOOGLEFINANCE(""NSE:""&amp;A98,""PRICE"")"),409.1)</f>
        <v/>
      </c>
      <c r="C98" s="13">
        <f>IFERROR(__xludf.DUMMYFUNCTION("GOOGLEFINANCE(""NSE:""&amp;A98,""PRICEOPEN"")"),413.85)</f>
        <v/>
      </c>
      <c r="D98" s="13">
        <f>IFERROR(__xludf.DUMMYFUNCTION("GOOGLEFINANCE(""NSE:""&amp;A98,""HIGH"")"),422)</f>
        <v/>
      </c>
      <c r="E98" s="13">
        <f>IFERROR(__xludf.DUMMYFUNCTION("GOOGLEFINANCE(""NSE:""&amp;A98,""LOW"")"),406.1)</f>
        <v/>
      </c>
      <c r="F98" s="13">
        <f>IFERROR(__xludf.DUMMYFUNCTION("GOOGLEFINANCE(""NSE:""&amp;A98,""closeyest"")"),411.45)</f>
        <v/>
      </c>
      <c r="G98" s="14">
        <f>(B98-C98)/B98</f>
        <v/>
      </c>
      <c r="H98" s="13">
        <f>IFERROR(__xludf.DUMMYFUNCTION("GOOGLEFINANCE(""NSE:""&amp;A98,""VOLUME"")"),954567)</f>
        <v/>
      </c>
      <c r="I98" s="13">
        <f>IFERROR(__xludf.DUMMYFUNCTION("AVERAGE(index(GOOGLEFINANCE(""NSE:""&amp;$A98, ""volume"", today()-21, today()-1), , 2))"),"#N/A")</f>
        <v/>
      </c>
      <c r="J98" s="14">
        <f>(H98-I98)/I98</f>
        <v/>
      </c>
      <c r="K98" s="13">
        <f>IFERROR(__xludf.DUMMYFUNCTION("AVERAGE(index(GOOGLEFINANCE(""NSE:""&amp;$A98, ""close"", today()-6, today()-1), , 2))"),"#N/A")</f>
        <v/>
      </c>
      <c r="L98" s="13">
        <f>IFERROR(__xludf.DUMMYFUNCTION("AVERAGE(index(GOOGLEFINANCE(""NSE:""&amp;$A98, ""close"", today()-14, today()-1), , 2))"),"#N/A")</f>
        <v/>
      </c>
      <c r="M98" s="13">
        <f>IFERROR(__xludf.DUMMYFUNCTION("AVERAGE(index(GOOGLEFINANCE(""NSE:""&amp;$A98, ""close"", today()-22, today()-1), , 2))"),"#N/A")</f>
        <v/>
      </c>
      <c r="N98" s="13">
        <f>AG98</f>
        <v/>
      </c>
      <c r="O98" s="13">
        <f>AI98</f>
        <v/>
      </c>
      <c r="P98" s="13">
        <f>W98</f>
        <v/>
      </c>
      <c r="Q98" s="13">
        <f>Y98</f>
        <v/>
      </c>
      <c r="R98" s="15" t="n"/>
      <c r="S98" s="15">
        <f>LEFT(W98,2)&amp;LEFT(Y98,2)</f>
        <v/>
      </c>
      <c r="T98" s="15" t="n"/>
      <c r="U98" s="15">
        <f>IF(K98&lt;L98,1,0)</f>
        <v/>
      </c>
      <c r="V98" s="15">
        <f>IF(H98&gt;I98,1,0)</f>
        <v/>
      </c>
      <c r="W98" s="15">
        <f>IF(SUM(U98:V98)=2,"Anticipatory_Sell","No_Action")</f>
        <v/>
      </c>
      <c r="X98" s="15" t="n"/>
      <c r="Y98" s="15">
        <f>IF(SUM(Z98:AA98)=2,"Confirm_Sell","No_Action")</f>
        <v/>
      </c>
      <c r="Z98" s="15">
        <f>IF(H98&gt;I98,1,0)</f>
        <v/>
      </c>
      <c r="AA98" s="15">
        <f>IF(K98&lt;M98,1,0)</f>
        <v/>
      </c>
      <c r="AB98" s="15" t="n"/>
      <c r="AC98" s="15">
        <f>LEFT(AG98,2)&amp;LEFT(AI98,2)</f>
        <v/>
      </c>
      <c r="AD98" s="15" t="n"/>
      <c r="AE98" s="15">
        <f>IF(K98&gt;L98,1,0)</f>
        <v/>
      </c>
      <c r="AF98" s="16">
        <f>IF(H98&gt;I98,1,0)</f>
        <v/>
      </c>
      <c r="AG98" s="16">
        <f>IF(SUM(AE98:AF98)=2,"Anticipatory_Buy","No_Action")</f>
        <v/>
      </c>
      <c r="AH98" s="15" t="n"/>
      <c r="AI98" s="15">
        <f>IF(SUM(AJ98:AK98)=2,"Confirm_Buy","No_Action")</f>
        <v/>
      </c>
      <c r="AJ98" s="15">
        <f>IF(H98&gt;I98,1,0)</f>
        <v/>
      </c>
      <c r="AK98" s="15">
        <f>IF(K98&gt;M98,1,0)</f>
        <v/>
      </c>
    </row>
    <row r="99" ht="14.5" customHeight="1">
      <c r="A99" s="12" t="inlineStr">
        <is>
          <t>ELECON</t>
        </is>
      </c>
      <c r="B99" s="13">
        <f>IFERROR(__xludf.DUMMYFUNCTION("GOOGLEFINANCE(""NSE:""&amp;A99,""PRICE"")"),627)</f>
        <v/>
      </c>
      <c r="C99" s="13">
        <f>IFERROR(__xludf.DUMMYFUNCTION("GOOGLEFINANCE(""NSE:""&amp;A99,""PRICEOPEN"")"),630.95)</f>
        <v/>
      </c>
      <c r="D99" s="13">
        <f>IFERROR(__xludf.DUMMYFUNCTION("GOOGLEFINANCE(""NSE:""&amp;A99,""HIGH"")"),640.95)</f>
        <v/>
      </c>
      <c r="E99" s="13">
        <f>IFERROR(__xludf.DUMMYFUNCTION("GOOGLEFINANCE(""NSE:""&amp;A99,""LOW"")"),621.1)</f>
        <v/>
      </c>
      <c r="F99" s="13">
        <f>IFERROR(__xludf.DUMMYFUNCTION("GOOGLEFINANCE(""NSE:""&amp;A99,""closeyest"")"),630.95)</f>
        <v/>
      </c>
      <c r="G99" s="14">
        <f>(B99-C99)/B99</f>
        <v/>
      </c>
      <c r="H99" s="13">
        <f>IFERROR(__xludf.DUMMYFUNCTION("GOOGLEFINANCE(""NSE:""&amp;A99,""VOLUME"")"),211034)</f>
        <v/>
      </c>
      <c r="I99" s="13">
        <f>IFERROR(__xludf.DUMMYFUNCTION("AVERAGE(index(GOOGLEFINANCE(""NSE:""&amp;$A99, ""volume"", today()-21, today()-1), , 2))"),"#N/A")</f>
        <v/>
      </c>
      <c r="J99" s="14">
        <f>(H99-I99)/I99</f>
        <v/>
      </c>
      <c r="K99" s="13">
        <f>IFERROR(__xludf.DUMMYFUNCTION("AVERAGE(index(GOOGLEFINANCE(""NSE:""&amp;$A99, ""close"", today()-6, today()-1), , 2))"),"#N/A")</f>
        <v/>
      </c>
      <c r="L99" s="13">
        <f>IFERROR(__xludf.DUMMYFUNCTION("AVERAGE(index(GOOGLEFINANCE(""NSE:""&amp;$A99, ""close"", today()-14, today()-1), , 2))"),"#N/A")</f>
        <v/>
      </c>
      <c r="M99" s="13">
        <f>IFERROR(__xludf.DUMMYFUNCTION("AVERAGE(index(GOOGLEFINANCE(""NSE:""&amp;$A99, ""close"", today()-22, today()-1), , 2))"),"#N/A")</f>
        <v/>
      </c>
      <c r="N99" s="13">
        <f>AG99</f>
        <v/>
      </c>
      <c r="O99" s="13">
        <f>AI99</f>
        <v/>
      </c>
      <c r="P99" s="13">
        <f>W99</f>
        <v/>
      </c>
      <c r="Q99" s="13">
        <f>Y99</f>
        <v/>
      </c>
      <c r="R99" s="15" t="n"/>
      <c r="S99" s="15">
        <f>LEFT(W99,2)&amp;LEFT(Y99,2)</f>
        <v/>
      </c>
      <c r="T99" s="15" t="n"/>
      <c r="U99" s="15">
        <f>IF(K99&lt;L99,1,0)</f>
        <v/>
      </c>
      <c r="V99" s="15">
        <f>IF(H99&gt;I99,1,0)</f>
        <v/>
      </c>
      <c r="W99" s="15">
        <f>IF(SUM(U99:V99)=2,"Anticipatory_Sell","No_Action")</f>
        <v/>
      </c>
      <c r="X99" s="15" t="n"/>
      <c r="Y99" s="15">
        <f>IF(SUM(Z99:AA99)=2,"Confirm_Sell","No_Action")</f>
        <v/>
      </c>
      <c r="Z99" s="15">
        <f>IF(H99&gt;I99,1,0)</f>
        <v/>
      </c>
      <c r="AA99" s="15">
        <f>IF(K99&lt;M99,1,0)</f>
        <v/>
      </c>
      <c r="AB99" s="15" t="n"/>
      <c r="AC99" s="15">
        <f>LEFT(AG99,2)&amp;LEFT(AI99,2)</f>
        <v/>
      </c>
      <c r="AD99" s="15" t="n"/>
      <c r="AE99" s="15">
        <f>IF(K99&gt;L99,1,0)</f>
        <v/>
      </c>
      <c r="AF99" s="16">
        <f>IF(H99&gt;I99,1,0)</f>
        <v/>
      </c>
      <c r="AG99" s="16">
        <f>IF(SUM(AE99:AF99)=2,"Anticipatory_Buy","No_Action")</f>
        <v/>
      </c>
      <c r="AH99" s="15" t="n"/>
      <c r="AI99" s="15">
        <f>IF(SUM(AJ99:AK99)=2,"Confirm_Buy","No_Action")</f>
        <v/>
      </c>
      <c r="AJ99" s="15">
        <f>IF(H99&gt;I99,1,0)</f>
        <v/>
      </c>
      <c r="AK99" s="15">
        <f>IF(K99&gt;M99,1,0)</f>
        <v/>
      </c>
    </row>
    <row r="100" ht="14.5" customHeight="1">
      <c r="A100" s="12" t="inlineStr">
        <is>
          <t>ELECTCAST</t>
        </is>
      </c>
      <c r="B100" s="13">
        <f>IFERROR(__xludf.DUMMYFUNCTION("GOOGLEFINANCE(""NSE:""&amp;A100,""PRICE"")"),168.49)</f>
        <v/>
      </c>
      <c r="C100" s="13">
        <f>IFERROR(__xludf.DUMMYFUNCTION("GOOGLEFINANCE(""NSE:""&amp;A100,""PRICEOPEN"")"),166.95)</f>
        <v/>
      </c>
      <c r="D100" s="13">
        <f>IFERROR(__xludf.DUMMYFUNCTION("GOOGLEFINANCE(""NSE:""&amp;A100,""HIGH"")"),170.7)</f>
        <v/>
      </c>
      <c r="E100" s="13">
        <f>IFERROR(__xludf.DUMMYFUNCTION("GOOGLEFINANCE(""NSE:""&amp;A100,""LOW"")"),166.61)</f>
        <v/>
      </c>
      <c r="F100" s="13">
        <f>IFERROR(__xludf.DUMMYFUNCTION("GOOGLEFINANCE(""NSE:""&amp;A100,""closeyest"")"),166.24)</f>
        <v/>
      </c>
      <c r="G100" s="14">
        <f>(B100-C100)/B100</f>
        <v/>
      </c>
      <c r="H100" s="13">
        <f>IFERROR(__xludf.DUMMYFUNCTION("GOOGLEFINANCE(""NSE:""&amp;A100,""VOLUME"")"),1862762)</f>
        <v/>
      </c>
      <c r="I100" s="13">
        <f>IFERROR(__xludf.DUMMYFUNCTION("AVERAGE(index(GOOGLEFINANCE(""NSE:""&amp;$A100, ""volume"", today()-21, today()-1), , 2))"),"#N/A")</f>
        <v/>
      </c>
      <c r="J100" s="14">
        <f>(H100-I100)/I100</f>
        <v/>
      </c>
      <c r="K100" s="13">
        <f>IFERROR(__xludf.DUMMYFUNCTION("AVERAGE(index(GOOGLEFINANCE(""NSE:""&amp;$A100, ""close"", today()-6, today()-1), , 2))"),"#N/A")</f>
        <v/>
      </c>
      <c r="L100" s="13">
        <f>IFERROR(__xludf.DUMMYFUNCTION("AVERAGE(index(GOOGLEFINANCE(""NSE:""&amp;$A100, ""close"", today()-14, today()-1), , 2))"),"#N/A")</f>
        <v/>
      </c>
      <c r="M100" s="13">
        <f>IFERROR(__xludf.DUMMYFUNCTION("AVERAGE(index(GOOGLEFINANCE(""NSE:""&amp;$A100, ""close"", today()-22, today()-1), , 2))"),"#N/A")</f>
        <v/>
      </c>
      <c r="N100" s="13">
        <f>AG100</f>
        <v/>
      </c>
      <c r="O100" s="13">
        <f>AI100</f>
        <v/>
      </c>
      <c r="P100" s="13">
        <f>W100</f>
        <v/>
      </c>
      <c r="Q100" s="13">
        <f>Y100</f>
        <v/>
      </c>
      <c r="R100" s="15" t="n"/>
      <c r="S100" s="15">
        <f>LEFT(W100,2)&amp;LEFT(Y100,2)</f>
        <v/>
      </c>
      <c r="T100" s="15" t="n"/>
      <c r="U100" s="15">
        <f>IF(K100&lt;L100,1,0)</f>
        <v/>
      </c>
      <c r="V100" s="15">
        <f>IF(H100&gt;I100,1,0)</f>
        <v/>
      </c>
      <c r="W100" s="15">
        <f>IF(SUM(U100:V100)=2,"Anticipatory_Sell","No_Action")</f>
        <v/>
      </c>
      <c r="X100" s="15" t="n"/>
      <c r="Y100" s="15">
        <f>IF(SUM(Z100:AA100)=2,"Confirm_Sell","No_Action")</f>
        <v/>
      </c>
      <c r="Z100" s="15">
        <f>IF(H100&gt;I100,1,0)</f>
        <v/>
      </c>
      <c r="AA100" s="15">
        <f>IF(K100&lt;M100,1,0)</f>
        <v/>
      </c>
      <c r="AB100" s="15" t="n"/>
      <c r="AC100" s="15">
        <f>LEFT(AG100,2)&amp;LEFT(AI100,2)</f>
        <v/>
      </c>
      <c r="AD100" s="15" t="n"/>
      <c r="AE100" s="15">
        <f>IF(K100&gt;L100,1,0)</f>
        <v/>
      </c>
      <c r="AF100" s="16">
        <f>IF(H100&gt;I100,1,0)</f>
        <v/>
      </c>
      <c r="AG100" s="16">
        <f>IF(SUM(AE100:AF100)=2,"Anticipatory_Buy","No_Action")</f>
        <v/>
      </c>
      <c r="AH100" s="15" t="n"/>
      <c r="AI100" s="15">
        <f>IF(SUM(AJ100:AK100)=2,"Confirm_Buy","No_Action")</f>
        <v/>
      </c>
      <c r="AJ100" s="15">
        <f>IF(H100&gt;I100,1,0)</f>
        <v/>
      </c>
      <c r="AK100" s="15">
        <f>IF(K100&gt;M100,1,0)</f>
        <v/>
      </c>
    </row>
    <row r="101" ht="14.5" customHeight="1">
      <c r="A101" s="12" t="inlineStr">
        <is>
          <t>EMAMILTD</t>
        </is>
      </c>
      <c r="B101" s="13">
        <f>IFERROR(__xludf.DUMMYFUNCTION("GOOGLEFINANCE(""NSE:""&amp;A101,""PRICE"")"),623)</f>
        <v/>
      </c>
      <c r="C101" s="13">
        <f>IFERROR(__xludf.DUMMYFUNCTION("GOOGLEFINANCE(""NSE:""&amp;A101,""PRICEOPEN"")"),643.05)</f>
        <v/>
      </c>
      <c r="D101" s="13">
        <f>IFERROR(__xludf.DUMMYFUNCTION("GOOGLEFINANCE(""NSE:""&amp;A101,""HIGH"")"),645)</f>
        <v/>
      </c>
      <c r="E101" s="13">
        <f>IFERROR(__xludf.DUMMYFUNCTION("GOOGLEFINANCE(""NSE:""&amp;A101,""LOW"")"),618.4)</f>
        <v/>
      </c>
      <c r="F101" s="13">
        <f>IFERROR(__xludf.DUMMYFUNCTION("GOOGLEFINANCE(""NSE:""&amp;A101,""closeyest"")"),642.5)</f>
        <v/>
      </c>
      <c r="G101" s="14">
        <f>(B101-C101)/B101</f>
        <v/>
      </c>
      <c r="H101" s="13">
        <f>IFERROR(__xludf.DUMMYFUNCTION("GOOGLEFINANCE(""NSE:""&amp;A101,""VOLUME"")"),705249)</f>
        <v/>
      </c>
      <c r="I101" s="13">
        <f>IFERROR(__xludf.DUMMYFUNCTION("AVERAGE(index(GOOGLEFINANCE(""NSE:""&amp;$A101, ""volume"", today()-21, today()-1), , 2))"),"#N/A")</f>
        <v/>
      </c>
      <c r="J101" s="14">
        <f>(H101-I101)/I101</f>
        <v/>
      </c>
      <c r="K101" s="13">
        <f>IFERROR(__xludf.DUMMYFUNCTION("AVERAGE(index(GOOGLEFINANCE(""NSE:""&amp;$A101, ""close"", today()-6, today()-1), , 2))"),"#N/A")</f>
        <v/>
      </c>
      <c r="L101" s="13">
        <f>IFERROR(__xludf.DUMMYFUNCTION("AVERAGE(index(GOOGLEFINANCE(""NSE:""&amp;$A101, ""close"", today()-14, today()-1), , 2))"),"#N/A")</f>
        <v/>
      </c>
      <c r="M101" s="13">
        <f>IFERROR(__xludf.DUMMYFUNCTION("AVERAGE(index(GOOGLEFINANCE(""NSE:""&amp;$A101, ""close"", today()-22, today()-1), , 2))"),"#N/A")</f>
        <v/>
      </c>
      <c r="N101" s="13">
        <f>AG101</f>
        <v/>
      </c>
      <c r="O101" s="13">
        <f>AI101</f>
        <v/>
      </c>
      <c r="P101" s="13">
        <f>W101</f>
        <v/>
      </c>
      <c r="Q101" s="13">
        <f>Y101</f>
        <v/>
      </c>
      <c r="R101" s="15" t="n"/>
      <c r="S101" s="15">
        <f>LEFT(W101,2)&amp;LEFT(Y101,2)</f>
        <v/>
      </c>
      <c r="T101" s="15" t="n"/>
      <c r="U101" s="15">
        <f>IF(K101&lt;L101,1,0)</f>
        <v/>
      </c>
      <c r="V101" s="15">
        <f>IF(H101&gt;I101,1,0)</f>
        <v/>
      </c>
      <c r="W101" s="15">
        <f>IF(SUM(U101:V101)=2,"Anticipatory_Sell","No_Action")</f>
        <v/>
      </c>
      <c r="X101" s="15" t="n"/>
      <c r="Y101" s="15">
        <f>IF(SUM(Z101:AA101)=2,"Confirm_Sell","No_Action")</f>
        <v/>
      </c>
      <c r="Z101" s="15">
        <f>IF(H101&gt;I101,1,0)</f>
        <v/>
      </c>
      <c r="AA101" s="15">
        <f>IF(K101&lt;M101,1,0)</f>
        <v/>
      </c>
      <c r="AB101" s="15" t="n"/>
      <c r="AC101" s="15">
        <f>LEFT(AG101,2)&amp;LEFT(AI101,2)</f>
        <v/>
      </c>
      <c r="AD101" s="15" t="n"/>
      <c r="AE101" s="15">
        <f>IF(K101&gt;L101,1,0)</f>
        <v/>
      </c>
      <c r="AF101" s="16">
        <f>IF(H101&gt;I101,1,0)</f>
        <v/>
      </c>
      <c r="AG101" s="16">
        <f>IF(SUM(AE101:AF101)=2,"Anticipatory_Buy","No_Action")</f>
        <v/>
      </c>
      <c r="AH101" s="15" t="n"/>
      <c r="AI101" s="15">
        <f>IF(SUM(AJ101:AK101)=2,"Confirm_Buy","No_Action")</f>
        <v/>
      </c>
      <c r="AJ101" s="15">
        <f>IF(H101&gt;I101,1,0)</f>
        <v/>
      </c>
      <c r="AK101" s="15">
        <f>IF(K101&gt;M101,1,0)</f>
        <v/>
      </c>
    </row>
    <row r="102" ht="14.5" customHeight="1">
      <c r="A102" s="12" t="inlineStr">
        <is>
          <t>EPIGRAL</t>
        </is>
      </c>
      <c r="B102" s="13">
        <f>IFERROR(__xludf.DUMMYFUNCTION("GOOGLEFINANCE(""NSE:""&amp;A102,""PRICE"")"),2118)</f>
        <v/>
      </c>
      <c r="C102" s="13">
        <f>IFERROR(__xludf.DUMMYFUNCTION("GOOGLEFINANCE(""NSE:""&amp;A102,""PRICEOPEN"")"),2084)</f>
        <v/>
      </c>
      <c r="D102" s="13">
        <f>IFERROR(__xludf.DUMMYFUNCTION("GOOGLEFINANCE(""NSE:""&amp;A102,""HIGH"")"),2172.9)</f>
        <v/>
      </c>
      <c r="E102" s="13">
        <f>IFERROR(__xludf.DUMMYFUNCTION("GOOGLEFINANCE(""NSE:""&amp;A102,""LOW"")"),2084)</f>
        <v/>
      </c>
      <c r="F102" s="13">
        <f>IFERROR(__xludf.DUMMYFUNCTION("GOOGLEFINANCE(""NSE:""&amp;A102,""closeyest"")"),2084)</f>
        <v/>
      </c>
      <c r="G102" s="14">
        <f>(B102-C102)/B102</f>
        <v/>
      </c>
      <c r="H102" s="13">
        <f>IFERROR(__xludf.DUMMYFUNCTION("GOOGLEFINANCE(""NSE:""&amp;A102,""VOLUME"")"),66922)</f>
        <v/>
      </c>
      <c r="I102" s="13">
        <f>IFERROR(__xludf.DUMMYFUNCTION("AVERAGE(index(GOOGLEFINANCE(""NSE:""&amp;$A102, ""volume"", today()-21, today()-1), , 2))"),"#N/A")</f>
        <v/>
      </c>
      <c r="J102" s="14">
        <f>(H102-I102)/I102</f>
        <v/>
      </c>
      <c r="K102" s="13">
        <f>IFERROR(__xludf.DUMMYFUNCTION("AVERAGE(index(GOOGLEFINANCE(""NSE:""&amp;$A102, ""close"", today()-6, today()-1), , 2))"),"#N/A")</f>
        <v/>
      </c>
      <c r="L102" s="13">
        <f>IFERROR(__xludf.DUMMYFUNCTION("AVERAGE(index(GOOGLEFINANCE(""NSE:""&amp;$A102, ""close"", today()-14, today()-1), , 2))"),"#N/A")</f>
        <v/>
      </c>
      <c r="M102" s="13">
        <f>IFERROR(__xludf.DUMMYFUNCTION("AVERAGE(index(GOOGLEFINANCE(""NSE:""&amp;$A102, ""close"", today()-22, today()-1), , 2))"),"#N/A")</f>
        <v/>
      </c>
      <c r="N102" s="13">
        <f>AG102</f>
        <v/>
      </c>
      <c r="O102" s="13">
        <f>AI102</f>
        <v/>
      </c>
      <c r="P102" s="13">
        <f>W102</f>
        <v/>
      </c>
      <c r="Q102" s="13">
        <f>Y102</f>
        <v/>
      </c>
      <c r="R102" s="15" t="n"/>
      <c r="S102" s="15">
        <f>LEFT(W102,2)&amp;LEFT(Y102,2)</f>
        <v/>
      </c>
      <c r="T102" s="15" t="n"/>
      <c r="U102" s="15">
        <f>IF(K102&lt;L102,1,0)</f>
        <v/>
      </c>
      <c r="V102" s="15">
        <f>IF(H102&gt;I102,1,0)</f>
        <v/>
      </c>
      <c r="W102" s="15">
        <f>IF(SUM(U102:V102)=2,"Anticipatory_Sell","No_Action")</f>
        <v/>
      </c>
      <c r="X102" s="15" t="n"/>
      <c r="Y102" s="15">
        <f>IF(SUM(Z102:AA102)=2,"Confirm_Sell","No_Action")</f>
        <v/>
      </c>
      <c r="Z102" s="15">
        <f>IF(H102&gt;I102,1,0)</f>
        <v/>
      </c>
      <c r="AA102" s="15">
        <f>IF(K102&lt;M102,1,0)</f>
        <v/>
      </c>
      <c r="AB102" s="15" t="n"/>
      <c r="AC102" s="15">
        <f>LEFT(AG102,2)&amp;LEFT(AI102,2)</f>
        <v/>
      </c>
      <c r="AD102" s="15" t="n"/>
      <c r="AE102" s="15">
        <f>IF(K102&gt;L102,1,0)</f>
        <v/>
      </c>
      <c r="AF102" s="16">
        <f>IF(H102&gt;I102,1,0)</f>
        <v/>
      </c>
      <c r="AG102" s="16">
        <f>IF(SUM(AE102:AF102)=2,"Anticipatory_Buy","No_Action")</f>
        <v/>
      </c>
      <c r="AH102" s="15" t="n"/>
      <c r="AI102" s="15">
        <f>IF(SUM(AJ102:AK102)=2,"Confirm_Buy","No_Action")</f>
        <v/>
      </c>
      <c r="AJ102" s="15">
        <f>IF(H102&gt;I102,1,0)</f>
        <v/>
      </c>
      <c r="AK102" s="15">
        <f>IF(K102&gt;M102,1,0)</f>
        <v/>
      </c>
    </row>
    <row r="103" ht="14.5" customHeight="1">
      <c r="A103" s="12" t="inlineStr">
        <is>
          <t>ERIS</t>
        </is>
      </c>
      <c r="B103" s="13">
        <f>IFERROR(__xludf.DUMMYFUNCTION("GOOGLEFINANCE(""NSE:""&amp;A103,""PRICE"")"),1503.4)</f>
        <v/>
      </c>
      <c r="C103" s="13">
        <f>IFERROR(__xludf.DUMMYFUNCTION("GOOGLEFINANCE(""NSE:""&amp;A103,""PRICEOPEN"")"),1464.3)</f>
        <v/>
      </c>
      <c r="D103" s="13">
        <f>IFERROR(__xludf.DUMMYFUNCTION("GOOGLEFINANCE(""NSE:""&amp;A103,""HIGH"")"),1508.9)</f>
        <v/>
      </c>
      <c r="E103" s="13">
        <f>IFERROR(__xludf.DUMMYFUNCTION("GOOGLEFINANCE(""NSE:""&amp;A103,""LOW"")"),1459)</f>
        <v/>
      </c>
      <c r="F103" s="13">
        <f>IFERROR(__xludf.DUMMYFUNCTION("GOOGLEFINANCE(""NSE:""&amp;A103,""closeyest"")"),1458.6)</f>
        <v/>
      </c>
      <c r="G103" s="14">
        <f>(B103-C103)/B103</f>
        <v/>
      </c>
      <c r="H103" s="13">
        <f>IFERROR(__xludf.DUMMYFUNCTION("GOOGLEFINANCE(""NSE:""&amp;A103,""VOLUME"")"),123427)</f>
        <v/>
      </c>
      <c r="I103" s="13">
        <f>IFERROR(__xludf.DUMMYFUNCTION("AVERAGE(index(GOOGLEFINANCE(""NSE:""&amp;$A103, ""volume"", today()-21, today()-1), , 2))"),"#N/A")</f>
        <v/>
      </c>
      <c r="J103" s="14">
        <f>(H103-I103)/I103</f>
        <v/>
      </c>
      <c r="K103" s="13">
        <f>IFERROR(__xludf.DUMMYFUNCTION("AVERAGE(index(GOOGLEFINANCE(""NSE:""&amp;$A103, ""close"", today()-6, today()-1), , 2))"),"#N/A")</f>
        <v/>
      </c>
      <c r="L103" s="13">
        <f>IFERROR(__xludf.DUMMYFUNCTION("AVERAGE(index(GOOGLEFINANCE(""NSE:""&amp;$A103, ""close"", today()-14, today()-1), , 2))"),"#N/A")</f>
        <v/>
      </c>
      <c r="M103" s="13">
        <f>IFERROR(__xludf.DUMMYFUNCTION("AVERAGE(index(GOOGLEFINANCE(""NSE:""&amp;$A103, ""close"", today()-22, today()-1), , 2))"),"#N/A")</f>
        <v/>
      </c>
      <c r="N103" s="13">
        <f>AG103</f>
        <v/>
      </c>
      <c r="O103" s="13">
        <f>AI103</f>
        <v/>
      </c>
      <c r="P103" s="13">
        <f>W103</f>
        <v/>
      </c>
      <c r="Q103" s="13">
        <f>Y103</f>
        <v/>
      </c>
      <c r="R103" s="15" t="n"/>
      <c r="S103" s="15">
        <f>LEFT(W103,2)&amp;LEFT(Y103,2)</f>
        <v/>
      </c>
      <c r="T103" s="15" t="n"/>
      <c r="U103" s="15">
        <f>IF(K103&lt;L103,1,0)</f>
        <v/>
      </c>
      <c r="V103" s="15">
        <f>IF(H103&gt;I103,1,0)</f>
        <v/>
      </c>
      <c r="W103" s="15">
        <f>IF(SUM(U103:V103)=2,"Anticipatory_Sell","No_Action")</f>
        <v/>
      </c>
      <c r="X103" s="15" t="n"/>
      <c r="Y103" s="15">
        <f>IF(SUM(Z103:AA103)=2,"Confirm_Sell","No_Action")</f>
        <v/>
      </c>
      <c r="Z103" s="15">
        <f>IF(H103&gt;I103,1,0)</f>
        <v/>
      </c>
      <c r="AA103" s="15">
        <f>IF(K103&lt;M103,1,0)</f>
        <v/>
      </c>
      <c r="AB103" s="15" t="n"/>
      <c r="AC103" s="15">
        <f>LEFT(AG103,2)&amp;LEFT(AI103,2)</f>
        <v/>
      </c>
      <c r="AD103" s="15" t="n"/>
      <c r="AE103" s="15">
        <f>IF(K103&gt;L103,1,0)</f>
        <v/>
      </c>
      <c r="AF103" s="16">
        <f>IF(H103&gt;I103,1,0)</f>
        <v/>
      </c>
      <c r="AG103" s="16">
        <f>IF(SUM(AE103:AF103)=2,"Anticipatory_Buy","No_Action")</f>
        <v/>
      </c>
      <c r="AH103" s="15" t="n"/>
      <c r="AI103" s="15">
        <f>IF(SUM(AJ103:AK103)=2,"Confirm_Buy","No_Action")</f>
        <v/>
      </c>
      <c r="AJ103" s="15">
        <f>IF(H103&gt;I103,1,0)</f>
        <v/>
      </c>
      <c r="AK103" s="15">
        <f>IF(K103&gt;M103,1,0)</f>
        <v/>
      </c>
    </row>
    <row r="104" ht="14.5" customHeight="1">
      <c r="A104" s="12" t="inlineStr">
        <is>
          <t>ESCORTS</t>
        </is>
      </c>
      <c r="B104" s="13">
        <f>IFERROR(__xludf.DUMMYFUNCTION("GOOGLEFINANCE(""NSE:""&amp;A104,""PRICE"")"),3538)</f>
        <v/>
      </c>
      <c r="C104" s="13">
        <f>IFERROR(__xludf.DUMMYFUNCTION("GOOGLEFINANCE(""NSE:""&amp;A104,""PRICEOPEN"")"),3531)</f>
        <v/>
      </c>
      <c r="D104" s="13">
        <f>IFERROR(__xludf.DUMMYFUNCTION("GOOGLEFINANCE(""NSE:""&amp;A104,""HIGH"")"),3580)</f>
        <v/>
      </c>
      <c r="E104" s="13">
        <f>IFERROR(__xludf.DUMMYFUNCTION("GOOGLEFINANCE(""NSE:""&amp;A104,""LOW"")"),3521.55)</f>
        <v/>
      </c>
      <c r="F104" s="13">
        <f>IFERROR(__xludf.DUMMYFUNCTION("GOOGLEFINANCE(""NSE:""&amp;A104,""closeyest"")"),3524.8)</f>
        <v/>
      </c>
      <c r="G104" s="14">
        <f>(B104-C104)/B104</f>
        <v/>
      </c>
      <c r="H104" s="13">
        <f>IFERROR(__xludf.DUMMYFUNCTION("GOOGLEFINANCE(""NSE:""&amp;A104,""VOLUME"")"),133373)</f>
        <v/>
      </c>
      <c r="I104" s="13">
        <f>IFERROR(__xludf.DUMMYFUNCTION("AVERAGE(index(GOOGLEFINANCE(""NSE:""&amp;$A104, ""volume"", today()-21, today()-1), , 2))"),"#N/A")</f>
        <v/>
      </c>
      <c r="J104" s="14">
        <f>(H104-I104)/I104</f>
        <v/>
      </c>
      <c r="K104" s="13">
        <f>IFERROR(__xludf.DUMMYFUNCTION("AVERAGE(index(GOOGLEFINANCE(""NSE:""&amp;$A104, ""close"", today()-6, today()-1), , 2))"),"#N/A")</f>
        <v/>
      </c>
      <c r="L104" s="13">
        <f>IFERROR(__xludf.DUMMYFUNCTION("AVERAGE(index(GOOGLEFINANCE(""NSE:""&amp;$A104, ""close"", today()-14, today()-1), , 2))"),"#N/A")</f>
        <v/>
      </c>
      <c r="M104" s="13">
        <f>IFERROR(__xludf.DUMMYFUNCTION("AVERAGE(index(GOOGLEFINANCE(""NSE:""&amp;$A104, ""close"", today()-22, today()-1), , 2))"),"#N/A")</f>
        <v/>
      </c>
      <c r="N104" s="13">
        <f>AG104</f>
        <v/>
      </c>
      <c r="O104" s="13">
        <f>AI104</f>
        <v/>
      </c>
      <c r="P104" s="13">
        <f>W104</f>
        <v/>
      </c>
      <c r="Q104" s="13">
        <f>Y104</f>
        <v/>
      </c>
      <c r="R104" s="15" t="n"/>
      <c r="S104" s="15">
        <f>LEFT(W104,2)&amp;LEFT(Y104,2)</f>
        <v/>
      </c>
      <c r="T104" s="15" t="n"/>
      <c r="U104" s="15">
        <f>IF(K104&lt;L104,1,0)</f>
        <v/>
      </c>
      <c r="V104" s="15">
        <f>IF(H104&gt;I104,1,0)</f>
        <v/>
      </c>
      <c r="W104" s="15">
        <f>IF(SUM(U104:V104)=2,"Anticipatory_Sell","No_Action")</f>
        <v/>
      </c>
      <c r="X104" s="15" t="n"/>
      <c r="Y104" s="15">
        <f>IF(SUM(Z104:AA104)=2,"Confirm_Sell","No_Action")</f>
        <v/>
      </c>
      <c r="Z104" s="15">
        <f>IF(H104&gt;I104,1,0)</f>
        <v/>
      </c>
      <c r="AA104" s="15">
        <f>IF(K104&lt;M104,1,0)</f>
        <v/>
      </c>
      <c r="AB104" s="15" t="n"/>
      <c r="AC104" s="15">
        <f>LEFT(AG104,2)&amp;LEFT(AI104,2)</f>
        <v/>
      </c>
      <c r="AD104" s="15" t="n"/>
      <c r="AE104" s="15">
        <f>IF(K104&gt;L104,1,0)</f>
        <v/>
      </c>
      <c r="AF104" s="16">
        <f>IF(H104&gt;I104,1,0)</f>
        <v/>
      </c>
      <c r="AG104" s="16">
        <f>IF(SUM(AE104:AF104)=2,"Anticipatory_Buy","No_Action")</f>
        <v/>
      </c>
      <c r="AH104" s="15" t="n"/>
      <c r="AI104" s="15">
        <f>IF(SUM(AJ104:AK104)=2,"Confirm_Buy","No_Action")</f>
        <v/>
      </c>
      <c r="AJ104" s="15">
        <f>IF(H104&gt;I104,1,0)</f>
        <v/>
      </c>
      <c r="AK104" s="15">
        <f>IF(K104&gt;M104,1,0)</f>
        <v/>
      </c>
    </row>
    <row r="105" ht="14.5" customHeight="1">
      <c r="A105" s="12" t="inlineStr">
        <is>
          <t>EKC</t>
        </is>
      </c>
      <c r="B105" s="13">
        <f>IFERROR(__xludf.DUMMYFUNCTION("GOOGLEFINANCE(""NSE:""&amp;A105,""PRICE"")"),225.84)</f>
        <v/>
      </c>
      <c r="C105" s="13">
        <f>IFERROR(__xludf.DUMMYFUNCTION("GOOGLEFINANCE(""NSE:""&amp;A105,""PRICEOPEN"")"),225.85)</f>
        <v/>
      </c>
      <c r="D105" s="13">
        <f>IFERROR(__xludf.DUMMYFUNCTION("GOOGLEFINANCE(""NSE:""&amp;A105,""HIGH"")"),231.57)</f>
        <v/>
      </c>
      <c r="E105" s="13">
        <f>IFERROR(__xludf.DUMMYFUNCTION("GOOGLEFINANCE(""NSE:""&amp;A105,""LOW"")"),223.9)</f>
        <v/>
      </c>
      <c r="F105" s="13">
        <f>IFERROR(__xludf.DUMMYFUNCTION("GOOGLEFINANCE(""NSE:""&amp;A105,""closeyest"")"),225.57)</f>
        <v/>
      </c>
      <c r="G105" s="14">
        <f>(B105-C105)/B105</f>
        <v/>
      </c>
      <c r="H105" s="13">
        <f>IFERROR(__xludf.DUMMYFUNCTION("GOOGLEFINANCE(""NSE:""&amp;A105,""VOLUME"")"),2182376)</f>
        <v/>
      </c>
      <c r="I105" s="13">
        <f>IFERROR(__xludf.DUMMYFUNCTION("AVERAGE(index(GOOGLEFINANCE(""NSE:""&amp;$A105, ""volume"", today()-21, today()-1), , 2))"),"#N/A")</f>
        <v/>
      </c>
      <c r="J105" s="14">
        <f>(H105-I105)/I105</f>
        <v/>
      </c>
      <c r="K105" s="13">
        <f>IFERROR(__xludf.DUMMYFUNCTION("AVERAGE(index(GOOGLEFINANCE(""NSE:""&amp;$A105, ""close"", today()-6, today()-1), , 2))"),"#N/A")</f>
        <v/>
      </c>
      <c r="L105" s="13">
        <f>IFERROR(__xludf.DUMMYFUNCTION("AVERAGE(index(GOOGLEFINANCE(""NSE:""&amp;$A105, ""close"", today()-14, today()-1), , 2))"),"#N/A")</f>
        <v/>
      </c>
      <c r="M105" s="13">
        <f>IFERROR(__xludf.DUMMYFUNCTION("AVERAGE(index(GOOGLEFINANCE(""NSE:""&amp;$A105, ""close"", today()-22, today()-1), , 2))"),"#N/A")</f>
        <v/>
      </c>
      <c r="N105" s="13">
        <f>AG105</f>
        <v/>
      </c>
      <c r="O105" s="13">
        <f>AI105</f>
        <v/>
      </c>
      <c r="P105" s="13">
        <f>W105</f>
        <v/>
      </c>
      <c r="Q105" s="13">
        <f>Y105</f>
        <v/>
      </c>
      <c r="R105" s="15" t="n"/>
      <c r="S105" s="15">
        <f>LEFT(W105,2)&amp;LEFT(Y105,2)</f>
        <v/>
      </c>
      <c r="T105" s="15" t="n"/>
      <c r="U105" s="15">
        <f>IF(K105&lt;L105,1,0)</f>
        <v/>
      </c>
      <c r="V105" s="15">
        <f>IF(H105&gt;I105,1,0)</f>
        <v/>
      </c>
      <c r="W105" s="15">
        <f>IF(SUM(U105:V105)=2,"Anticipatory_Sell","No_Action")</f>
        <v/>
      </c>
      <c r="X105" s="15" t="n"/>
      <c r="Y105" s="15">
        <f>IF(SUM(Z105:AA105)=2,"Confirm_Sell","No_Action")</f>
        <v/>
      </c>
      <c r="Z105" s="15">
        <f>IF(H105&gt;I105,1,0)</f>
        <v/>
      </c>
      <c r="AA105" s="15">
        <f>IF(K105&lt;M105,1,0)</f>
        <v/>
      </c>
      <c r="AB105" s="15" t="n"/>
      <c r="AC105" s="15">
        <f>LEFT(AG105,2)&amp;LEFT(AI105,2)</f>
        <v/>
      </c>
      <c r="AD105" s="15" t="n"/>
      <c r="AE105" s="15">
        <f>IF(K105&gt;L105,1,0)</f>
        <v/>
      </c>
      <c r="AF105" s="16">
        <f>IF(H105&gt;I105,1,0)</f>
        <v/>
      </c>
      <c r="AG105" s="16">
        <f>IF(SUM(AE105:AF105)=2,"Anticipatory_Buy","No_Action")</f>
        <v/>
      </c>
      <c r="AH105" s="15" t="n"/>
      <c r="AI105" s="15">
        <f>IF(SUM(AJ105:AK105)=2,"Confirm_Buy","No_Action")</f>
        <v/>
      </c>
      <c r="AJ105" s="15">
        <f>IF(H105&gt;I105,1,0)</f>
        <v/>
      </c>
      <c r="AK105" s="15">
        <f>IF(K105&gt;M105,1,0)</f>
        <v/>
      </c>
    </row>
    <row r="106" ht="14.5" customHeight="1">
      <c r="A106" s="12" t="inlineStr">
        <is>
          <t>FAZE3Q</t>
        </is>
      </c>
      <c r="B106" s="13">
        <f>IFERROR(__xludf.DUMMYFUNCTION("GOOGLEFINANCE(""NSE:""&amp;A106,""PRICE"")"),448)</f>
        <v/>
      </c>
      <c r="C106" s="13">
        <f>IFERROR(__xludf.DUMMYFUNCTION("GOOGLEFINANCE(""NSE:""&amp;A106,""PRICEOPEN"")"),443.85)</f>
        <v/>
      </c>
      <c r="D106" s="13">
        <f>IFERROR(__xludf.DUMMYFUNCTION("GOOGLEFINANCE(""NSE:""&amp;A106,""HIGH"")"),454.5)</f>
        <v/>
      </c>
      <c r="E106" s="13">
        <f>IFERROR(__xludf.DUMMYFUNCTION("GOOGLEFINANCE(""NSE:""&amp;A106,""LOW"")"),435.6)</f>
        <v/>
      </c>
      <c r="F106" s="13">
        <f>IFERROR(__xludf.DUMMYFUNCTION("GOOGLEFINANCE(""NSE:""&amp;A106,""closeyest"")"),437.7)</f>
        <v/>
      </c>
      <c r="G106" s="14">
        <f>(B106-C106)/B106</f>
        <v/>
      </c>
      <c r="H106" s="13">
        <f>IFERROR(__xludf.DUMMYFUNCTION("GOOGLEFINANCE(""NSE:""&amp;A106,""VOLUME"")"),21224)</f>
        <v/>
      </c>
      <c r="I106" s="13">
        <f>IFERROR(__xludf.DUMMYFUNCTION("AVERAGE(index(GOOGLEFINANCE(""NSE:""&amp;$A106, ""volume"", today()-21, today()-1), , 2))"),"#N/A")</f>
        <v/>
      </c>
      <c r="J106" s="14">
        <f>(H106-I106)/I106</f>
        <v/>
      </c>
      <c r="K106" s="13">
        <f>IFERROR(__xludf.DUMMYFUNCTION("AVERAGE(index(GOOGLEFINANCE(""NSE:""&amp;$A106, ""close"", today()-6, today()-1), , 2))"),"#N/A")</f>
        <v/>
      </c>
      <c r="L106" s="13">
        <f>IFERROR(__xludf.DUMMYFUNCTION("AVERAGE(index(GOOGLEFINANCE(""NSE:""&amp;$A106, ""close"", today()-14, today()-1), , 2))"),"#N/A")</f>
        <v/>
      </c>
      <c r="M106" s="13">
        <f>IFERROR(__xludf.DUMMYFUNCTION("AVERAGE(index(GOOGLEFINANCE(""NSE:""&amp;$A106, ""close"", today()-22, today()-1), , 2))"),"#N/A")</f>
        <v/>
      </c>
      <c r="N106" s="13">
        <f>AG106</f>
        <v/>
      </c>
      <c r="O106" s="13">
        <f>AI106</f>
        <v/>
      </c>
      <c r="P106" s="13">
        <f>W106</f>
        <v/>
      </c>
      <c r="Q106" s="13">
        <f>Y106</f>
        <v/>
      </c>
      <c r="R106" s="15" t="n"/>
      <c r="S106" s="15">
        <f>LEFT(W106,2)&amp;LEFT(Y106,2)</f>
        <v/>
      </c>
      <c r="T106" s="15" t="n"/>
      <c r="U106" s="15">
        <f>IF(K106&lt;L106,1,0)</f>
        <v/>
      </c>
      <c r="V106" s="15">
        <f>IF(H106&gt;I106,1,0)</f>
        <v/>
      </c>
      <c r="W106" s="15">
        <f>IF(SUM(U106:V106)=2,"Anticipatory_Sell","No_Action")</f>
        <v/>
      </c>
      <c r="X106" s="15" t="n"/>
      <c r="Y106" s="15">
        <f>IF(SUM(Z106:AA106)=2,"Confirm_Sell","No_Action")</f>
        <v/>
      </c>
      <c r="Z106" s="15">
        <f>IF(H106&gt;I106,1,0)</f>
        <v/>
      </c>
      <c r="AA106" s="15">
        <f>IF(K106&lt;M106,1,0)</f>
        <v/>
      </c>
      <c r="AB106" s="15" t="n"/>
      <c r="AC106" s="15">
        <f>LEFT(AG106,2)&amp;LEFT(AI106,2)</f>
        <v/>
      </c>
      <c r="AD106" s="15" t="n"/>
      <c r="AE106" s="15">
        <f>IF(K106&gt;L106,1,0)</f>
        <v/>
      </c>
      <c r="AF106" s="16">
        <f>IF(H106&gt;I106,1,0)</f>
        <v/>
      </c>
      <c r="AG106" s="16">
        <f>IF(SUM(AE106:AF106)=2,"Anticipatory_Buy","No_Action")</f>
        <v/>
      </c>
      <c r="AH106" s="15" t="n"/>
      <c r="AI106" s="15">
        <f>IF(SUM(AJ106:AK106)=2,"Confirm_Buy","No_Action")</f>
        <v/>
      </c>
      <c r="AJ106" s="15">
        <f>IF(H106&gt;I106,1,0)</f>
        <v/>
      </c>
      <c r="AK106" s="15">
        <f>IF(K106&gt;M106,1,0)</f>
        <v/>
      </c>
    </row>
    <row r="107" ht="14.5" customHeight="1">
      <c r="A107" s="12" t="inlineStr">
        <is>
          <t>FDC</t>
        </is>
      </c>
      <c r="B107" s="13">
        <f>IFERROR(__xludf.DUMMYFUNCTION("GOOGLEFINANCE(""NSE:""&amp;A107,""PRICE"")"),512.5)</f>
        <v/>
      </c>
      <c r="C107" s="13">
        <f>IFERROR(__xludf.DUMMYFUNCTION("GOOGLEFINANCE(""NSE:""&amp;A107,""PRICEOPEN"")"),514)</f>
        <v/>
      </c>
      <c r="D107" s="13">
        <f>IFERROR(__xludf.DUMMYFUNCTION("GOOGLEFINANCE(""NSE:""&amp;A107,""HIGH"")"),519)</f>
        <v/>
      </c>
      <c r="E107" s="13">
        <f>IFERROR(__xludf.DUMMYFUNCTION("GOOGLEFINANCE(""NSE:""&amp;A107,""LOW"")"),508.8)</f>
        <v/>
      </c>
      <c r="F107" s="13">
        <f>IFERROR(__xludf.DUMMYFUNCTION("GOOGLEFINANCE(""NSE:""&amp;A107,""closeyest"")"),514.65)</f>
        <v/>
      </c>
      <c r="G107" s="14">
        <f>(B107-C107)/B107</f>
        <v/>
      </c>
      <c r="H107" s="13">
        <f>IFERROR(__xludf.DUMMYFUNCTION("GOOGLEFINANCE(""NSE:""&amp;A107,""VOLUME"")"),56880)</f>
        <v/>
      </c>
      <c r="I107" s="13">
        <f>IFERROR(__xludf.DUMMYFUNCTION("AVERAGE(index(GOOGLEFINANCE(""NSE:""&amp;$A107, ""volume"", today()-21, today()-1), , 2))"),"#N/A")</f>
        <v/>
      </c>
      <c r="J107" s="14">
        <f>(H107-I107)/I107</f>
        <v/>
      </c>
      <c r="K107" s="13">
        <f>IFERROR(__xludf.DUMMYFUNCTION("AVERAGE(index(GOOGLEFINANCE(""NSE:""&amp;$A107, ""close"", today()-6, today()-1), , 2))"),"#N/A")</f>
        <v/>
      </c>
      <c r="L107" s="13">
        <f>IFERROR(__xludf.DUMMYFUNCTION("AVERAGE(index(GOOGLEFINANCE(""NSE:""&amp;$A107, ""close"", today()-14, today()-1), , 2))"),"#N/A")</f>
        <v/>
      </c>
      <c r="M107" s="13">
        <f>IFERROR(__xludf.DUMMYFUNCTION("AVERAGE(index(GOOGLEFINANCE(""NSE:""&amp;$A107, ""close"", today()-22, today()-1), , 2))"),"#N/A")</f>
        <v/>
      </c>
      <c r="N107" s="13">
        <f>AG107</f>
        <v/>
      </c>
      <c r="O107" s="13">
        <f>AI107</f>
        <v/>
      </c>
      <c r="P107" s="13">
        <f>W107</f>
        <v/>
      </c>
      <c r="Q107" s="13">
        <f>Y107</f>
        <v/>
      </c>
      <c r="R107" s="15" t="n"/>
      <c r="S107" s="15">
        <f>LEFT(W107,2)&amp;LEFT(Y107,2)</f>
        <v/>
      </c>
      <c r="T107" s="15" t="n"/>
      <c r="U107" s="15">
        <f>IF(K107&lt;L107,1,0)</f>
        <v/>
      </c>
      <c r="V107" s="15">
        <f>IF(H107&gt;I107,1,0)</f>
        <v/>
      </c>
      <c r="W107" s="15">
        <f>IF(SUM(U107:V107)=2,"Anticipatory_Sell","No_Action")</f>
        <v/>
      </c>
      <c r="X107" s="15" t="n"/>
      <c r="Y107" s="15">
        <f>IF(SUM(Z107:AA107)=2,"Confirm_Sell","No_Action")</f>
        <v/>
      </c>
      <c r="Z107" s="15">
        <f>IF(H107&gt;I107,1,0)</f>
        <v/>
      </c>
      <c r="AA107" s="15">
        <f>IF(K107&lt;M107,1,0)</f>
        <v/>
      </c>
      <c r="AB107" s="15" t="n"/>
      <c r="AC107" s="15">
        <f>LEFT(AG107,2)&amp;LEFT(AI107,2)</f>
        <v/>
      </c>
      <c r="AD107" s="15" t="n"/>
      <c r="AE107" s="15">
        <f>IF(K107&gt;L107,1,0)</f>
        <v/>
      </c>
      <c r="AF107" s="16">
        <f>IF(H107&gt;I107,1,0)</f>
        <v/>
      </c>
      <c r="AG107" s="16">
        <f>IF(SUM(AE107:AF107)=2,"Anticipatory_Buy","No_Action")</f>
        <v/>
      </c>
      <c r="AH107" s="15" t="n"/>
      <c r="AI107" s="15">
        <f>IF(SUM(AJ107:AK107)=2,"Confirm_Buy","No_Action")</f>
        <v/>
      </c>
      <c r="AJ107" s="15">
        <f>IF(H107&gt;I107,1,0)</f>
        <v/>
      </c>
      <c r="AK107" s="15">
        <f>IF(K107&gt;M107,1,0)</f>
        <v/>
      </c>
    </row>
    <row r="108" ht="14.5" customHeight="1">
      <c r="A108" s="12" t="inlineStr">
        <is>
          <t>FEDERALBNK</t>
        </is>
      </c>
      <c r="B108" s="13">
        <f>IFERROR(__xludf.DUMMYFUNCTION("GOOGLEFINANCE(""NSE:""&amp;A108,""PRICE"")"),213.89)</f>
        <v/>
      </c>
      <c r="C108" s="13">
        <f>IFERROR(__xludf.DUMMYFUNCTION("GOOGLEFINANCE(""NSE:""&amp;A108,""PRICEOPEN"")"),214.05)</f>
        <v/>
      </c>
      <c r="D108" s="13">
        <f>IFERROR(__xludf.DUMMYFUNCTION("GOOGLEFINANCE(""NSE:""&amp;A108,""HIGH"")"),215.17)</f>
        <v/>
      </c>
      <c r="E108" s="13">
        <f>IFERROR(__xludf.DUMMYFUNCTION("GOOGLEFINANCE(""NSE:""&amp;A108,""LOW"")"),212.31)</f>
        <v/>
      </c>
      <c r="F108" s="13">
        <f>IFERROR(__xludf.DUMMYFUNCTION("GOOGLEFINANCE(""NSE:""&amp;A108,""closeyest"")"),213.4)</f>
        <v/>
      </c>
      <c r="G108" s="14">
        <f>(B108-C108)/B108</f>
        <v/>
      </c>
      <c r="H108" s="13">
        <f>IFERROR(__xludf.DUMMYFUNCTION("GOOGLEFINANCE(""NSE:""&amp;A108,""VOLUME"")"),4922985)</f>
        <v/>
      </c>
      <c r="I108" s="13">
        <f>IFERROR(__xludf.DUMMYFUNCTION("AVERAGE(index(GOOGLEFINANCE(""NSE:""&amp;$A108, ""volume"", today()-21, today()-1), , 2))"),"#N/A")</f>
        <v/>
      </c>
      <c r="J108" s="14">
        <f>(H108-I108)/I108</f>
        <v/>
      </c>
      <c r="K108" s="13">
        <f>IFERROR(__xludf.DUMMYFUNCTION("AVERAGE(index(GOOGLEFINANCE(""NSE:""&amp;$A108, ""close"", today()-6, today()-1), , 2))"),"#N/A")</f>
        <v/>
      </c>
      <c r="L108" s="13">
        <f>IFERROR(__xludf.DUMMYFUNCTION("AVERAGE(index(GOOGLEFINANCE(""NSE:""&amp;$A108, ""close"", today()-14, today()-1), , 2))"),"#N/A")</f>
        <v/>
      </c>
      <c r="M108" s="13">
        <f>IFERROR(__xludf.DUMMYFUNCTION("AVERAGE(index(GOOGLEFINANCE(""NSE:""&amp;$A108, ""close"", today()-22, today()-1), , 2))"),"#N/A")</f>
        <v/>
      </c>
      <c r="N108" s="13">
        <f>AG108</f>
        <v/>
      </c>
      <c r="O108" s="13">
        <f>AI108</f>
        <v/>
      </c>
      <c r="P108" s="13">
        <f>W108</f>
        <v/>
      </c>
      <c r="Q108" s="13">
        <f>Y108</f>
        <v/>
      </c>
      <c r="R108" s="15" t="n"/>
      <c r="S108" s="15">
        <f>LEFT(W108,2)&amp;LEFT(Y108,2)</f>
        <v/>
      </c>
      <c r="T108" s="15" t="n"/>
      <c r="U108" s="15">
        <f>IF(K108&lt;L108,1,0)</f>
        <v/>
      </c>
      <c r="V108" s="15">
        <f>IF(H108&gt;I108,1,0)</f>
        <v/>
      </c>
      <c r="W108" s="15">
        <f>IF(SUM(U108:V108)=2,"Anticipatory_Sell","No_Action")</f>
        <v/>
      </c>
      <c r="X108" s="15" t="n"/>
      <c r="Y108" s="15">
        <f>IF(SUM(Z108:AA108)=2,"Confirm_Sell","No_Action")</f>
        <v/>
      </c>
      <c r="Z108" s="15">
        <f>IF(H108&gt;I108,1,0)</f>
        <v/>
      </c>
      <c r="AA108" s="15">
        <f>IF(K108&lt;M108,1,0)</f>
        <v/>
      </c>
      <c r="AB108" s="15" t="n"/>
      <c r="AC108" s="15">
        <f>LEFT(AG108,2)&amp;LEFT(AI108,2)</f>
        <v/>
      </c>
      <c r="AD108" s="15" t="n"/>
      <c r="AE108" s="15">
        <f>IF(K108&gt;L108,1,0)</f>
        <v/>
      </c>
      <c r="AF108" s="16">
        <f>IF(H108&gt;I108,1,0)</f>
        <v/>
      </c>
      <c r="AG108" s="16">
        <f>IF(SUM(AE108:AF108)=2,"Anticipatory_Buy","No_Action")</f>
        <v/>
      </c>
      <c r="AH108" s="15" t="n"/>
      <c r="AI108" s="15">
        <f>IF(SUM(AJ108:AK108)=2,"Confirm_Buy","No_Action")</f>
        <v/>
      </c>
      <c r="AJ108" s="15">
        <f>IF(H108&gt;I108,1,0)</f>
        <v/>
      </c>
      <c r="AK108" s="15">
        <f>IF(K108&gt;M108,1,0)</f>
        <v/>
      </c>
    </row>
    <row r="109" ht="14.5" customHeight="1">
      <c r="A109" s="12" t="inlineStr">
        <is>
          <t>FINEORG</t>
        </is>
      </c>
      <c r="B109" s="13">
        <f>IFERROR(__xludf.DUMMYFUNCTION("GOOGLEFINANCE(""NSE:""&amp;A109,""PRICE"")"),5098.05)</f>
        <v/>
      </c>
      <c r="C109" s="13">
        <f>IFERROR(__xludf.DUMMYFUNCTION("GOOGLEFINANCE(""NSE:""&amp;A109,""PRICEOPEN"")"),5105.8)</f>
        <v/>
      </c>
      <c r="D109" s="13">
        <f>IFERROR(__xludf.DUMMYFUNCTION("GOOGLEFINANCE(""NSE:""&amp;A109,""HIGH"")"),5150)</f>
        <v/>
      </c>
      <c r="E109" s="13">
        <f>IFERROR(__xludf.DUMMYFUNCTION("GOOGLEFINANCE(""NSE:""&amp;A109,""LOW"")"),5060.75)</f>
        <v/>
      </c>
      <c r="F109" s="13">
        <f>IFERROR(__xludf.DUMMYFUNCTION("GOOGLEFINANCE(""NSE:""&amp;A109,""closeyest"")"),5115.8)</f>
        <v/>
      </c>
      <c r="G109" s="14">
        <f>(B109-C109)/B109</f>
        <v/>
      </c>
      <c r="H109" s="13">
        <f>IFERROR(__xludf.DUMMYFUNCTION("GOOGLEFINANCE(""NSE:""&amp;A109,""VOLUME"")"),9280)</f>
        <v/>
      </c>
      <c r="I109" s="13">
        <f>IFERROR(__xludf.DUMMYFUNCTION("AVERAGE(index(GOOGLEFINANCE(""NSE:""&amp;$A109, ""volume"", today()-21, today()-1), , 2))"),"#N/A")</f>
        <v/>
      </c>
      <c r="J109" s="14">
        <f>(H109-I109)/I109</f>
        <v/>
      </c>
      <c r="K109" s="13">
        <f>IFERROR(__xludf.DUMMYFUNCTION("AVERAGE(index(GOOGLEFINANCE(""NSE:""&amp;$A109, ""close"", today()-6, today()-1), , 2))"),"#N/A")</f>
        <v/>
      </c>
      <c r="L109" s="13">
        <f>IFERROR(__xludf.DUMMYFUNCTION("AVERAGE(index(GOOGLEFINANCE(""NSE:""&amp;$A109, ""close"", today()-14, today()-1), , 2))"),"#N/A")</f>
        <v/>
      </c>
      <c r="M109" s="13">
        <f>IFERROR(__xludf.DUMMYFUNCTION("AVERAGE(index(GOOGLEFINANCE(""NSE:""&amp;$A109, ""close"", today()-22, today()-1), , 2))"),"#N/A")</f>
        <v/>
      </c>
      <c r="N109" s="13">
        <f>AG109</f>
        <v/>
      </c>
      <c r="O109" s="13">
        <f>AI109</f>
        <v/>
      </c>
      <c r="P109" s="13">
        <f>W109</f>
        <v/>
      </c>
      <c r="Q109" s="13">
        <f>Y109</f>
        <v/>
      </c>
      <c r="R109" s="15" t="n"/>
      <c r="S109" s="15">
        <f>LEFT(W109,2)&amp;LEFT(Y109,2)</f>
        <v/>
      </c>
      <c r="T109" s="15" t="n"/>
      <c r="U109" s="15">
        <f>IF(K109&lt;L109,1,0)</f>
        <v/>
      </c>
      <c r="V109" s="15">
        <f>IF(H109&gt;I109,1,0)</f>
        <v/>
      </c>
      <c r="W109" s="15">
        <f>IF(SUM(U109:V109)=2,"Anticipatory_Sell","No_Action")</f>
        <v/>
      </c>
      <c r="X109" s="15" t="n"/>
      <c r="Y109" s="15">
        <f>IF(SUM(Z109:AA109)=2,"Confirm_Sell","No_Action")</f>
        <v/>
      </c>
      <c r="Z109" s="15">
        <f>IF(H109&gt;I109,1,0)</f>
        <v/>
      </c>
      <c r="AA109" s="15">
        <f>IF(K109&lt;M109,1,0)</f>
        <v/>
      </c>
      <c r="AB109" s="15" t="n"/>
      <c r="AC109" s="15">
        <f>LEFT(AG109,2)&amp;LEFT(AI109,2)</f>
        <v/>
      </c>
      <c r="AD109" s="15" t="n"/>
      <c r="AE109" s="15">
        <f>IF(K109&gt;L109,1,0)</f>
        <v/>
      </c>
      <c r="AF109" s="16">
        <f>IF(H109&gt;I109,1,0)</f>
        <v/>
      </c>
      <c r="AG109" s="16">
        <f>IF(SUM(AE109:AF109)=2,"Anticipatory_Buy","No_Action")</f>
        <v/>
      </c>
      <c r="AH109" s="15" t="n"/>
      <c r="AI109" s="15">
        <f>IF(SUM(AJ109:AK109)=2,"Confirm_Buy","No_Action")</f>
        <v/>
      </c>
      <c r="AJ109" s="15">
        <f>IF(H109&gt;I109,1,0)</f>
        <v/>
      </c>
      <c r="AK109" s="15">
        <f>IF(K109&gt;M109,1,0)</f>
        <v/>
      </c>
    </row>
    <row r="110" ht="14.5" customHeight="1">
      <c r="A110" s="12" t="inlineStr">
        <is>
          <t>FCL</t>
        </is>
      </c>
      <c r="B110" s="13">
        <f>IFERROR(__xludf.DUMMYFUNCTION("GOOGLEFINANCE(""NSE:""&amp;A110,""PRICE"")"),351.6)</f>
        <v/>
      </c>
      <c r="C110" s="13">
        <f>IFERROR(__xludf.DUMMYFUNCTION("GOOGLEFINANCE(""NSE:""&amp;A110,""PRICEOPEN"")"),360)</f>
        <v/>
      </c>
      <c r="D110" s="13">
        <f>IFERROR(__xludf.DUMMYFUNCTION("GOOGLEFINANCE(""NSE:""&amp;A110,""HIGH"")"),361.9)</f>
        <v/>
      </c>
      <c r="E110" s="13">
        <f>IFERROR(__xludf.DUMMYFUNCTION("GOOGLEFINANCE(""NSE:""&amp;A110,""LOW"")"),343.95)</f>
        <v/>
      </c>
      <c r="F110" s="13">
        <f>IFERROR(__xludf.DUMMYFUNCTION("GOOGLEFINANCE(""NSE:""&amp;A110,""closeyest"")"),356.35)</f>
        <v/>
      </c>
      <c r="G110" s="14">
        <f>(B110-C110)/B110</f>
        <v/>
      </c>
      <c r="H110" s="13">
        <f>IFERROR(__xludf.DUMMYFUNCTION("GOOGLEFINANCE(""NSE:""&amp;A110,""VOLUME"")"),191658)</f>
        <v/>
      </c>
      <c r="I110" s="13">
        <f>IFERROR(__xludf.DUMMYFUNCTION("AVERAGE(index(GOOGLEFINANCE(""NSE:""&amp;$A110, ""volume"", today()-21, today()-1), , 2))"),"#N/A")</f>
        <v/>
      </c>
      <c r="J110" s="14">
        <f>(H110-I110)/I110</f>
        <v/>
      </c>
      <c r="K110" s="13">
        <f>IFERROR(__xludf.DUMMYFUNCTION("AVERAGE(index(GOOGLEFINANCE(""NSE:""&amp;$A110, ""close"", today()-6, today()-1), , 2))"),"#N/A")</f>
        <v/>
      </c>
      <c r="L110" s="13">
        <f>IFERROR(__xludf.DUMMYFUNCTION("AVERAGE(index(GOOGLEFINANCE(""NSE:""&amp;$A110, ""close"", today()-14, today()-1), , 2))"),"#N/A")</f>
        <v/>
      </c>
      <c r="M110" s="13">
        <f>IFERROR(__xludf.DUMMYFUNCTION("AVERAGE(index(GOOGLEFINANCE(""NSE:""&amp;$A110, ""close"", today()-22, today()-1), , 2))"),"#N/A")</f>
        <v/>
      </c>
      <c r="N110" s="13">
        <f>AG110</f>
        <v/>
      </c>
      <c r="O110" s="13">
        <f>AI110</f>
        <v/>
      </c>
      <c r="P110" s="13">
        <f>W110</f>
        <v/>
      </c>
      <c r="Q110" s="13">
        <f>Y110</f>
        <v/>
      </c>
      <c r="R110" s="15" t="n"/>
      <c r="S110" s="15">
        <f>LEFT(W110,2)&amp;LEFT(Y110,2)</f>
        <v/>
      </c>
      <c r="T110" s="15" t="n"/>
      <c r="U110" s="15">
        <f>IF(K110&lt;L110,1,0)</f>
        <v/>
      </c>
      <c r="V110" s="15">
        <f>IF(H110&gt;I110,1,0)</f>
        <v/>
      </c>
      <c r="W110" s="15">
        <f>IF(SUM(U110:V110)=2,"Anticipatory_Sell","No_Action")</f>
        <v/>
      </c>
      <c r="X110" s="15" t="n"/>
      <c r="Y110" s="15">
        <f>IF(SUM(Z110:AA110)=2,"Confirm_Sell","No_Action")</f>
        <v/>
      </c>
      <c r="Z110" s="15">
        <f>IF(H110&gt;I110,1,0)</f>
        <v/>
      </c>
      <c r="AA110" s="15">
        <f>IF(K110&lt;M110,1,0)</f>
        <v/>
      </c>
      <c r="AB110" s="15" t="n"/>
      <c r="AC110" s="15">
        <f>LEFT(AG110,2)&amp;LEFT(AI110,2)</f>
        <v/>
      </c>
      <c r="AD110" s="15" t="n"/>
      <c r="AE110" s="15">
        <f>IF(K110&gt;L110,1,0)</f>
        <v/>
      </c>
      <c r="AF110" s="16">
        <f>IF(H110&gt;I110,1,0)</f>
        <v/>
      </c>
      <c r="AG110" s="16">
        <f>IF(SUM(AE110:AF110)=2,"Anticipatory_Buy","No_Action")</f>
        <v/>
      </c>
      <c r="AH110" s="15" t="n"/>
      <c r="AI110" s="15">
        <f>IF(SUM(AJ110:AK110)=2,"Confirm_Buy","No_Action")</f>
        <v/>
      </c>
      <c r="AJ110" s="15">
        <f>IF(H110&gt;I110,1,0)</f>
        <v/>
      </c>
      <c r="AK110" s="15">
        <f>IF(K110&gt;M110,1,0)</f>
        <v/>
      </c>
    </row>
    <row r="111" ht="14.5" customHeight="1">
      <c r="A111" s="12" t="inlineStr">
        <is>
          <t>FINCABLES</t>
        </is>
      </c>
      <c r="B111" s="13">
        <f>IFERROR(__xludf.DUMMYFUNCTION("GOOGLEFINANCE(""NSE:""&amp;A111,""PRICE"")"),1321.9)</f>
        <v/>
      </c>
      <c r="C111" s="13">
        <f>IFERROR(__xludf.DUMMYFUNCTION("GOOGLEFINANCE(""NSE:""&amp;A111,""PRICEOPEN"")"),1330)</f>
        <v/>
      </c>
      <c r="D111" s="13">
        <f>IFERROR(__xludf.DUMMYFUNCTION("GOOGLEFINANCE(""NSE:""&amp;A111,""HIGH"")"),1330.75)</f>
        <v/>
      </c>
      <c r="E111" s="13">
        <f>IFERROR(__xludf.DUMMYFUNCTION("GOOGLEFINANCE(""NSE:""&amp;A111,""LOW"")"),1308.2)</f>
        <v/>
      </c>
      <c r="F111" s="13">
        <f>IFERROR(__xludf.DUMMYFUNCTION("GOOGLEFINANCE(""NSE:""&amp;A111,""closeyest"")"),1330.95)</f>
        <v/>
      </c>
      <c r="G111" s="14">
        <f>(B111-C111)/B111</f>
        <v/>
      </c>
      <c r="H111" s="13">
        <f>IFERROR(__xludf.DUMMYFUNCTION("GOOGLEFINANCE(""NSE:""&amp;A111,""VOLUME"")"),212996)</f>
        <v/>
      </c>
      <c r="I111" s="13">
        <f>IFERROR(__xludf.DUMMYFUNCTION("AVERAGE(index(GOOGLEFINANCE(""NSE:""&amp;$A111, ""volume"", today()-21, today()-1), , 2))"),"#N/A")</f>
        <v/>
      </c>
      <c r="J111" s="14">
        <f>(H111-I111)/I111</f>
        <v/>
      </c>
      <c r="K111" s="13">
        <f>IFERROR(__xludf.DUMMYFUNCTION("AVERAGE(index(GOOGLEFINANCE(""NSE:""&amp;$A111, ""close"", today()-6, today()-1), , 2))"),"#N/A")</f>
        <v/>
      </c>
      <c r="L111" s="13">
        <f>IFERROR(__xludf.DUMMYFUNCTION("AVERAGE(index(GOOGLEFINANCE(""NSE:""&amp;$A111, ""close"", today()-14, today()-1), , 2))"),"#N/A")</f>
        <v/>
      </c>
      <c r="M111" s="13">
        <f>IFERROR(__xludf.DUMMYFUNCTION("AVERAGE(index(GOOGLEFINANCE(""NSE:""&amp;$A111, ""close"", today()-22, today()-1), , 2))"),"#N/A")</f>
        <v/>
      </c>
      <c r="N111" s="13">
        <f>AG111</f>
        <v/>
      </c>
      <c r="O111" s="13">
        <f>AI111</f>
        <v/>
      </c>
      <c r="P111" s="13">
        <f>W111</f>
        <v/>
      </c>
      <c r="Q111" s="13">
        <f>Y111</f>
        <v/>
      </c>
      <c r="R111" s="15" t="n"/>
      <c r="S111" s="15">
        <f>LEFT(W111,2)&amp;LEFT(Y111,2)</f>
        <v/>
      </c>
      <c r="T111" s="15" t="n"/>
      <c r="U111" s="15">
        <f>IF(K111&lt;L111,1,0)</f>
        <v/>
      </c>
      <c r="V111" s="15">
        <f>IF(H111&gt;I111,1,0)</f>
        <v/>
      </c>
      <c r="W111" s="15">
        <f>IF(SUM(U111:V111)=2,"Anticipatory_Sell","No_Action")</f>
        <v/>
      </c>
      <c r="X111" s="15" t="n"/>
      <c r="Y111" s="15">
        <f>IF(SUM(Z111:AA111)=2,"Confirm_Sell","No_Action")</f>
        <v/>
      </c>
      <c r="Z111" s="15">
        <f>IF(H111&gt;I111,1,0)</f>
        <v/>
      </c>
      <c r="AA111" s="15">
        <f>IF(K111&lt;M111,1,0)</f>
        <v/>
      </c>
      <c r="AB111" s="15" t="n"/>
      <c r="AC111" s="15">
        <f>LEFT(AG111,2)&amp;LEFT(AI111,2)</f>
        <v/>
      </c>
      <c r="AD111" s="15" t="n"/>
      <c r="AE111" s="15">
        <f>IF(K111&gt;L111,1,0)</f>
        <v/>
      </c>
      <c r="AF111" s="16">
        <f>IF(H111&gt;I111,1,0)</f>
        <v/>
      </c>
      <c r="AG111" s="16">
        <f>IF(SUM(AE111:AF111)=2,"Anticipatory_Buy","No_Action")</f>
        <v/>
      </c>
      <c r="AH111" s="15" t="n"/>
      <c r="AI111" s="15">
        <f>IF(SUM(AJ111:AK111)=2,"Confirm_Buy","No_Action")</f>
        <v/>
      </c>
      <c r="AJ111" s="15">
        <f>IF(H111&gt;I111,1,0)</f>
        <v/>
      </c>
      <c r="AK111" s="15">
        <f>IF(K111&gt;M111,1,0)</f>
        <v/>
      </c>
    </row>
    <row r="112" ht="14.5" customHeight="1">
      <c r="A112" s="12" t="inlineStr">
        <is>
          <t>FSL</t>
        </is>
      </c>
      <c r="B112" s="13">
        <f>IFERROR(__xludf.DUMMYFUNCTION("GOOGLEFINANCE(""NSE:""&amp;A112,""PRICE"")"),375.9)</f>
        <v/>
      </c>
      <c r="C112" s="13">
        <f>IFERROR(__xludf.DUMMYFUNCTION("GOOGLEFINANCE(""NSE:""&amp;A112,""PRICEOPEN"")"),376)</f>
        <v/>
      </c>
      <c r="D112" s="13">
        <f>IFERROR(__xludf.DUMMYFUNCTION("GOOGLEFINANCE(""NSE:""&amp;A112,""HIGH"")"),377.45)</f>
        <v/>
      </c>
      <c r="E112" s="13">
        <f>IFERROR(__xludf.DUMMYFUNCTION("GOOGLEFINANCE(""NSE:""&amp;A112,""LOW"")"),370.1)</f>
        <v/>
      </c>
      <c r="F112" s="13">
        <f>IFERROR(__xludf.DUMMYFUNCTION("GOOGLEFINANCE(""NSE:""&amp;A112,""closeyest"")"),375.8)</f>
        <v/>
      </c>
      <c r="G112" s="14">
        <f>(B112-C112)/B112</f>
        <v/>
      </c>
      <c r="H112" s="13">
        <f>IFERROR(__xludf.DUMMYFUNCTION("GOOGLEFINANCE(""NSE:""&amp;A112,""VOLUME"")"),1732286)</f>
        <v/>
      </c>
      <c r="I112" s="13">
        <f>IFERROR(__xludf.DUMMYFUNCTION("AVERAGE(index(GOOGLEFINANCE(""NSE:""&amp;$A112, ""volume"", today()-21, today()-1), , 2))"),"#N/A")</f>
        <v/>
      </c>
      <c r="J112" s="14">
        <f>(H112-I112)/I112</f>
        <v/>
      </c>
      <c r="K112" s="13">
        <f>IFERROR(__xludf.DUMMYFUNCTION("AVERAGE(index(GOOGLEFINANCE(""NSE:""&amp;$A112, ""close"", today()-6, today()-1), , 2))"),"#N/A")</f>
        <v/>
      </c>
      <c r="L112" s="13">
        <f>IFERROR(__xludf.DUMMYFUNCTION("AVERAGE(index(GOOGLEFINANCE(""NSE:""&amp;$A112, ""close"", today()-14, today()-1), , 2))"),"#N/A")</f>
        <v/>
      </c>
      <c r="M112" s="13">
        <f>IFERROR(__xludf.DUMMYFUNCTION("AVERAGE(index(GOOGLEFINANCE(""NSE:""&amp;$A112, ""close"", today()-22, today()-1), , 2))"),"#N/A")</f>
        <v/>
      </c>
      <c r="N112" s="13">
        <f>AG112</f>
        <v/>
      </c>
      <c r="O112" s="13">
        <f>AI112</f>
        <v/>
      </c>
      <c r="P112" s="13">
        <f>W112</f>
        <v/>
      </c>
      <c r="Q112" s="13">
        <f>Y112</f>
        <v/>
      </c>
      <c r="R112" s="15" t="n"/>
      <c r="S112" s="15">
        <f>LEFT(W112,2)&amp;LEFT(Y112,2)</f>
        <v/>
      </c>
      <c r="T112" s="15" t="n"/>
      <c r="U112" s="15">
        <f>IF(K112&lt;L112,1,0)</f>
        <v/>
      </c>
      <c r="V112" s="15">
        <f>IF(H112&gt;I112,1,0)</f>
        <v/>
      </c>
      <c r="W112" s="15">
        <f>IF(SUM(U112:V112)=2,"Anticipatory_Sell","No_Action")</f>
        <v/>
      </c>
      <c r="X112" s="15" t="n"/>
      <c r="Y112" s="15">
        <f>IF(SUM(Z112:AA112)=2,"Confirm_Sell","No_Action")</f>
        <v/>
      </c>
      <c r="Z112" s="15">
        <f>IF(H112&gt;I112,1,0)</f>
        <v/>
      </c>
      <c r="AA112" s="15">
        <f>IF(K112&lt;M112,1,0)</f>
        <v/>
      </c>
      <c r="AB112" s="15" t="n"/>
      <c r="AC112" s="15">
        <f>LEFT(AG112,2)&amp;LEFT(AI112,2)</f>
        <v/>
      </c>
      <c r="AD112" s="15" t="n"/>
      <c r="AE112" s="15">
        <f>IF(K112&gt;L112,1,0)</f>
        <v/>
      </c>
      <c r="AF112" s="16">
        <f>IF(H112&gt;I112,1,0)</f>
        <v/>
      </c>
      <c r="AG112" s="16">
        <f>IF(SUM(AE112:AF112)=2,"Anticipatory_Buy","No_Action")</f>
        <v/>
      </c>
      <c r="AH112" s="15" t="n"/>
      <c r="AI112" s="15">
        <f>IF(SUM(AJ112:AK112)=2,"Confirm_Buy","No_Action")</f>
        <v/>
      </c>
      <c r="AJ112" s="15">
        <f>IF(H112&gt;I112,1,0)</f>
        <v/>
      </c>
      <c r="AK112" s="15">
        <f>IF(K112&gt;M112,1,0)</f>
        <v/>
      </c>
    </row>
    <row r="113" ht="14.5" customHeight="1">
      <c r="A113" s="12" t="inlineStr">
        <is>
          <t>GNFC</t>
        </is>
      </c>
      <c r="B113" s="13">
        <f>IFERROR(__xludf.DUMMYFUNCTION("GOOGLEFINANCE(""NSE:""&amp;A113,""PRICE"")"),623.45)</f>
        <v/>
      </c>
      <c r="C113" s="13">
        <f>IFERROR(__xludf.DUMMYFUNCTION("GOOGLEFINANCE(""NSE:""&amp;A113,""PRICEOPEN"")"),634)</f>
        <v/>
      </c>
      <c r="D113" s="13">
        <f>IFERROR(__xludf.DUMMYFUNCTION("GOOGLEFINANCE(""NSE:""&amp;A113,""HIGH"")"),639)</f>
        <v/>
      </c>
      <c r="E113" s="13">
        <f>IFERROR(__xludf.DUMMYFUNCTION("GOOGLEFINANCE(""NSE:""&amp;A113,""LOW"")"),620.5)</f>
        <v/>
      </c>
      <c r="F113" s="13">
        <f>IFERROR(__xludf.DUMMYFUNCTION("GOOGLEFINANCE(""NSE:""&amp;A113,""closeyest"")"),636.7)</f>
        <v/>
      </c>
      <c r="G113" s="14">
        <f>(B113-C113)/B113</f>
        <v/>
      </c>
      <c r="H113" s="13">
        <f>IFERROR(__xludf.DUMMYFUNCTION("GOOGLEFINANCE(""NSE:""&amp;A113,""VOLUME"")"),442006)</f>
        <v/>
      </c>
      <c r="I113" s="13">
        <f>IFERROR(__xludf.DUMMYFUNCTION("AVERAGE(index(GOOGLEFINANCE(""NSE:""&amp;$A113, ""volume"", today()-21, today()-1), , 2))"),"#N/A")</f>
        <v/>
      </c>
      <c r="J113" s="14">
        <f>(H113-I113)/I113</f>
        <v/>
      </c>
      <c r="K113" s="13">
        <f>IFERROR(__xludf.DUMMYFUNCTION("AVERAGE(index(GOOGLEFINANCE(""NSE:""&amp;$A113, ""close"", today()-6, today()-1), , 2))"),"#N/A")</f>
        <v/>
      </c>
      <c r="L113" s="13">
        <f>IFERROR(__xludf.DUMMYFUNCTION("AVERAGE(index(GOOGLEFINANCE(""NSE:""&amp;$A113, ""close"", today()-14, today()-1), , 2))"),"#N/A")</f>
        <v/>
      </c>
      <c r="M113" s="13">
        <f>IFERROR(__xludf.DUMMYFUNCTION("AVERAGE(index(GOOGLEFINANCE(""NSE:""&amp;$A113, ""close"", today()-22, today()-1), , 2))"),"#N/A")</f>
        <v/>
      </c>
      <c r="N113" s="13">
        <f>AG113</f>
        <v/>
      </c>
      <c r="O113" s="13">
        <f>AI113</f>
        <v/>
      </c>
      <c r="P113" s="13">
        <f>W113</f>
        <v/>
      </c>
      <c r="Q113" s="13">
        <f>Y113</f>
        <v/>
      </c>
      <c r="R113" s="15" t="n"/>
      <c r="S113" s="15">
        <f>LEFT(W113,2)&amp;LEFT(Y113,2)</f>
        <v/>
      </c>
      <c r="T113" s="15" t="n"/>
      <c r="U113" s="15">
        <f>IF(K113&lt;L113,1,0)</f>
        <v/>
      </c>
      <c r="V113" s="15">
        <f>IF(H113&gt;I113,1,0)</f>
        <v/>
      </c>
      <c r="W113" s="15">
        <f>IF(SUM(U113:V113)=2,"Anticipatory_Sell","No_Action")</f>
        <v/>
      </c>
      <c r="X113" s="15" t="n"/>
      <c r="Y113" s="15">
        <f>IF(SUM(Z113:AA113)=2,"Confirm_Sell","No_Action")</f>
        <v/>
      </c>
      <c r="Z113" s="15">
        <f>IF(H113&gt;I113,1,0)</f>
        <v/>
      </c>
      <c r="AA113" s="15">
        <f>IF(K113&lt;M113,1,0)</f>
        <v/>
      </c>
      <c r="AB113" s="15" t="n"/>
      <c r="AC113" s="15">
        <f>LEFT(AG113,2)&amp;LEFT(AI113,2)</f>
        <v/>
      </c>
      <c r="AD113" s="15" t="n"/>
      <c r="AE113" s="15">
        <f>IF(K113&gt;L113,1,0)</f>
        <v/>
      </c>
      <c r="AF113" s="16">
        <f>IF(H113&gt;I113,1,0)</f>
        <v/>
      </c>
      <c r="AG113" s="16">
        <f>IF(SUM(AE113:AF113)=2,"Anticipatory_Buy","No_Action")</f>
        <v/>
      </c>
      <c r="AH113" s="15" t="n"/>
      <c r="AI113" s="15">
        <f>IF(SUM(AJ113:AK113)=2,"Confirm_Buy","No_Action")</f>
        <v/>
      </c>
      <c r="AJ113" s="15">
        <f>IF(H113&gt;I113,1,0)</f>
        <v/>
      </c>
      <c r="AK113" s="15">
        <f>IF(K113&gt;M113,1,0)</f>
        <v/>
      </c>
    </row>
    <row r="114" ht="14.5" customHeight="1">
      <c r="A114" s="12" t="inlineStr">
        <is>
          <t>GRINFRA</t>
        </is>
      </c>
      <c r="B114" s="13">
        <f>IFERROR(__xludf.DUMMYFUNCTION("GOOGLEFINANCE(""NSE:""&amp;A114,""PRICE"")"),1630.55)</f>
        <v/>
      </c>
      <c r="C114" s="13">
        <f>IFERROR(__xludf.DUMMYFUNCTION("GOOGLEFINANCE(""NSE:""&amp;A114,""PRICEOPEN"")"),1660)</f>
        <v/>
      </c>
      <c r="D114" s="13">
        <f>IFERROR(__xludf.DUMMYFUNCTION("GOOGLEFINANCE(""NSE:""&amp;A114,""HIGH"")"),1682)</f>
        <v/>
      </c>
      <c r="E114" s="13">
        <f>IFERROR(__xludf.DUMMYFUNCTION("GOOGLEFINANCE(""NSE:""&amp;A114,""LOW"")"),1630.55)</f>
        <v/>
      </c>
      <c r="F114" s="13">
        <f>IFERROR(__xludf.DUMMYFUNCTION("GOOGLEFINANCE(""NSE:""&amp;A114,""closeyest"")"),1648.1)</f>
        <v/>
      </c>
      <c r="G114" s="14">
        <f>(B114-C114)/B114</f>
        <v/>
      </c>
      <c r="H114" s="13">
        <f>IFERROR(__xludf.DUMMYFUNCTION("GOOGLEFINANCE(""NSE:""&amp;A114,""VOLUME"")"),23257)</f>
        <v/>
      </c>
      <c r="I114" s="13">
        <f>IFERROR(__xludf.DUMMYFUNCTION("AVERAGE(index(GOOGLEFINANCE(""NSE:""&amp;$A114, ""volume"", today()-21, today()-1), , 2))"),"#N/A")</f>
        <v/>
      </c>
      <c r="J114" s="14">
        <f>(H114-I114)/I114</f>
        <v/>
      </c>
      <c r="K114" s="13">
        <f>IFERROR(__xludf.DUMMYFUNCTION("AVERAGE(index(GOOGLEFINANCE(""NSE:""&amp;$A114, ""close"", today()-6, today()-1), , 2))"),"#N/A")</f>
        <v/>
      </c>
      <c r="L114" s="13">
        <f>IFERROR(__xludf.DUMMYFUNCTION("AVERAGE(index(GOOGLEFINANCE(""NSE:""&amp;$A114, ""close"", today()-14, today()-1), , 2))"),"#N/A")</f>
        <v/>
      </c>
      <c r="M114" s="13">
        <f>IFERROR(__xludf.DUMMYFUNCTION("AVERAGE(index(GOOGLEFINANCE(""NSE:""&amp;$A114, ""close"", today()-22, today()-1), , 2))"),"#N/A")</f>
        <v/>
      </c>
      <c r="N114" s="13">
        <f>AG114</f>
        <v/>
      </c>
      <c r="O114" s="13">
        <f>AI114</f>
        <v/>
      </c>
      <c r="P114" s="13">
        <f>W114</f>
        <v/>
      </c>
      <c r="Q114" s="13">
        <f>Y114</f>
        <v/>
      </c>
      <c r="R114" s="15" t="n"/>
      <c r="S114" s="15">
        <f>LEFT(W114,2)&amp;LEFT(Y114,2)</f>
        <v/>
      </c>
      <c r="T114" s="15" t="n"/>
      <c r="U114" s="15">
        <f>IF(K114&lt;L114,1,0)</f>
        <v/>
      </c>
      <c r="V114" s="15">
        <f>IF(H114&gt;I114,1,0)</f>
        <v/>
      </c>
      <c r="W114" s="15">
        <f>IF(SUM(U114:V114)=2,"Anticipatory_Sell","No_Action")</f>
        <v/>
      </c>
      <c r="X114" s="15" t="n"/>
      <c r="Y114" s="15">
        <f>IF(SUM(Z114:AA114)=2,"Confirm_Sell","No_Action")</f>
        <v/>
      </c>
      <c r="Z114" s="15">
        <f>IF(H114&gt;I114,1,0)</f>
        <v/>
      </c>
      <c r="AA114" s="15">
        <f>IF(K114&lt;M114,1,0)</f>
        <v/>
      </c>
      <c r="AB114" s="15" t="n"/>
      <c r="AC114" s="15">
        <f>LEFT(AG114,2)&amp;LEFT(AI114,2)</f>
        <v/>
      </c>
      <c r="AD114" s="15" t="n"/>
      <c r="AE114" s="15">
        <f>IF(K114&gt;L114,1,0)</f>
        <v/>
      </c>
      <c r="AF114" s="16">
        <f>IF(H114&gt;I114,1,0)</f>
        <v/>
      </c>
      <c r="AG114" s="16">
        <f>IF(SUM(AE114:AF114)=2,"Anticipatory_Buy","No_Action")</f>
        <v/>
      </c>
      <c r="AH114" s="15" t="n"/>
      <c r="AI114" s="15">
        <f>IF(SUM(AJ114:AK114)=2,"Confirm_Buy","No_Action")</f>
        <v/>
      </c>
      <c r="AJ114" s="15">
        <f>IF(H114&gt;I114,1,0)</f>
        <v/>
      </c>
      <c r="AK114" s="15">
        <f>IF(K114&gt;M114,1,0)</f>
        <v/>
      </c>
    </row>
    <row r="115" ht="14.5" customHeight="1">
      <c r="A115" s="12" t="inlineStr">
        <is>
          <t>GSFC</t>
        </is>
      </c>
      <c r="B115" s="13">
        <f>IFERROR(__xludf.DUMMYFUNCTION("GOOGLEFINANCE(""NSE:""&amp;A115,""PRICE"")"),218.57)</f>
        <v/>
      </c>
      <c r="C115" s="13">
        <f>IFERROR(__xludf.DUMMYFUNCTION("GOOGLEFINANCE(""NSE:""&amp;A115,""PRICEOPEN"")"),220.51)</f>
        <v/>
      </c>
      <c r="D115" s="13">
        <f>IFERROR(__xludf.DUMMYFUNCTION("GOOGLEFINANCE(""NSE:""&amp;A115,""HIGH"")"),221.94)</f>
        <v/>
      </c>
      <c r="E115" s="13">
        <f>IFERROR(__xludf.DUMMYFUNCTION("GOOGLEFINANCE(""NSE:""&amp;A115,""LOW"")"),217.8)</f>
        <v/>
      </c>
      <c r="F115" s="13">
        <f>IFERROR(__xludf.DUMMYFUNCTION("GOOGLEFINANCE(""NSE:""&amp;A115,""closeyest"")"),220.98)</f>
        <v/>
      </c>
      <c r="G115" s="14">
        <f>(B115-C115)/B115</f>
        <v/>
      </c>
      <c r="H115" s="13">
        <f>IFERROR(__xludf.DUMMYFUNCTION("GOOGLEFINANCE(""NSE:""&amp;A115,""VOLUME"")"),1265119)</f>
        <v/>
      </c>
      <c r="I115" s="13">
        <f>IFERROR(__xludf.DUMMYFUNCTION("AVERAGE(index(GOOGLEFINANCE(""NSE:""&amp;$A115, ""volume"", today()-21, today()-1), , 2))"),"#N/A")</f>
        <v/>
      </c>
      <c r="J115" s="14">
        <f>(H115-I115)/I115</f>
        <v/>
      </c>
      <c r="K115" s="13">
        <f>IFERROR(__xludf.DUMMYFUNCTION("AVERAGE(index(GOOGLEFINANCE(""NSE:""&amp;$A115, ""close"", today()-6, today()-1), , 2))"),"#N/A")</f>
        <v/>
      </c>
      <c r="L115" s="13">
        <f>IFERROR(__xludf.DUMMYFUNCTION("AVERAGE(index(GOOGLEFINANCE(""NSE:""&amp;$A115, ""close"", today()-14, today()-1), , 2))"),"#N/A")</f>
        <v/>
      </c>
      <c r="M115" s="13">
        <f>IFERROR(__xludf.DUMMYFUNCTION("AVERAGE(index(GOOGLEFINANCE(""NSE:""&amp;$A115, ""close"", today()-22, today()-1), , 2))"),"#N/A")</f>
        <v/>
      </c>
      <c r="N115" s="13">
        <f>AG115</f>
        <v/>
      </c>
      <c r="O115" s="13">
        <f>AI115</f>
        <v/>
      </c>
      <c r="P115" s="13">
        <f>W115</f>
        <v/>
      </c>
      <c r="Q115" s="13">
        <f>Y115</f>
        <v/>
      </c>
      <c r="R115" s="15" t="n"/>
      <c r="S115" s="15">
        <f>LEFT(W115,2)&amp;LEFT(Y115,2)</f>
        <v/>
      </c>
      <c r="T115" s="15" t="n"/>
      <c r="U115" s="15">
        <f>IF(K115&lt;L115,1,0)</f>
        <v/>
      </c>
      <c r="V115" s="15">
        <f>IF(H115&gt;I115,1,0)</f>
        <v/>
      </c>
      <c r="W115" s="15">
        <f>IF(SUM(U115:V115)=2,"Anticipatory_Sell","No_Action")</f>
        <v/>
      </c>
      <c r="X115" s="15" t="n"/>
      <c r="Y115" s="15">
        <f>IF(SUM(Z115:AA115)=2,"Confirm_Sell","No_Action")</f>
        <v/>
      </c>
      <c r="Z115" s="15">
        <f>IF(H115&gt;I115,1,0)</f>
        <v/>
      </c>
      <c r="AA115" s="15">
        <f>IF(K115&lt;M115,1,0)</f>
        <v/>
      </c>
      <c r="AB115" s="15" t="n"/>
      <c r="AC115" s="15">
        <f>LEFT(AG115,2)&amp;LEFT(AI115,2)</f>
        <v/>
      </c>
      <c r="AD115" s="15" t="n"/>
      <c r="AE115" s="15">
        <f>IF(K115&gt;L115,1,0)</f>
        <v/>
      </c>
      <c r="AF115" s="16">
        <f>IF(H115&gt;I115,1,0)</f>
        <v/>
      </c>
      <c r="AG115" s="16">
        <f>IF(SUM(AE115:AF115)=2,"Anticipatory_Buy","No_Action")</f>
        <v/>
      </c>
      <c r="AH115" s="15" t="n"/>
      <c r="AI115" s="15">
        <f>IF(SUM(AJ115:AK115)=2,"Confirm_Buy","No_Action")</f>
        <v/>
      </c>
      <c r="AJ115" s="15">
        <f>IF(H115&gt;I115,1,0)</f>
        <v/>
      </c>
      <c r="AK115" s="15">
        <f>IF(K115&gt;M115,1,0)</f>
        <v/>
      </c>
    </row>
    <row r="116" ht="14.5" customHeight="1">
      <c r="A116" s="12" t="inlineStr">
        <is>
          <t>GALAXYSURF</t>
        </is>
      </c>
      <c r="B116" s="13">
        <f>IFERROR(__xludf.DUMMYFUNCTION("GOOGLEFINANCE(""NSE:""&amp;A116,""PRICE"")"),2834.45)</f>
        <v/>
      </c>
      <c r="C116" s="13">
        <f>IFERROR(__xludf.DUMMYFUNCTION("GOOGLEFINANCE(""NSE:""&amp;A116,""PRICEOPEN"")"),2859.95)</f>
        <v/>
      </c>
      <c r="D116" s="13">
        <f>IFERROR(__xludf.DUMMYFUNCTION("GOOGLEFINANCE(""NSE:""&amp;A116,""HIGH"")"),2859.95)</f>
        <v/>
      </c>
      <c r="E116" s="13">
        <f>IFERROR(__xludf.DUMMYFUNCTION("GOOGLEFINANCE(""NSE:""&amp;A116,""LOW"")"),2818.35)</f>
        <v/>
      </c>
      <c r="F116" s="13">
        <f>IFERROR(__xludf.DUMMYFUNCTION("GOOGLEFINANCE(""NSE:""&amp;A116,""closeyest"")"),2859.2)</f>
        <v/>
      </c>
      <c r="G116" s="14">
        <f>(B116-C116)/B116</f>
        <v/>
      </c>
      <c r="H116" s="13">
        <f>IFERROR(__xludf.DUMMYFUNCTION("GOOGLEFINANCE(""NSE:""&amp;A116,""VOLUME"")"),4614)</f>
        <v/>
      </c>
      <c r="I116" s="13">
        <f>IFERROR(__xludf.DUMMYFUNCTION("AVERAGE(index(GOOGLEFINANCE(""NSE:""&amp;$A116, ""volume"", today()-21, today()-1), , 2))"),"#N/A")</f>
        <v/>
      </c>
      <c r="J116" s="14">
        <f>(H116-I116)/I116</f>
        <v/>
      </c>
      <c r="K116" s="13">
        <f>IFERROR(__xludf.DUMMYFUNCTION("AVERAGE(index(GOOGLEFINANCE(""NSE:""&amp;$A116, ""close"", today()-6, today()-1), , 2))"),"#N/A")</f>
        <v/>
      </c>
      <c r="L116" s="13">
        <f>IFERROR(__xludf.DUMMYFUNCTION("AVERAGE(index(GOOGLEFINANCE(""NSE:""&amp;$A116, ""close"", today()-14, today()-1), , 2))"),"#N/A")</f>
        <v/>
      </c>
      <c r="M116" s="13">
        <f>IFERROR(__xludf.DUMMYFUNCTION("AVERAGE(index(GOOGLEFINANCE(""NSE:""&amp;$A116, ""close"", today()-22, today()-1), , 2))"),"#N/A")</f>
        <v/>
      </c>
      <c r="N116" s="13">
        <f>AG116</f>
        <v/>
      </c>
      <c r="O116" s="13">
        <f>AI116</f>
        <v/>
      </c>
      <c r="P116" s="13">
        <f>W116</f>
        <v/>
      </c>
      <c r="Q116" s="13">
        <f>Y116</f>
        <v/>
      </c>
      <c r="R116" s="15" t="n"/>
      <c r="S116" s="15">
        <f>LEFT(W116,2)&amp;LEFT(Y116,2)</f>
        <v/>
      </c>
      <c r="T116" s="15" t="n"/>
      <c r="U116" s="15">
        <f>IF(K116&lt;L116,1,0)</f>
        <v/>
      </c>
      <c r="V116" s="15">
        <f>IF(H116&gt;I116,1,0)</f>
        <v/>
      </c>
      <c r="W116" s="15">
        <f>IF(SUM(U116:V116)=2,"Anticipatory_Sell","No_Action")</f>
        <v/>
      </c>
      <c r="X116" s="15" t="n"/>
      <c r="Y116" s="15">
        <f>IF(SUM(Z116:AA116)=2,"Confirm_Sell","No_Action")</f>
        <v/>
      </c>
      <c r="Z116" s="15">
        <f>IF(H116&gt;I116,1,0)</f>
        <v/>
      </c>
      <c r="AA116" s="15">
        <f>IF(K116&lt;M116,1,0)</f>
        <v/>
      </c>
      <c r="AB116" s="15" t="n"/>
      <c r="AC116" s="15">
        <f>LEFT(AG116,2)&amp;LEFT(AI116,2)</f>
        <v/>
      </c>
      <c r="AD116" s="15" t="n"/>
      <c r="AE116" s="15">
        <f>IF(K116&gt;L116,1,0)</f>
        <v/>
      </c>
      <c r="AF116" s="16">
        <f>IF(H116&gt;I116,1,0)</f>
        <v/>
      </c>
      <c r="AG116" s="16">
        <f>IF(SUM(AE116:AF116)=2,"Anticipatory_Buy","No_Action")</f>
        <v/>
      </c>
      <c r="AH116" s="15" t="n"/>
      <c r="AI116" s="15">
        <f>IF(SUM(AJ116:AK116)=2,"Confirm_Buy","No_Action")</f>
        <v/>
      </c>
      <c r="AJ116" s="15">
        <f>IF(H116&gt;I116,1,0)</f>
        <v/>
      </c>
      <c r="AK116" s="15">
        <f>IF(K116&gt;M116,1,0)</f>
        <v/>
      </c>
    </row>
    <row r="117" ht="14.5" customHeight="1">
      <c r="A117" s="12" t="inlineStr">
        <is>
          <t>GANESHBE</t>
        </is>
      </c>
      <c r="B117" s="13">
        <f>IFERROR(__xludf.DUMMYFUNCTION("GOOGLEFINANCE(""NSE:""&amp;A117,""PRICE"")"),135.2)</f>
        <v/>
      </c>
      <c r="C117" s="13">
        <f>IFERROR(__xludf.DUMMYFUNCTION("GOOGLEFINANCE(""NSE:""&amp;A117,""PRICEOPEN"")"),136.5)</f>
        <v/>
      </c>
      <c r="D117" s="13">
        <f>IFERROR(__xludf.DUMMYFUNCTION("GOOGLEFINANCE(""NSE:""&amp;A117,""HIGH"")"),139.86)</f>
        <v/>
      </c>
      <c r="E117" s="13">
        <f>IFERROR(__xludf.DUMMYFUNCTION("GOOGLEFINANCE(""NSE:""&amp;A117,""LOW"")"),135.05)</f>
        <v/>
      </c>
      <c r="F117" s="13">
        <f>IFERROR(__xludf.DUMMYFUNCTION("GOOGLEFINANCE(""NSE:""&amp;A117,""closeyest"")"),135.82)</f>
        <v/>
      </c>
      <c r="G117" s="14">
        <f>(B117-C117)/B117</f>
        <v/>
      </c>
      <c r="H117" s="13">
        <f>IFERROR(__xludf.DUMMYFUNCTION("GOOGLEFINANCE(""NSE:""&amp;A117,""VOLUME"")"),75377)</f>
        <v/>
      </c>
      <c r="I117" s="13">
        <f>IFERROR(__xludf.DUMMYFUNCTION("AVERAGE(index(GOOGLEFINANCE(""NSE:""&amp;$A117, ""volume"", today()-21, today()-1), , 2))"),"#N/A")</f>
        <v/>
      </c>
      <c r="J117" s="14">
        <f>(H117-I117)/I117</f>
        <v/>
      </c>
      <c r="K117" s="13">
        <f>IFERROR(__xludf.DUMMYFUNCTION("AVERAGE(index(GOOGLEFINANCE(""NSE:""&amp;$A117, ""close"", today()-6, today()-1), , 2))"),"#N/A")</f>
        <v/>
      </c>
      <c r="L117" s="13">
        <f>IFERROR(__xludf.DUMMYFUNCTION("AVERAGE(index(GOOGLEFINANCE(""NSE:""&amp;$A117, ""close"", today()-14, today()-1), , 2))"),"#N/A")</f>
        <v/>
      </c>
      <c r="M117" s="13">
        <f>IFERROR(__xludf.DUMMYFUNCTION("AVERAGE(index(GOOGLEFINANCE(""NSE:""&amp;$A117, ""close"", today()-22, today()-1), , 2))"),"#N/A")</f>
        <v/>
      </c>
      <c r="N117" s="13">
        <f>AG117</f>
        <v/>
      </c>
      <c r="O117" s="13">
        <f>AI117</f>
        <v/>
      </c>
      <c r="P117" s="13">
        <f>W117</f>
        <v/>
      </c>
      <c r="Q117" s="13">
        <f>Y117</f>
        <v/>
      </c>
      <c r="R117" s="15" t="n"/>
      <c r="S117" s="15">
        <f>LEFT(W117,2)&amp;LEFT(Y117,2)</f>
        <v/>
      </c>
      <c r="T117" s="15" t="n"/>
      <c r="U117" s="15">
        <f>IF(K117&lt;L117,1,0)</f>
        <v/>
      </c>
      <c r="V117" s="15">
        <f>IF(H117&gt;I117,1,0)</f>
        <v/>
      </c>
      <c r="W117" s="15">
        <f>IF(SUM(U117:V117)=2,"Anticipatory_Sell","No_Action")</f>
        <v/>
      </c>
      <c r="X117" s="15" t="n"/>
      <c r="Y117" s="15">
        <f>IF(SUM(Z117:AA117)=2,"Confirm_Sell","No_Action")</f>
        <v/>
      </c>
      <c r="Z117" s="15">
        <f>IF(H117&gt;I117,1,0)</f>
        <v/>
      </c>
      <c r="AA117" s="15">
        <f>IF(K117&lt;M117,1,0)</f>
        <v/>
      </c>
      <c r="AB117" s="15" t="n"/>
      <c r="AC117" s="15">
        <f>LEFT(AG117,2)&amp;LEFT(AI117,2)</f>
        <v/>
      </c>
      <c r="AD117" s="15" t="n"/>
      <c r="AE117" s="15">
        <f>IF(K117&gt;L117,1,0)</f>
        <v/>
      </c>
      <c r="AF117" s="16">
        <f>IF(H117&gt;I117,1,0)</f>
        <v/>
      </c>
      <c r="AG117" s="16">
        <f>IF(SUM(AE117:AF117)=2,"Anticipatory_Buy","No_Action")</f>
        <v/>
      </c>
      <c r="AH117" s="15" t="n"/>
      <c r="AI117" s="15">
        <f>IF(SUM(AJ117:AK117)=2,"Confirm_Buy","No_Action")</f>
        <v/>
      </c>
      <c r="AJ117" s="15">
        <f>IF(H117&gt;I117,1,0)</f>
        <v/>
      </c>
      <c r="AK117" s="15">
        <f>IF(K117&gt;M117,1,0)</f>
        <v/>
      </c>
    </row>
    <row r="118" ht="14.5" customHeight="1">
      <c r="A118" s="12" t="inlineStr">
        <is>
          <t>GANESHHOUC</t>
        </is>
      </c>
      <c r="B118" s="13">
        <f>IFERROR(__xludf.DUMMYFUNCTION("GOOGLEFINANCE(""NSE:""&amp;A118,""PRICE"")"),1308.5)</f>
        <v/>
      </c>
      <c r="C118" s="13">
        <f>IFERROR(__xludf.DUMMYFUNCTION("GOOGLEFINANCE(""NSE:""&amp;A118,""PRICEOPEN"")"),1322)</f>
        <v/>
      </c>
      <c r="D118" s="13">
        <f>IFERROR(__xludf.DUMMYFUNCTION("GOOGLEFINANCE(""NSE:""&amp;A118,""HIGH"")"),1338.2)</f>
        <v/>
      </c>
      <c r="E118" s="13">
        <f>IFERROR(__xludf.DUMMYFUNCTION("GOOGLEFINANCE(""NSE:""&amp;A118,""LOW"")"),1295.75)</f>
        <v/>
      </c>
      <c r="F118" s="13">
        <f>IFERROR(__xludf.DUMMYFUNCTION("GOOGLEFINANCE(""NSE:""&amp;A118,""closeyest"")"),1318.95)</f>
        <v/>
      </c>
      <c r="G118" s="14">
        <f>(B118-C118)/B118</f>
        <v/>
      </c>
      <c r="H118" s="13">
        <f>IFERROR(__xludf.DUMMYFUNCTION("GOOGLEFINANCE(""NSE:""&amp;A118,""VOLUME"")"),71353)</f>
        <v/>
      </c>
      <c r="I118" s="13">
        <f>IFERROR(__xludf.DUMMYFUNCTION("AVERAGE(index(GOOGLEFINANCE(""NSE:""&amp;$A118, ""volume"", today()-21, today()-1), , 2))"),"#N/A")</f>
        <v/>
      </c>
      <c r="J118" s="14">
        <f>(H118-I118)/I118</f>
        <v/>
      </c>
      <c r="K118" s="13">
        <f>IFERROR(__xludf.DUMMYFUNCTION("AVERAGE(index(GOOGLEFINANCE(""NSE:""&amp;$A118, ""close"", today()-6, today()-1), , 2))"),"#N/A")</f>
        <v/>
      </c>
      <c r="L118" s="13">
        <f>IFERROR(__xludf.DUMMYFUNCTION("AVERAGE(index(GOOGLEFINANCE(""NSE:""&amp;$A118, ""close"", today()-14, today()-1), , 2))"),"#N/A")</f>
        <v/>
      </c>
      <c r="M118" s="13">
        <f>IFERROR(__xludf.DUMMYFUNCTION("AVERAGE(index(GOOGLEFINANCE(""NSE:""&amp;$A118, ""close"", today()-22, today()-1), , 2))"),"#N/A")</f>
        <v/>
      </c>
      <c r="N118" s="13">
        <f>AG118</f>
        <v/>
      </c>
      <c r="O118" s="13">
        <f>AI118</f>
        <v/>
      </c>
      <c r="P118" s="13">
        <f>W118</f>
        <v/>
      </c>
      <c r="Q118" s="13">
        <f>Y118</f>
        <v/>
      </c>
      <c r="R118" s="15" t="n"/>
      <c r="S118" s="15">
        <f>LEFT(W118,2)&amp;LEFT(Y118,2)</f>
        <v/>
      </c>
      <c r="T118" s="15" t="n"/>
      <c r="U118" s="15">
        <f>IF(K118&lt;L118,1,0)</f>
        <v/>
      </c>
      <c r="V118" s="15">
        <f>IF(H118&gt;I118,1,0)</f>
        <v/>
      </c>
      <c r="W118" s="15">
        <f>IF(SUM(U118:V118)=2,"Anticipatory_Sell","No_Action")</f>
        <v/>
      </c>
      <c r="X118" s="15" t="n"/>
      <c r="Y118" s="15">
        <f>IF(SUM(Z118:AA118)=2,"Confirm_Sell","No_Action")</f>
        <v/>
      </c>
      <c r="Z118" s="15">
        <f>IF(H118&gt;I118,1,0)</f>
        <v/>
      </c>
      <c r="AA118" s="15">
        <f>IF(K118&lt;M118,1,0)</f>
        <v/>
      </c>
      <c r="AB118" s="15" t="n"/>
      <c r="AC118" s="15">
        <f>LEFT(AG118,2)&amp;LEFT(AI118,2)</f>
        <v/>
      </c>
      <c r="AD118" s="15" t="n"/>
      <c r="AE118" s="15">
        <f>IF(K118&gt;L118,1,0)</f>
        <v/>
      </c>
      <c r="AF118" s="16">
        <f>IF(H118&gt;I118,1,0)</f>
        <v/>
      </c>
      <c r="AG118" s="16">
        <f>IF(SUM(AE118:AF118)=2,"Anticipatory_Buy","No_Action")</f>
        <v/>
      </c>
      <c r="AH118" s="15" t="n"/>
      <c r="AI118" s="15">
        <f>IF(SUM(AJ118:AK118)=2,"Confirm_Buy","No_Action")</f>
        <v/>
      </c>
      <c r="AJ118" s="15">
        <f>IF(H118&gt;I118,1,0)</f>
        <v/>
      </c>
      <c r="AK118" s="15">
        <f>IF(K118&gt;M118,1,0)</f>
        <v/>
      </c>
    </row>
    <row r="119" ht="14.5" customHeight="1">
      <c r="A119" s="12" t="inlineStr">
        <is>
          <t>GARFIBRES</t>
        </is>
      </c>
      <c r="B119" s="13">
        <f>IFERROR(__xludf.DUMMYFUNCTION("GOOGLEFINANCE(""NSE:""&amp;A119,""PRICE"")"),4839.9)</f>
        <v/>
      </c>
      <c r="C119" s="13">
        <f>IFERROR(__xludf.DUMMYFUNCTION("GOOGLEFINANCE(""NSE:""&amp;A119,""PRICEOPEN"")"),4836.1)</f>
        <v/>
      </c>
      <c r="D119" s="13">
        <f>IFERROR(__xludf.DUMMYFUNCTION("GOOGLEFINANCE(""NSE:""&amp;A119,""HIGH"")"),4931.95)</f>
        <v/>
      </c>
      <c r="E119" s="13">
        <f>IFERROR(__xludf.DUMMYFUNCTION("GOOGLEFINANCE(""NSE:""&amp;A119,""LOW"")"),4742.35)</f>
        <v/>
      </c>
      <c r="F119" s="13">
        <f>IFERROR(__xludf.DUMMYFUNCTION("GOOGLEFINANCE(""NSE:""&amp;A119,""closeyest"")"),4800.75)</f>
        <v/>
      </c>
      <c r="G119" s="14">
        <f>(B119-C119)/B119</f>
        <v/>
      </c>
      <c r="H119" s="13">
        <f>IFERROR(__xludf.DUMMYFUNCTION("GOOGLEFINANCE(""NSE:""&amp;A119,""VOLUME"")"),33200)</f>
        <v/>
      </c>
      <c r="I119" s="13">
        <f>IFERROR(__xludf.DUMMYFUNCTION("AVERAGE(index(GOOGLEFINANCE(""NSE:""&amp;$A119, ""volume"", today()-21, today()-1), , 2))"),"#N/A")</f>
        <v/>
      </c>
      <c r="J119" s="14">
        <f>(H119-I119)/I119</f>
        <v/>
      </c>
      <c r="K119" s="13">
        <f>IFERROR(__xludf.DUMMYFUNCTION("AVERAGE(index(GOOGLEFINANCE(""NSE:""&amp;$A119, ""close"", today()-6, today()-1), , 2))"),"#N/A")</f>
        <v/>
      </c>
      <c r="L119" s="13">
        <f>IFERROR(__xludf.DUMMYFUNCTION("AVERAGE(index(GOOGLEFINANCE(""NSE:""&amp;$A119, ""close"", today()-14, today()-1), , 2))"),"#N/A")</f>
        <v/>
      </c>
      <c r="M119" s="13">
        <f>IFERROR(__xludf.DUMMYFUNCTION("AVERAGE(index(GOOGLEFINANCE(""NSE:""&amp;$A119, ""close"", today()-22, today()-1), , 2))"),"#N/A")</f>
        <v/>
      </c>
      <c r="N119" s="13">
        <f>AG119</f>
        <v/>
      </c>
      <c r="O119" s="13">
        <f>AI119</f>
        <v/>
      </c>
      <c r="P119" s="13">
        <f>W119</f>
        <v/>
      </c>
      <c r="Q119" s="13">
        <f>Y119</f>
        <v/>
      </c>
      <c r="R119" s="15" t="n"/>
      <c r="S119" s="15">
        <f>LEFT(W119,2)&amp;LEFT(Y119,2)</f>
        <v/>
      </c>
      <c r="T119" s="15" t="n"/>
      <c r="U119" s="15">
        <f>IF(K119&lt;L119,1,0)</f>
        <v/>
      </c>
      <c r="V119" s="15">
        <f>IF(H119&gt;I119,1,0)</f>
        <v/>
      </c>
      <c r="W119" s="15">
        <f>IF(SUM(U119:V119)=2,"Anticipatory_Sell","No_Action")</f>
        <v/>
      </c>
      <c r="X119" s="15" t="n"/>
      <c r="Y119" s="15">
        <f>IF(SUM(Z119:AA119)=2,"Confirm_Sell","No_Action")</f>
        <v/>
      </c>
      <c r="Z119" s="15">
        <f>IF(H119&gt;I119,1,0)</f>
        <v/>
      </c>
      <c r="AA119" s="15">
        <f>IF(K119&lt;M119,1,0)</f>
        <v/>
      </c>
      <c r="AB119" s="15" t="n"/>
      <c r="AC119" s="15">
        <f>LEFT(AG119,2)&amp;LEFT(AI119,2)</f>
        <v/>
      </c>
      <c r="AD119" s="15" t="n"/>
      <c r="AE119" s="15">
        <f>IF(K119&gt;L119,1,0)</f>
        <v/>
      </c>
      <c r="AF119" s="16">
        <f>IF(H119&gt;I119,1,0)</f>
        <v/>
      </c>
      <c r="AG119" s="16">
        <f>IF(SUM(AE119:AF119)=2,"Anticipatory_Buy","No_Action")</f>
        <v/>
      </c>
      <c r="AH119" s="15" t="n"/>
      <c r="AI119" s="15">
        <f>IF(SUM(AJ119:AK119)=2,"Confirm_Buy","No_Action")</f>
        <v/>
      </c>
      <c r="AJ119" s="15">
        <f>IF(H119&gt;I119,1,0)</f>
        <v/>
      </c>
      <c r="AK119" s="15">
        <f>IF(K119&gt;M119,1,0)</f>
        <v/>
      </c>
    </row>
    <row r="120" ht="14.5" customHeight="1">
      <c r="A120" s="12" t="inlineStr">
        <is>
          <t>GATEWAY</t>
        </is>
      </c>
      <c r="B120" s="13">
        <f>IFERROR(__xludf.DUMMYFUNCTION("GOOGLEFINANCE(""NSE:""&amp;A120,""PRICE"")"),84.8)</f>
        <v/>
      </c>
      <c r="C120" s="13">
        <f>IFERROR(__xludf.DUMMYFUNCTION("GOOGLEFINANCE(""NSE:""&amp;A120,""PRICEOPEN"")"),82.5)</f>
        <v/>
      </c>
      <c r="D120" s="13">
        <f>IFERROR(__xludf.DUMMYFUNCTION("GOOGLEFINANCE(""NSE:""&amp;A120,""HIGH"")"),85.8)</f>
        <v/>
      </c>
      <c r="E120" s="13">
        <f>IFERROR(__xludf.DUMMYFUNCTION("GOOGLEFINANCE(""NSE:""&amp;A120,""LOW"")"),81.8)</f>
        <v/>
      </c>
      <c r="F120" s="13">
        <f>IFERROR(__xludf.DUMMYFUNCTION("GOOGLEFINANCE(""NSE:""&amp;A120,""closeyest"")"),81.58)</f>
        <v/>
      </c>
      <c r="G120" s="14">
        <f>(B120-C120)/B120</f>
        <v/>
      </c>
      <c r="H120" s="13">
        <f>IFERROR(__xludf.DUMMYFUNCTION("GOOGLEFINANCE(""NSE:""&amp;A120,""VOLUME"")"),3659101)</f>
        <v/>
      </c>
      <c r="I120" s="13">
        <f>IFERROR(__xludf.DUMMYFUNCTION("AVERAGE(index(GOOGLEFINANCE(""NSE:""&amp;$A120, ""volume"", today()-21, today()-1), , 2))"),"#N/A")</f>
        <v/>
      </c>
      <c r="J120" s="14">
        <f>(H120-I120)/I120</f>
        <v/>
      </c>
      <c r="K120" s="13">
        <f>IFERROR(__xludf.DUMMYFUNCTION("AVERAGE(index(GOOGLEFINANCE(""NSE:""&amp;$A120, ""close"", today()-6, today()-1), , 2))"),"#N/A")</f>
        <v/>
      </c>
      <c r="L120" s="13">
        <f>IFERROR(__xludf.DUMMYFUNCTION("AVERAGE(index(GOOGLEFINANCE(""NSE:""&amp;$A120, ""close"", today()-14, today()-1), , 2))"),"#N/A")</f>
        <v/>
      </c>
      <c r="M120" s="13">
        <f>IFERROR(__xludf.DUMMYFUNCTION("AVERAGE(index(GOOGLEFINANCE(""NSE:""&amp;$A120, ""close"", today()-22, today()-1), , 2))"),"#N/A")</f>
        <v/>
      </c>
      <c r="N120" s="13">
        <f>AG120</f>
        <v/>
      </c>
      <c r="O120" s="13">
        <f>AI120</f>
        <v/>
      </c>
      <c r="P120" s="13">
        <f>W120</f>
        <v/>
      </c>
      <c r="Q120" s="13">
        <f>Y120</f>
        <v/>
      </c>
      <c r="R120" s="15" t="n"/>
      <c r="S120" s="15">
        <f>LEFT(W120,2)&amp;LEFT(Y120,2)</f>
        <v/>
      </c>
      <c r="T120" s="15" t="n"/>
      <c r="U120" s="15">
        <f>IF(K120&lt;L120,1,0)</f>
        <v/>
      </c>
      <c r="V120" s="15">
        <f>IF(H120&gt;I120,1,0)</f>
        <v/>
      </c>
      <c r="W120" s="15">
        <f>IF(SUM(U120:V120)=2,"Anticipatory_Sell","No_Action")</f>
        <v/>
      </c>
      <c r="X120" s="15" t="n"/>
      <c r="Y120" s="15">
        <f>IF(SUM(Z120:AA120)=2,"Confirm_Sell","No_Action")</f>
        <v/>
      </c>
      <c r="Z120" s="15">
        <f>IF(H120&gt;I120,1,0)</f>
        <v/>
      </c>
      <c r="AA120" s="15">
        <f>IF(K120&lt;M120,1,0)</f>
        <v/>
      </c>
      <c r="AB120" s="15" t="n"/>
      <c r="AC120" s="15">
        <f>LEFT(AG120,2)&amp;LEFT(AI120,2)</f>
        <v/>
      </c>
      <c r="AD120" s="15" t="n"/>
      <c r="AE120" s="15">
        <f>IF(K120&gt;L120,1,0)</f>
        <v/>
      </c>
      <c r="AF120" s="16">
        <f>IF(H120&gt;I120,1,0)</f>
        <v/>
      </c>
      <c r="AG120" s="16">
        <f>IF(SUM(AE120:AF120)=2,"Anticipatory_Buy","No_Action")</f>
        <v/>
      </c>
      <c r="AH120" s="15" t="n"/>
      <c r="AI120" s="15">
        <f>IF(SUM(AJ120:AK120)=2,"Confirm_Buy","No_Action")</f>
        <v/>
      </c>
      <c r="AJ120" s="15">
        <f>IF(H120&gt;I120,1,0)</f>
        <v/>
      </c>
      <c r="AK120" s="15">
        <f>IF(K120&gt;M120,1,0)</f>
        <v/>
      </c>
    </row>
    <row r="121" ht="14.5" customHeight="1">
      <c r="A121" s="12" t="inlineStr">
        <is>
          <t>GESHIP</t>
        </is>
      </c>
      <c r="B121" s="13">
        <f>IFERROR(__xludf.DUMMYFUNCTION("GOOGLEFINANCE(""NSE:""&amp;A121,""PRICE"")"),1111)</f>
        <v/>
      </c>
      <c r="C121" s="13">
        <f>IFERROR(__xludf.DUMMYFUNCTION("GOOGLEFINANCE(""NSE:""&amp;A121,""PRICEOPEN"")"),1102.05)</f>
        <v/>
      </c>
      <c r="D121" s="13">
        <f>IFERROR(__xludf.DUMMYFUNCTION("GOOGLEFINANCE(""NSE:""&amp;A121,""HIGH"")"),1124.8)</f>
        <v/>
      </c>
      <c r="E121" s="13">
        <f>IFERROR(__xludf.DUMMYFUNCTION("GOOGLEFINANCE(""NSE:""&amp;A121,""LOW"")"),1094.6)</f>
        <v/>
      </c>
      <c r="F121" s="13">
        <f>IFERROR(__xludf.DUMMYFUNCTION("GOOGLEFINANCE(""NSE:""&amp;A121,""closeyest"")"),1101.05)</f>
        <v/>
      </c>
      <c r="G121" s="14">
        <f>(B121-C121)/B121</f>
        <v/>
      </c>
      <c r="H121" s="13">
        <f>IFERROR(__xludf.DUMMYFUNCTION("GOOGLEFINANCE(""NSE:""&amp;A121,""VOLUME"")"),483522)</f>
        <v/>
      </c>
      <c r="I121" s="13">
        <f>IFERROR(__xludf.DUMMYFUNCTION("AVERAGE(index(GOOGLEFINANCE(""NSE:""&amp;$A121, ""volume"", today()-21, today()-1), , 2))"),"#N/A")</f>
        <v/>
      </c>
      <c r="J121" s="14">
        <f>(H121-I121)/I121</f>
        <v/>
      </c>
      <c r="K121" s="13">
        <f>IFERROR(__xludf.DUMMYFUNCTION("AVERAGE(index(GOOGLEFINANCE(""NSE:""&amp;$A121, ""close"", today()-6, today()-1), , 2))"),"#N/A")</f>
        <v/>
      </c>
      <c r="L121" s="13">
        <f>IFERROR(__xludf.DUMMYFUNCTION("AVERAGE(index(GOOGLEFINANCE(""NSE:""&amp;$A121, ""close"", today()-14, today()-1), , 2))"),"#N/A")</f>
        <v/>
      </c>
      <c r="M121" s="13">
        <f>IFERROR(__xludf.DUMMYFUNCTION("AVERAGE(index(GOOGLEFINANCE(""NSE:""&amp;$A121, ""close"", today()-22, today()-1), , 2))"),"#N/A")</f>
        <v/>
      </c>
      <c r="N121" s="13">
        <f>AG121</f>
        <v/>
      </c>
      <c r="O121" s="13">
        <f>AI121</f>
        <v/>
      </c>
      <c r="P121" s="13">
        <f>W121</f>
        <v/>
      </c>
      <c r="Q121" s="13">
        <f>Y121</f>
        <v/>
      </c>
      <c r="R121" s="15" t="n"/>
      <c r="S121" s="15">
        <f>LEFT(W121,2)&amp;LEFT(Y121,2)</f>
        <v/>
      </c>
      <c r="T121" s="15" t="n"/>
      <c r="U121" s="15">
        <f>IF(K121&lt;L121,1,0)</f>
        <v/>
      </c>
      <c r="V121" s="15">
        <f>IF(H121&gt;I121,1,0)</f>
        <v/>
      </c>
      <c r="W121" s="15">
        <f>IF(SUM(U121:V121)=2,"Anticipatory_Sell","No_Action")</f>
        <v/>
      </c>
      <c r="X121" s="15" t="n"/>
      <c r="Y121" s="15">
        <f>IF(SUM(Z121:AA121)=2,"Confirm_Sell","No_Action")</f>
        <v/>
      </c>
      <c r="Z121" s="15">
        <f>IF(H121&gt;I121,1,0)</f>
        <v/>
      </c>
      <c r="AA121" s="15">
        <f>IF(K121&lt;M121,1,0)</f>
        <v/>
      </c>
      <c r="AB121" s="15" t="n"/>
      <c r="AC121" s="15">
        <f>LEFT(AG121,2)&amp;LEFT(AI121,2)</f>
        <v/>
      </c>
      <c r="AD121" s="15" t="n"/>
      <c r="AE121" s="15">
        <f>IF(K121&gt;L121,1,0)</f>
        <v/>
      </c>
      <c r="AF121" s="16">
        <f>IF(H121&gt;I121,1,0)</f>
        <v/>
      </c>
      <c r="AG121" s="16">
        <f>IF(SUM(AE121:AF121)=2,"Anticipatory_Buy","No_Action")</f>
        <v/>
      </c>
      <c r="AH121" s="15" t="n"/>
      <c r="AI121" s="15">
        <f>IF(SUM(AJ121:AK121)=2,"Confirm_Buy","No_Action")</f>
        <v/>
      </c>
      <c r="AJ121" s="15">
        <f>IF(H121&gt;I121,1,0)</f>
        <v/>
      </c>
      <c r="AK121" s="15">
        <f>IF(K121&gt;M121,1,0)</f>
        <v/>
      </c>
    </row>
    <row r="122" ht="14.5" customHeight="1">
      <c r="A122" s="12" t="inlineStr">
        <is>
          <t>GHCL</t>
        </is>
      </c>
      <c r="B122" s="13">
        <f>IFERROR(__xludf.DUMMYFUNCTION("GOOGLEFINANCE(""NSE:""&amp;A122,""PRICE"")"),674.45)</f>
        <v/>
      </c>
      <c r="C122" s="13">
        <f>IFERROR(__xludf.DUMMYFUNCTION("GOOGLEFINANCE(""NSE:""&amp;A122,""PRICEOPEN"")"),671.05)</f>
        <v/>
      </c>
      <c r="D122" s="13">
        <f>IFERROR(__xludf.DUMMYFUNCTION("GOOGLEFINANCE(""NSE:""&amp;A122,""HIGH"")"),687)</f>
        <v/>
      </c>
      <c r="E122" s="13">
        <f>IFERROR(__xludf.DUMMYFUNCTION("GOOGLEFINANCE(""NSE:""&amp;A122,""LOW"")"),670.35)</f>
        <v/>
      </c>
      <c r="F122" s="13">
        <f>IFERROR(__xludf.DUMMYFUNCTION("GOOGLEFINANCE(""NSE:""&amp;A122,""closeyest"")"),667.2)</f>
        <v/>
      </c>
      <c r="G122" s="14">
        <f>(B122-C122)/B122</f>
        <v/>
      </c>
      <c r="H122" s="13">
        <f>IFERROR(__xludf.DUMMYFUNCTION("GOOGLEFINANCE(""NSE:""&amp;A122,""VOLUME"")"),365016)</f>
        <v/>
      </c>
      <c r="I122" s="13">
        <f>IFERROR(__xludf.DUMMYFUNCTION("AVERAGE(index(GOOGLEFINANCE(""NSE:""&amp;$A122, ""volume"", today()-21, today()-1), , 2))"),"#N/A")</f>
        <v/>
      </c>
      <c r="J122" s="14">
        <f>(H122-I122)/I122</f>
        <v/>
      </c>
      <c r="K122" s="13">
        <f>IFERROR(__xludf.DUMMYFUNCTION("AVERAGE(index(GOOGLEFINANCE(""NSE:""&amp;$A122, ""close"", today()-6, today()-1), , 2))"),"#N/A")</f>
        <v/>
      </c>
      <c r="L122" s="13">
        <f>IFERROR(__xludf.DUMMYFUNCTION("AVERAGE(index(GOOGLEFINANCE(""NSE:""&amp;$A122, ""close"", today()-14, today()-1), , 2))"),"#N/A")</f>
        <v/>
      </c>
      <c r="M122" s="13">
        <f>IFERROR(__xludf.DUMMYFUNCTION("AVERAGE(index(GOOGLEFINANCE(""NSE:""&amp;$A122, ""close"", today()-22, today()-1), , 2))"),"#N/A")</f>
        <v/>
      </c>
      <c r="N122" s="13">
        <f>AG122</f>
        <v/>
      </c>
      <c r="O122" s="13">
        <f>AI122</f>
        <v/>
      </c>
      <c r="P122" s="13">
        <f>W122</f>
        <v/>
      </c>
      <c r="Q122" s="13">
        <f>Y122</f>
        <v/>
      </c>
      <c r="R122" s="15" t="n"/>
      <c r="S122" s="15">
        <f>LEFT(W122,2)&amp;LEFT(Y122,2)</f>
        <v/>
      </c>
      <c r="T122" s="15" t="n"/>
      <c r="U122" s="15">
        <f>IF(K122&lt;L122,1,0)</f>
        <v/>
      </c>
      <c r="V122" s="15">
        <f>IF(H122&gt;I122,1,0)</f>
        <v/>
      </c>
      <c r="W122" s="15">
        <f>IF(SUM(U122:V122)=2,"Anticipatory_Sell","No_Action")</f>
        <v/>
      </c>
      <c r="X122" s="15" t="n"/>
      <c r="Y122" s="15">
        <f>IF(SUM(Z122:AA122)=2,"Confirm_Sell","No_Action")</f>
        <v/>
      </c>
      <c r="Z122" s="15">
        <f>IF(H122&gt;I122,1,0)</f>
        <v/>
      </c>
      <c r="AA122" s="15">
        <f>IF(K122&lt;M122,1,0)</f>
        <v/>
      </c>
      <c r="AB122" s="15" t="n"/>
      <c r="AC122" s="15">
        <f>LEFT(AG122,2)&amp;LEFT(AI122,2)</f>
        <v/>
      </c>
      <c r="AD122" s="15" t="n"/>
      <c r="AE122" s="15">
        <f>IF(K122&gt;L122,1,0)</f>
        <v/>
      </c>
      <c r="AF122" s="16">
        <f>IF(H122&gt;I122,1,0)</f>
        <v/>
      </c>
      <c r="AG122" s="16">
        <f>IF(SUM(AE122:AF122)=2,"Anticipatory_Buy","No_Action")</f>
        <v/>
      </c>
      <c r="AH122" s="15" t="n"/>
      <c r="AI122" s="15">
        <f>IF(SUM(AJ122:AK122)=2,"Confirm_Buy","No_Action")</f>
        <v/>
      </c>
      <c r="AJ122" s="15">
        <f>IF(H122&gt;I122,1,0)</f>
        <v/>
      </c>
      <c r="AK122" s="15">
        <f>IF(K122&gt;M122,1,0)</f>
        <v/>
      </c>
    </row>
    <row r="123" ht="14.5" customHeight="1">
      <c r="A123" s="12" t="inlineStr">
        <is>
          <t>GLAND</t>
        </is>
      </c>
      <c r="B123" s="13">
        <f>IFERROR(__xludf.DUMMYFUNCTION("GOOGLEFINANCE(""NSE:""&amp;A123,""PRICE"")"),1789)</f>
        <v/>
      </c>
      <c r="C123" s="13">
        <f>IFERROR(__xludf.DUMMYFUNCTION("GOOGLEFINANCE(""NSE:""&amp;A123,""PRICEOPEN"")"),1822.25)</f>
        <v/>
      </c>
      <c r="D123" s="13">
        <f>IFERROR(__xludf.DUMMYFUNCTION("GOOGLEFINANCE(""NSE:""&amp;A123,""HIGH"")"),1838)</f>
        <v/>
      </c>
      <c r="E123" s="13">
        <f>IFERROR(__xludf.DUMMYFUNCTION("GOOGLEFINANCE(""NSE:""&amp;A123,""LOW"")"),1781.05)</f>
        <v/>
      </c>
      <c r="F123" s="13">
        <f>IFERROR(__xludf.DUMMYFUNCTION("GOOGLEFINANCE(""NSE:""&amp;A123,""closeyest"")"),1813.25)</f>
        <v/>
      </c>
      <c r="G123" s="14">
        <f>(B123-C123)/B123</f>
        <v/>
      </c>
      <c r="H123" s="13">
        <f>IFERROR(__xludf.DUMMYFUNCTION("GOOGLEFINANCE(""NSE:""&amp;A123,""VOLUME"")"),87607)</f>
        <v/>
      </c>
      <c r="I123" s="13">
        <f>IFERROR(__xludf.DUMMYFUNCTION("AVERAGE(index(GOOGLEFINANCE(""NSE:""&amp;$A123, ""volume"", today()-21, today()-1), , 2))"),"#N/A")</f>
        <v/>
      </c>
      <c r="J123" s="14">
        <f>(H123-I123)/I123</f>
        <v/>
      </c>
      <c r="K123" s="13">
        <f>IFERROR(__xludf.DUMMYFUNCTION("AVERAGE(index(GOOGLEFINANCE(""NSE:""&amp;$A123, ""close"", today()-6, today()-1), , 2))"),"#N/A")</f>
        <v/>
      </c>
      <c r="L123" s="13">
        <f>IFERROR(__xludf.DUMMYFUNCTION("AVERAGE(index(GOOGLEFINANCE(""NSE:""&amp;$A123, ""close"", today()-14, today()-1), , 2))"),"#N/A")</f>
        <v/>
      </c>
      <c r="M123" s="13">
        <f>IFERROR(__xludf.DUMMYFUNCTION("AVERAGE(index(GOOGLEFINANCE(""NSE:""&amp;$A123, ""close"", today()-22, today()-1), , 2))"),"#N/A")</f>
        <v/>
      </c>
      <c r="N123" s="13">
        <f>AG123</f>
        <v/>
      </c>
      <c r="O123" s="13">
        <f>AI123</f>
        <v/>
      </c>
      <c r="P123" s="13">
        <f>W123</f>
        <v/>
      </c>
      <c r="Q123" s="13">
        <f>Y123</f>
        <v/>
      </c>
      <c r="R123" s="15" t="n"/>
      <c r="S123" s="15">
        <f>LEFT(W123,2)&amp;LEFT(Y123,2)</f>
        <v/>
      </c>
      <c r="T123" s="15" t="n"/>
      <c r="U123" s="15">
        <f>IF(K123&lt;L123,1,0)</f>
        <v/>
      </c>
      <c r="V123" s="15">
        <f>IF(H123&gt;I123,1,0)</f>
        <v/>
      </c>
      <c r="W123" s="15">
        <f>IF(SUM(U123:V123)=2,"Anticipatory_Sell","No_Action")</f>
        <v/>
      </c>
      <c r="X123" s="15" t="n"/>
      <c r="Y123" s="15">
        <f>IF(SUM(Z123:AA123)=2,"Confirm_Sell","No_Action")</f>
        <v/>
      </c>
      <c r="Z123" s="15">
        <f>IF(H123&gt;I123,1,0)</f>
        <v/>
      </c>
      <c r="AA123" s="15">
        <f>IF(K123&lt;M123,1,0)</f>
        <v/>
      </c>
      <c r="AB123" s="15" t="n"/>
      <c r="AC123" s="15">
        <f>LEFT(AG123,2)&amp;LEFT(AI123,2)</f>
        <v/>
      </c>
      <c r="AD123" s="15" t="n"/>
      <c r="AE123" s="15">
        <f>IF(K123&gt;L123,1,0)</f>
        <v/>
      </c>
      <c r="AF123" s="16">
        <f>IF(H123&gt;I123,1,0)</f>
        <v/>
      </c>
      <c r="AG123" s="16">
        <f>IF(SUM(AE123:AF123)=2,"Anticipatory_Buy","No_Action")</f>
        <v/>
      </c>
      <c r="AH123" s="15" t="n"/>
      <c r="AI123" s="15">
        <f>IF(SUM(AJ123:AK123)=2,"Confirm_Buy","No_Action")</f>
        <v/>
      </c>
      <c r="AJ123" s="15">
        <f>IF(H123&gt;I123,1,0)</f>
        <v/>
      </c>
      <c r="AK123" s="15">
        <f>IF(K123&gt;M123,1,0)</f>
        <v/>
      </c>
    </row>
    <row r="124" ht="14.5" customHeight="1">
      <c r="A124" s="12" t="inlineStr">
        <is>
          <t>GLAXO</t>
        </is>
      </c>
      <c r="B124" s="13">
        <f>IFERROR(__xludf.DUMMYFUNCTION("GOOGLEFINANCE(""NSE:""&amp;A124,""PRICE"")"),2327.05)</f>
        <v/>
      </c>
      <c r="C124" s="13">
        <f>IFERROR(__xludf.DUMMYFUNCTION("GOOGLEFINANCE(""NSE:""&amp;A124,""PRICEOPEN"")"),2343.15)</f>
        <v/>
      </c>
      <c r="D124" s="13">
        <f>IFERROR(__xludf.DUMMYFUNCTION("GOOGLEFINANCE(""NSE:""&amp;A124,""HIGH"")"),2363.75)</f>
        <v/>
      </c>
      <c r="E124" s="13">
        <f>IFERROR(__xludf.DUMMYFUNCTION("GOOGLEFINANCE(""NSE:""&amp;A124,""LOW"")"),2322.05)</f>
        <v/>
      </c>
      <c r="F124" s="13">
        <f>IFERROR(__xludf.DUMMYFUNCTION("GOOGLEFINANCE(""NSE:""&amp;A124,""closeyest"")"),2343.15)</f>
        <v/>
      </c>
      <c r="G124" s="14">
        <f>(B124-C124)/B124</f>
        <v/>
      </c>
      <c r="H124" s="13">
        <f>IFERROR(__xludf.DUMMYFUNCTION("GOOGLEFINANCE(""NSE:""&amp;A124,""VOLUME"")"),60787)</f>
        <v/>
      </c>
      <c r="I124" s="13">
        <f>IFERROR(__xludf.DUMMYFUNCTION("AVERAGE(index(GOOGLEFINANCE(""NSE:""&amp;$A124, ""volume"", today()-21, today()-1), , 2))"),"#N/A")</f>
        <v/>
      </c>
      <c r="J124" s="14">
        <f>(H124-I124)/I124</f>
        <v/>
      </c>
      <c r="K124" s="13">
        <f>IFERROR(__xludf.DUMMYFUNCTION("AVERAGE(index(GOOGLEFINANCE(""NSE:""&amp;$A124, ""close"", today()-6, today()-1), , 2))"),"#N/A")</f>
        <v/>
      </c>
      <c r="L124" s="13">
        <f>IFERROR(__xludf.DUMMYFUNCTION("AVERAGE(index(GOOGLEFINANCE(""NSE:""&amp;$A124, ""close"", today()-14, today()-1), , 2))"),"#N/A")</f>
        <v/>
      </c>
      <c r="M124" s="13">
        <f>IFERROR(__xludf.DUMMYFUNCTION("AVERAGE(index(GOOGLEFINANCE(""NSE:""&amp;$A124, ""close"", today()-22, today()-1), , 2))"),"#N/A")</f>
        <v/>
      </c>
      <c r="N124" s="13">
        <f>AG124</f>
        <v/>
      </c>
      <c r="O124" s="13">
        <f>AI124</f>
        <v/>
      </c>
      <c r="P124" s="13">
        <f>W124</f>
        <v/>
      </c>
      <c r="Q124" s="13">
        <f>Y124</f>
        <v/>
      </c>
      <c r="R124" s="15" t="n"/>
      <c r="S124" s="15">
        <f>LEFT(W124,2)&amp;LEFT(Y124,2)</f>
        <v/>
      </c>
      <c r="T124" s="15" t="n"/>
      <c r="U124" s="15">
        <f>IF(K124&lt;L124,1,0)</f>
        <v/>
      </c>
      <c r="V124" s="15">
        <f>IF(H124&gt;I124,1,0)</f>
        <v/>
      </c>
      <c r="W124" s="15">
        <f>IF(SUM(U124:V124)=2,"Anticipatory_Sell","No_Action")</f>
        <v/>
      </c>
      <c r="X124" s="15" t="n"/>
      <c r="Y124" s="15">
        <f>IF(SUM(Z124:AA124)=2,"Confirm_Sell","No_Action")</f>
        <v/>
      </c>
      <c r="Z124" s="15">
        <f>IF(H124&gt;I124,1,0)</f>
        <v/>
      </c>
      <c r="AA124" s="15">
        <f>IF(K124&lt;M124,1,0)</f>
        <v/>
      </c>
      <c r="AB124" s="15" t="n"/>
      <c r="AC124" s="15">
        <f>LEFT(AG124,2)&amp;LEFT(AI124,2)</f>
        <v/>
      </c>
      <c r="AD124" s="15" t="n"/>
      <c r="AE124" s="15">
        <f>IF(K124&gt;L124,1,0)</f>
        <v/>
      </c>
      <c r="AF124" s="16">
        <f>IF(H124&gt;I124,1,0)</f>
        <v/>
      </c>
      <c r="AG124" s="16">
        <f>IF(SUM(AE124:AF124)=2,"Anticipatory_Buy","No_Action")</f>
        <v/>
      </c>
      <c r="AH124" s="15" t="n"/>
      <c r="AI124" s="15">
        <f>IF(SUM(AJ124:AK124)=2,"Confirm_Buy","No_Action")</f>
        <v/>
      </c>
      <c r="AJ124" s="15">
        <f>IF(H124&gt;I124,1,0)</f>
        <v/>
      </c>
      <c r="AK124" s="15">
        <f>IF(K124&gt;M124,1,0)</f>
        <v/>
      </c>
    </row>
    <row r="125" ht="14.5" customHeight="1">
      <c r="A125" s="12" t="inlineStr">
        <is>
          <t>MEDANTA</t>
        </is>
      </c>
      <c r="B125" s="13">
        <f>IFERROR(__xludf.DUMMYFUNCTION("GOOGLEFINANCE(""NSE:""&amp;A125,""PRICE"")"),1180)</f>
        <v/>
      </c>
      <c r="C125" s="13">
        <f>IFERROR(__xludf.DUMMYFUNCTION("GOOGLEFINANCE(""NSE:""&amp;A125,""PRICEOPEN"")"),1182.2)</f>
        <v/>
      </c>
      <c r="D125" s="13">
        <f>IFERROR(__xludf.DUMMYFUNCTION("GOOGLEFINANCE(""NSE:""&amp;A125,""HIGH"")"),1189.3)</f>
        <v/>
      </c>
      <c r="E125" s="13">
        <f>IFERROR(__xludf.DUMMYFUNCTION("GOOGLEFINANCE(""NSE:""&amp;A125,""LOW"")"),1169.05)</f>
        <v/>
      </c>
      <c r="F125" s="13">
        <f>IFERROR(__xludf.DUMMYFUNCTION("GOOGLEFINANCE(""NSE:""&amp;A125,""closeyest"")"),1175.3)</f>
        <v/>
      </c>
      <c r="G125" s="14">
        <f>(B125-C125)/B125</f>
        <v/>
      </c>
      <c r="H125" s="13">
        <f>IFERROR(__xludf.DUMMYFUNCTION("GOOGLEFINANCE(""NSE:""&amp;A125,""VOLUME"")"),208475)</f>
        <v/>
      </c>
      <c r="I125" s="13">
        <f>IFERROR(__xludf.DUMMYFUNCTION("AVERAGE(index(GOOGLEFINANCE(""NSE:""&amp;$A125, ""volume"", today()-21, today()-1), , 2))"),"#N/A")</f>
        <v/>
      </c>
      <c r="J125" s="14">
        <f>(H125-I125)/I125</f>
        <v/>
      </c>
      <c r="K125" s="13">
        <f>IFERROR(__xludf.DUMMYFUNCTION("AVERAGE(index(GOOGLEFINANCE(""NSE:""&amp;$A125, ""close"", today()-6, today()-1), , 2))"),"#N/A")</f>
        <v/>
      </c>
      <c r="L125" s="13">
        <f>IFERROR(__xludf.DUMMYFUNCTION("AVERAGE(index(GOOGLEFINANCE(""NSE:""&amp;$A125, ""close"", today()-14, today()-1), , 2))"),"#N/A")</f>
        <v/>
      </c>
      <c r="M125" s="13">
        <f>IFERROR(__xludf.DUMMYFUNCTION("AVERAGE(index(GOOGLEFINANCE(""NSE:""&amp;$A125, ""close"", today()-22, today()-1), , 2))"),"#N/A")</f>
        <v/>
      </c>
      <c r="N125" s="13">
        <f>AG125</f>
        <v/>
      </c>
      <c r="O125" s="13">
        <f>AI125</f>
        <v/>
      </c>
      <c r="P125" s="13">
        <f>W125</f>
        <v/>
      </c>
      <c r="Q125" s="13">
        <f>Y125</f>
        <v/>
      </c>
      <c r="R125" s="15" t="n"/>
      <c r="S125" s="15">
        <f>LEFT(W125,2)&amp;LEFT(Y125,2)</f>
        <v/>
      </c>
      <c r="T125" s="15" t="n"/>
      <c r="U125" s="15">
        <f>IF(K125&lt;L125,1,0)</f>
        <v/>
      </c>
      <c r="V125" s="15">
        <f>IF(H125&gt;I125,1,0)</f>
        <v/>
      </c>
      <c r="W125" s="15">
        <f>IF(SUM(U125:V125)=2,"Anticipatory_Sell","No_Action")</f>
        <v/>
      </c>
      <c r="X125" s="15" t="n"/>
      <c r="Y125" s="15">
        <f>IF(SUM(Z125:AA125)=2,"Confirm_Sell","No_Action")</f>
        <v/>
      </c>
      <c r="Z125" s="15">
        <f>IF(H125&gt;I125,1,0)</f>
        <v/>
      </c>
      <c r="AA125" s="15">
        <f>IF(K125&lt;M125,1,0)</f>
        <v/>
      </c>
      <c r="AB125" s="15" t="n"/>
      <c r="AC125" s="15">
        <f>LEFT(AG125,2)&amp;LEFT(AI125,2)</f>
        <v/>
      </c>
      <c r="AD125" s="15" t="n"/>
      <c r="AE125" s="15">
        <f>IF(K125&gt;L125,1,0)</f>
        <v/>
      </c>
      <c r="AF125" s="16">
        <f>IF(H125&gt;I125,1,0)</f>
        <v/>
      </c>
      <c r="AG125" s="16">
        <f>IF(SUM(AE125:AF125)=2,"Anticipatory_Buy","No_Action")</f>
        <v/>
      </c>
      <c r="AH125" s="15" t="n"/>
      <c r="AI125" s="15">
        <f>IF(SUM(AJ125:AK125)=2,"Confirm_Buy","No_Action")</f>
        <v/>
      </c>
      <c r="AJ125" s="15">
        <f>IF(H125&gt;I125,1,0)</f>
        <v/>
      </c>
      <c r="AK125" s="15">
        <f>IF(K125&gt;M125,1,0)</f>
        <v/>
      </c>
    </row>
    <row r="126" ht="14.5" customHeight="1">
      <c r="A126" s="12" t="inlineStr">
        <is>
          <t>GMMPFAUDLR</t>
        </is>
      </c>
      <c r="B126" s="13">
        <f>IFERROR(__xludf.DUMMYFUNCTION("GOOGLEFINANCE(""NSE:""&amp;A126,""PRICE"")"),1252)</f>
        <v/>
      </c>
      <c r="C126" s="13">
        <f>IFERROR(__xludf.DUMMYFUNCTION("GOOGLEFINANCE(""NSE:""&amp;A126,""PRICEOPEN"")"),1276.95)</f>
        <v/>
      </c>
      <c r="D126" s="13">
        <f>IFERROR(__xludf.DUMMYFUNCTION("GOOGLEFINANCE(""NSE:""&amp;A126,""HIGH"")"),1282.45)</f>
        <v/>
      </c>
      <c r="E126" s="13">
        <f>IFERROR(__xludf.DUMMYFUNCTION("GOOGLEFINANCE(""NSE:""&amp;A126,""LOW"")"),1246.1)</f>
        <v/>
      </c>
      <c r="F126" s="13">
        <f>IFERROR(__xludf.DUMMYFUNCTION("GOOGLEFINANCE(""NSE:""&amp;A126,""closeyest"")"),1277.45)</f>
        <v/>
      </c>
      <c r="G126" s="14">
        <f>(B126-C126)/B126</f>
        <v/>
      </c>
      <c r="H126" s="13">
        <f>IFERROR(__xludf.DUMMYFUNCTION("GOOGLEFINANCE(""NSE:""&amp;A126,""VOLUME"")"),45507)</f>
        <v/>
      </c>
      <c r="I126" s="13">
        <f>IFERROR(__xludf.DUMMYFUNCTION("AVERAGE(index(GOOGLEFINANCE(""NSE:""&amp;$A126, ""volume"", today()-21, today()-1), , 2))"),"#N/A")</f>
        <v/>
      </c>
      <c r="J126" s="14">
        <f>(H126-I126)/I126</f>
        <v/>
      </c>
      <c r="K126" s="13">
        <f>IFERROR(__xludf.DUMMYFUNCTION("AVERAGE(index(GOOGLEFINANCE(""NSE:""&amp;$A126, ""close"", today()-6, today()-1), , 2))"),"#N/A")</f>
        <v/>
      </c>
      <c r="L126" s="13">
        <f>IFERROR(__xludf.DUMMYFUNCTION("AVERAGE(index(GOOGLEFINANCE(""NSE:""&amp;$A126, ""close"", today()-14, today()-1), , 2))"),"#N/A")</f>
        <v/>
      </c>
      <c r="M126" s="13">
        <f>IFERROR(__xludf.DUMMYFUNCTION("AVERAGE(index(GOOGLEFINANCE(""NSE:""&amp;$A126, ""close"", today()-22, today()-1), , 2))"),"#N/A")</f>
        <v/>
      </c>
      <c r="N126" s="13">
        <f>AG126</f>
        <v/>
      </c>
      <c r="O126" s="13">
        <f>AI126</f>
        <v/>
      </c>
      <c r="P126" s="13">
        <f>W126</f>
        <v/>
      </c>
      <c r="Q126" s="13">
        <f>Y126</f>
        <v/>
      </c>
      <c r="R126" s="15" t="n"/>
      <c r="S126" s="15">
        <f>LEFT(W126,2)&amp;LEFT(Y126,2)</f>
        <v/>
      </c>
      <c r="T126" s="15" t="n"/>
      <c r="U126" s="15">
        <f>IF(K126&lt;L126,1,0)</f>
        <v/>
      </c>
      <c r="V126" s="15">
        <f>IF(H126&gt;I126,1,0)</f>
        <v/>
      </c>
      <c r="W126" s="15">
        <f>IF(SUM(U126:V126)=2,"Anticipatory_Sell","No_Action")</f>
        <v/>
      </c>
      <c r="X126" s="15" t="n"/>
      <c r="Y126" s="15">
        <f>IF(SUM(Z126:AA126)=2,"Confirm_Sell","No_Action")</f>
        <v/>
      </c>
      <c r="Z126" s="15">
        <f>IF(H126&gt;I126,1,0)</f>
        <v/>
      </c>
      <c r="AA126" s="15">
        <f>IF(K126&lt;M126,1,0)</f>
        <v/>
      </c>
      <c r="AB126" s="15" t="n"/>
      <c r="AC126" s="15">
        <f>LEFT(AG126,2)&amp;LEFT(AI126,2)</f>
        <v/>
      </c>
      <c r="AD126" s="15" t="n"/>
      <c r="AE126" s="15">
        <f>IF(K126&gt;L126,1,0)</f>
        <v/>
      </c>
      <c r="AF126" s="16">
        <f>IF(H126&gt;I126,1,0)</f>
        <v/>
      </c>
      <c r="AG126" s="16">
        <f>IF(SUM(AE126:AF126)=2,"Anticipatory_Buy","No_Action")</f>
        <v/>
      </c>
      <c r="AH126" s="15" t="n"/>
      <c r="AI126" s="15">
        <f>IF(SUM(AJ126:AK126)=2,"Confirm_Buy","No_Action")</f>
        <v/>
      </c>
      <c r="AJ126" s="15">
        <f>IF(H126&gt;I126,1,0)</f>
        <v/>
      </c>
      <c r="AK126" s="15">
        <f>IF(K126&gt;M126,1,0)</f>
        <v/>
      </c>
    </row>
    <row r="127" ht="14.5" customHeight="1">
      <c r="A127" s="12" t="inlineStr">
        <is>
          <t>GPIL</t>
        </is>
      </c>
      <c r="B127" s="13">
        <f>IFERROR(__xludf.DUMMYFUNCTION("GOOGLEFINANCE(""NSE:""&amp;A127,""PRICE"")"),223.1)</f>
        <v/>
      </c>
      <c r="C127" s="13">
        <f>IFERROR(__xludf.DUMMYFUNCTION("GOOGLEFINANCE(""NSE:""&amp;A127,""PRICEOPEN"")"),216.47)</f>
        <v/>
      </c>
      <c r="D127" s="13">
        <f>IFERROR(__xludf.DUMMYFUNCTION("GOOGLEFINANCE(""NSE:""&amp;A127,""HIGH"")"),224.2)</f>
        <v/>
      </c>
      <c r="E127" s="13">
        <f>IFERROR(__xludf.DUMMYFUNCTION("GOOGLEFINANCE(""NSE:""&amp;A127,""LOW"")"),214.09)</f>
        <v/>
      </c>
      <c r="F127" s="13">
        <f>IFERROR(__xludf.DUMMYFUNCTION("GOOGLEFINANCE(""NSE:""&amp;A127,""closeyest"")"),214.57)</f>
        <v/>
      </c>
      <c r="G127" s="14">
        <f>(B127-C127)/B127</f>
        <v/>
      </c>
      <c r="H127" s="13">
        <f>IFERROR(__xludf.DUMMYFUNCTION("GOOGLEFINANCE(""NSE:""&amp;A127,""VOLUME"")"),4714517)</f>
        <v/>
      </c>
      <c r="I127" s="13">
        <f>IFERROR(__xludf.DUMMYFUNCTION("AVERAGE(index(GOOGLEFINANCE(""NSE:""&amp;$A127, ""volume"", today()-21, today()-1), , 2))"),"#N/A")</f>
        <v/>
      </c>
      <c r="J127" s="14">
        <f>(H127-I127)/I127</f>
        <v/>
      </c>
      <c r="K127" s="13">
        <f>IFERROR(__xludf.DUMMYFUNCTION("AVERAGE(index(GOOGLEFINANCE(""NSE:""&amp;$A127, ""close"", today()-6, today()-1), , 2))"),"#N/A")</f>
        <v/>
      </c>
      <c r="L127" s="13">
        <f>IFERROR(__xludf.DUMMYFUNCTION("AVERAGE(index(GOOGLEFINANCE(""NSE:""&amp;$A127, ""close"", today()-14, today()-1), , 2))"),"#N/A")</f>
        <v/>
      </c>
      <c r="M127" s="13">
        <f>IFERROR(__xludf.DUMMYFUNCTION("AVERAGE(index(GOOGLEFINANCE(""NSE:""&amp;$A127, ""close"", today()-22, today()-1), , 2))"),"#N/A")</f>
        <v/>
      </c>
      <c r="N127" s="13">
        <f>AG127</f>
        <v/>
      </c>
      <c r="O127" s="13">
        <f>AI127</f>
        <v/>
      </c>
      <c r="P127" s="13">
        <f>W127</f>
        <v/>
      </c>
      <c r="Q127" s="13">
        <f>Y127</f>
        <v/>
      </c>
      <c r="R127" s="15" t="n"/>
      <c r="S127" s="15">
        <f>LEFT(W127,2)&amp;LEFT(Y127,2)</f>
        <v/>
      </c>
      <c r="T127" s="15" t="n"/>
      <c r="U127" s="15">
        <f>IF(K127&lt;L127,1,0)</f>
        <v/>
      </c>
      <c r="V127" s="15">
        <f>IF(H127&gt;I127,1,0)</f>
        <v/>
      </c>
      <c r="W127" s="15">
        <f>IF(SUM(U127:V127)=2,"Anticipatory_Sell","No_Action")</f>
        <v/>
      </c>
      <c r="X127" s="15" t="n"/>
      <c r="Y127" s="15">
        <f>IF(SUM(Z127:AA127)=2,"Confirm_Sell","No_Action")</f>
        <v/>
      </c>
      <c r="Z127" s="15">
        <f>IF(H127&gt;I127,1,0)</f>
        <v/>
      </c>
      <c r="AA127" s="15">
        <f>IF(K127&lt;M127,1,0)</f>
        <v/>
      </c>
      <c r="AB127" s="15" t="n"/>
      <c r="AC127" s="15">
        <f>LEFT(AG127,2)&amp;LEFT(AI127,2)</f>
        <v/>
      </c>
      <c r="AD127" s="15" t="n"/>
      <c r="AE127" s="15">
        <f>IF(K127&gt;L127,1,0)</f>
        <v/>
      </c>
      <c r="AF127" s="16">
        <f>IF(H127&gt;I127,1,0)</f>
        <v/>
      </c>
      <c r="AG127" s="16">
        <f>IF(SUM(AE127:AF127)=2,"Anticipatory_Buy","No_Action")</f>
        <v/>
      </c>
      <c r="AH127" s="15" t="n"/>
      <c r="AI127" s="15">
        <f>IF(SUM(AJ127:AK127)=2,"Confirm_Buy","No_Action")</f>
        <v/>
      </c>
      <c r="AJ127" s="15">
        <f>IF(H127&gt;I127,1,0)</f>
        <v/>
      </c>
      <c r="AK127" s="15">
        <f>IF(K127&gt;M127,1,0)</f>
        <v/>
      </c>
    </row>
    <row r="128" ht="14.5" customHeight="1">
      <c r="A128" s="12" t="inlineStr">
        <is>
          <t>GODFRYPHLP</t>
        </is>
      </c>
      <c r="B128" s="13">
        <f>IFERROR(__xludf.DUMMYFUNCTION("GOOGLEFINANCE(""NSE:""&amp;A128,""PRICE"")"),5689)</f>
        <v/>
      </c>
      <c r="C128" s="13">
        <f>IFERROR(__xludf.DUMMYFUNCTION("GOOGLEFINANCE(""NSE:""&amp;A128,""PRICEOPEN"")"),5595.05)</f>
        <v/>
      </c>
      <c r="D128" s="13">
        <f>IFERROR(__xludf.DUMMYFUNCTION("GOOGLEFINANCE(""NSE:""&amp;A128,""HIGH"")"),5689)</f>
        <v/>
      </c>
      <c r="E128" s="13">
        <f>IFERROR(__xludf.DUMMYFUNCTION("GOOGLEFINANCE(""NSE:""&amp;A128,""LOW"")"),5575)</f>
        <v/>
      </c>
      <c r="F128" s="13">
        <f>IFERROR(__xludf.DUMMYFUNCTION("GOOGLEFINANCE(""NSE:""&amp;A128,""closeyest"")"),5594.45)</f>
        <v/>
      </c>
      <c r="G128" s="14">
        <f>(B128-C128)/B128</f>
        <v/>
      </c>
      <c r="H128" s="13">
        <f>IFERROR(__xludf.DUMMYFUNCTION("GOOGLEFINANCE(""NSE:""&amp;A128,""VOLUME"")"),30882)</f>
        <v/>
      </c>
      <c r="I128" s="13">
        <f>IFERROR(__xludf.DUMMYFUNCTION("AVERAGE(index(GOOGLEFINANCE(""NSE:""&amp;$A128, ""volume"", today()-21, today()-1), , 2))"),"#N/A")</f>
        <v/>
      </c>
      <c r="J128" s="14">
        <f>(H128-I128)/I128</f>
        <v/>
      </c>
      <c r="K128" s="13">
        <f>IFERROR(__xludf.DUMMYFUNCTION("AVERAGE(index(GOOGLEFINANCE(""NSE:""&amp;$A128, ""close"", today()-6, today()-1), , 2))"),"#N/A")</f>
        <v/>
      </c>
      <c r="L128" s="13">
        <f>IFERROR(__xludf.DUMMYFUNCTION("AVERAGE(index(GOOGLEFINANCE(""NSE:""&amp;$A128, ""close"", today()-14, today()-1), , 2))"),"#N/A")</f>
        <v/>
      </c>
      <c r="M128" s="13">
        <f>IFERROR(__xludf.DUMMYFUNCTION("AVERAGE(index(GOOGLEFINANCE(""NSE:""&amp;$A128, ""close"", today()-22, today()-1), , 2))"),"#N/A")</f>
        <v/>
      </c>
      <c r="N128" s="13">
        <f>AG128</f>
        <v/>
      </c>
      <c r="O128" s="13">
        <f>AI128</f>
        <v/>
      </c>
      <c r="P128" s="13">
        <f>W128</f>
        <v/>
      </c>
      <c r="Q128" s="13">
        <f>Y128</f>
        <v/>
      </c>
      <c r="R128" s="15" t="n"/>
      <c r="S128" s="15">
        <f>LEFT(W128,2)&amp;LEFT(Y128,2)</f>
        <v/>
      </c>
      <c r="T128" s="15" t="n"/>
      <c r="U128" s="15">
        <f>IF(K128&lt;L128,1,0)</f>
        <v/>
      </c>
      <c r="V128" s="15">
        <f>IF(H128&gt;I128,1,0)</f>
        <v/>
      </c>
      <c r="W128" s="15">
        <f>IF(SUM(U128:V128)=2,"Anticipatory_Sell","No_Action")</f>
        <v/>
      </c>
      <c r="X128" s="15" t="n"/>
      <c r="Y128" s="15">
        <f>IF(SUM(Z128:AA128)=2,"Confirm_Sell","No_Action")</f>
        <v/>
      </c>
      <c r="Z128" s="15">
        <f>IF(H128&gt;I128,1,0)</f>
        <v/>
      </c>
      <c r="AA128" s="15">
        <f>IF(K128&lt;M128,1,0)</f>
        <v/>
      </c>
      <c r="AB128" s="15" t="n"/>
      <c r="AC128" s="15">
        <f>LEFT(AG128,2)&amp;LEFT(AI128,2)</f>
        <v/>
      </c>
      <c r="AD128" s="15" t="n"/>
      <c r="AE128" s="15">
        <f>IF(K128&gt;L128,1,0)</f>
        <v/>
      </c>
      <c r="AF128" s="16">
        <f>IF(H128&gt;I128,1,0)</f>
        <v/>
      </c>
      <c r="AG128" s="16">
        <f>IF(SUM(AE128:AF128)=2,"Anticipatory_Buy","No_Action")</f>
        <v/>
      </c>
      <c r="AH128" s="15" t="n"/>
      <c r="AI128" s="15">
        <f>IF(SUM(AJ128:AK128)=2,"Confirm_Buy","No_Action")</f>
        <v/>
      </c>
      <c r="AJ128" s="15">
        <f>IF(H128&gt;I128,1,0)</f>
        <v/>
      </c>
      <c r="AK128" s="15">
        <f>IF(K128&gt;M128,1,0)</f>
        <v/>
      </c>
    </row>
    <row r="129" ht="14.5" customHeight="1">
      <c r="A129" s="12" t="inlineStr">
        <is>
          <t>GOLDIAM</t>
        </is>
      </c>
      <c r="B129" s="13">
        <f>IFERROR(__xludf.DUMMYFUNCTION("GOOGLEFINANCE(""NSE:""&amp;A129,""PRICE"")"),424)</f>
        <v/>
      </c>
      <c r="C129" s="13">
        <f>IFERROR(__xludf.DUMMYFUNCTION("GOOGLEFINANCE(""NSE:""&amp;A129,""PRICEOPEN"")"),423.8)</f>
        <v/>
      </c>
      <c r="D129" s="13">
        <f>IFERROR(__xludf.DUMMYFUNCTION("GOOGLEFINANCE(""NSE:""&amp;A129,""HIGH"")"),445.45)</f>
        <v/>
      </c>
      <c r="E129" s="13">
        <f>IFERROR(__xludf.DUMMYFUNCTION("GOOGLEFINANCE(""NSE:""&amp;A129,""LOW"")"),418)</f>
        <v/>
      </c>
      <c r="F129" s="13">
        <f>IFERROR(__xludf.DUMMYFUNCTION("GOOGLEFINANCE(""NSE:""&amp;A129,""closeyest"")"),418.9)</f>
        <v/>
      </c>
      <c r="G129" s="14">
        <f>(B129-C129)/B129</f>
        <v/>
      </c>
      <c r="H129" s="13">
        <f>IFERROR(__xludf.DUMMYFUNCTION("GOOGLEFINANCE(""NSE:""&amp;A129,""VOLUME"")"),3032398)</f>
        <v/>
      </c>
      <c r="I129" s="13">
        <f>IFERROR(__xludf.DUMMYFUNCTION("AVERAGE(index(GOOGLEFINANCE(""NSE:""&amp;$A129, ""volume"", today()-21, today()-1), , 2))"),"#N/A")</f>
        <v/>
      </c>
      <c r="J129" s="14">
        <f>(H129-I129)/I129</f>
        <v/>
      </c>
      <c r="K129" s="13">
        <f>IFERROR(__xludf.DUMMYFUNCTION("AVERAGE(index(GOOGLEFINANCE(""NSE:""&amp;$A129, ""close"", today()-6, today()-1), , 2))"),"#N/A")</f>
        <v/>
      </c>
      <c r="L129" s="13">
        <f>IFERROR(__xludf.DUMMYFUNCTION("AVERAGE(index(GOOGLEFINANCE(""NSE:""&amp;$A129, ""close"", today()-14, today()-1), , 2))"),"#N/A")</f>
        <v/>
      </c>
      <c r="M129" s="13">
        <f>IFERROR(__xludf.DUMMYFUNCTION("AVERAGE(index(GOOGLEFINANCE(""NSE:""&amp;$A129, ""close"", today()-22, today()-1), , 2))"),"#N/A")</f>
        <v/>
      </c>
      <c r="N129" s="13">
        <f>AG129</f>
        <v/>
      </c>
      <c r="O129" s="13">
        <f>AI129</f>
        <v/>
      </c>
      <c r="P129" s="13">
        <f>W129</f>
        <v/>
      </c>
      <c r="Q129" s="13">
        <f>Y129</f>
        <v/>
      </c>
      <c r="R129" s="15" t="n"/>
      <c r="S129" s="15">
        <f>LEFT(W129,2)&amp;LEFT(Y129,2)</f>
        <v/>
      </c>
      <c r="T129" s="15" t="n"/>
      <c r="U129" s="15">
        <f>IF(K129&lt;L129,1,0)</f>
        <v/>
      </c>
      <c r="V129" s="15">
        <f>IF(H129&gt;I129,1,0)</f>
        <v/>
      </c>
      <c r="W129" s="15">
        <f>IF(SUM(U129:V129)=2,"Anticipatory_Sell","No_Action")</f>
        <v/>
      </c>
      <c r="X129" s="15" t="n"/>
      <c r="Y129" s="15">
        <f>IF(SUM(Z129:AA129)=2,"Confirm_Sell","No_Action")</f>
        <v/>
      </c>
      <c r="Z129" s="15">
        <f>IF(H129&gt;I129,1,0)</f>
        <v/>
      </c>
      <c r="AA129" s="15">
        <f>IF(K129&lt;M129,1,0)</f>
        <v/>
      </c>
      <c r="AB129" s="15" t="n"/>
      <c r="AC129" s="15">
        <f>LEFT(AG129,2)&amp;LEFT(AI129,2)</f>
        <v/>
      </c>
      <c r="AD129" s="15" t="n"/>
      <c r="AE129" s="15">
        <f>IF(K129&gt;L129,1,0)</f>
        <v/>
      </c>
      <c r="AF129" s="16">
        <f>IF(H129&gt;I129,1,0)</f>
        <v/>
      </c>
      <c r="AG129" s="16">
        <f>IF(SUM(AE129:AF129)=2,"Anticipatory_Buy","No_Action")</f>
        <v/>
      </c>
      <c r="AH129" s="15" t="n"/>
      <c r="AI129" s="15">
        <f>IF(SUM(AJ129:AK129)=2,"Confirm_Buy","No_Action")</f>
        <v/>
      </c>
      <c r="AJ129" s="15">
        <f>IF(H129&gt;I129,1,0)</f>
        <v/>
      </c>
      <c r="AK129" s="15">
        <f>IF(K129&gt;M129,1,0)</f>
        <v/>
      </c>
    </row>
    <row r="130" ht="14.5" customHeight="1">
      <c r="A130" s="12" t="inlineStr">
        <is>
          <t>GRANULES</t>
        </is>
      </c>
      <c r="B130" s="13">
        <f>IFERROR(__xludf.DUMMYFUNCTION("GOOGLEFINANCE(""NSE:""&amp;A130,""PRICE"")"),579.1)</f>
        <v/>
      </c>
      <c r="C130" s="13">
        <f>IFERROR(__xludf.DUMMYFUNCTION("GOOGLEFINANCE(""NSE:""&amp;A130,""PRICEOPEN"")"),574.05)</f>
        <v/>
      </c>
      <c r="D130" s="13">
        <f>IFERROR(__xludf.DUMMYFUNCTION("GOOGLEFINANCE(""NSE:""&amp;A130,""HIGH"")"),583)</f>
        <v/>
      </c>
      <c r="E130" s="13">
        <f>IFERROR(__xludf.DUMMYFUNCTION("GOOGLEFINANCE(""NSE:""&amp;A130,""LOW"")"),569.25)</f>
        <v/>
      </c>
      <c r="F130" s="13">
        <f>IFERROR(__xludf.DUMMYFUNCTION("GOOGLEFINANCE(""NSE:""&amp;A130,""closeyest"")"),575.65)</f>
        <v/>
      </c>
      <c r="G130" s="14">
        <f>(B130-C130)/B130</f>
        <v/>
      </c>
      <c r="H130" s="13">
        <f>IFERROR(__xludf.DUMMYFUNCTION("GOOGLEFINANCE(""NSE:""&amp;A130,""VOLUME"")"),1631498)</f>
        <v/>
      </c>
      <c r="I130" s="13">
        <f>IFERROR(__xludf.DUMMYFUNCTION("AVERAGE(index(GOOGLEFINANCE(""NSE:""&amp;$A130, ""volume"", today()-21, today()-1), , 2))"),"#N/A")</f>
        <v/>
      </c>
      <c r="J130" s="14">
        <f>(H130-I130)/I130</f>
        <v/>
      </c>
      <c r="K130" s="13">
        <f>IFERROR(__xludf.DUMMYFUNCTION("AVERAGE(index(GOOGLEFINANCE(""NSE:""&amp;$A130, ""close"", today()-6, today()-1), , 2))"),"#N/A")</f>
        <v/>
      </c>
      <c r="L130" s="13">
        <f>IFERROR(__xludf.DUMMYFUNCTION("AVERAGE(index(GOOGLEFINANCE(""NSE:""&amp;$A130, ""close"", today()-14, today()-1), , 2))"),"#N/A")</f>
        <v/>
      </c>
      <c r="M130" s="13">
        <f>IFERROR(__xludf.DUMMYFUNCTION("AVERAGE(index(GOOGLEFINANCE(""NSE:""&amp;$A130, ""close"", today()-22, today()-1), , 2))"),"#N/A")</f>
        <v/>
      </c>
      <c r="N130" s="13">
        <f>AG130</f>
        <v/>
      </c>
      <c r="O130" s="13">
        <f>AI130</f>
        <v/>
      </c>
      <c r="P130" s="13">
        <f>W130</f>
        <v/>
      </c>
      <c r="Q130" s="13">
        <f>Y130</f>
        <v/>
      </c>
      <c r="R130" s="15" t="n"/>
      <c r="S130" s="15">
        <f>LEFT(W130,2)&amp;LEFT(Y130,2)</f>
        <v/>
      </c>
      <c r="T130" s="15" t="n"/>
      <c r="U130" s="15">
        <f>IF(K130&lt;L130,1,0)</f>
        <v/>
      </c>
      <c r="V130" s="15">
        <f>IF(H130&gt;I130,1,0)</f>
        <v/>
      </c>
      <c r="W130" s="15">
        <f>IF(SUM(U130:V130)=2,"Anticipatory_Sell","No_Action")</f>
        <v/>
      </c>
      <c r="X130" s="15" t="n"/>
      <c r="Y130" s="15">
        <f>IF(SUM(Z130:AA130)=2,"Confirm_Sell","No_Action")</f>
        <v/>
      </c>
      <c r="Z130" s="15">
        <f>IF(H130&gt;I130,1,0)</f>
        <v/>
      </c>
      <c r="AA130" s="15">
        <f>IF(K130&lt;M130,1,0)</f>
        <v/>
      </c>
      <c r="AB130" s="15" t="n"/>
      <c r="AC130" s="15">
        <f>LEFT(AG130,2)&amp;LEFT(AI130,2)</f>
        <v/>
      </c>
      <c r="AD130" s="15" t="n"/>
      <c r="AE130" s="15">
        <f>IF(K130&gt;L130,1,0)</f>
        <v/>
      </c>
      <c r="AF130" s="16">
        <f>IF(H130&gt;I130,1,0)</f>
        <v/>
      </c>
      <c r="AG130" s="16">
        <f>IF(SUM(AE130:AF130)=2,"Anticipatory_Buy","No_Action")</f>
        <v/>
      </c>
      <c r="AH130" s="15" t="n"/>
      <c r="AI130" s="15">
        <f>IF(SUM(AJ130:AK130)=2,"Confirm_Buy","No_Action")</f>
        <v/>
      </c>
      <c r="AJ130" s="15">
        <f>IF(H130&gt;I130,1,0)</f>
        <v/>
      </c>
      <c r="AK130" s="15">
        <f>IF(K130&gt;M130,1,0)</f>
        <v/>
      </c>
    </row>
    <row r="131" ht="14.5" customHeight="1">
      <c r="A131" s="12" t="inlineStr">
        <is>
          <t>GRAUWEIL</t>
        </is>
      </c>
      <c r="B131" s="13">
        <f>IFERROR(__xludf.DUMMYFUNCTION("GOOGLEFINANCE(""NSE:""&amp;A131,""PRICE"")"),"#N/A")</f>
        <v/>
      </c>
      <c r="C131" s="13">
        <f>IFERROR(__xludf.DUMMYFUNCTION("GOOGLEFINANCE(""NSE:""&amp;A131,""PRICEOPEN"")"),"#N/A")</f>
        <v/>
      </c>
      <c r="D131" s="13">
        <f>IFERROR(__xludf.DUMMYFUNCTION("GOOGLEFINANCE(""NSE:""&amp;A131,""HIGH"")"),"#N/A")</f>
        <v/>
      </c>
      <c r="E131" s="13">
        <f>IFERROR(__xludf.DUMMYFUNCTION("GOOGLEFINANCE(""NSE:""&amp;A131,""LOW"")"),"#N/A")</f>
        <v/>
      </c>
      <c r="F131" s="13">
        <f>IFERROR(__xludf.DUMMYFUNCTION("GOOGLEFINANCE(""NSE:""&amp;A131,""closeyest"")"),"#N/A")</f>
        <v/>
      </c>
      <c r="G131" s="14">
        <f>(B131-C131)/B131</f>
        <v/>
      </c>
      <c r="H131" s="13">
        <f>IFERROR(__xludf.DUMMYFUNCTION("GOOGLEFINANCE(""NSE:""&amp;A131,""VOLUME"")"),"#N/A")</f>
        <v/>
      </c>
      <c r="I131" s="13">
        <f>IFERROR(__xludf.DUMMYFUNCTION("AVERAGE(index(GOOGLEFINANCE(""NSE:""&amp;$A131, ""volume"", today()-21, today()-1), , 2))"),"#N/A")</f>
        <v/>
      </c>
      <c r="J131" s="14">
        <f>(H131-I131)/I131</f>
        <v/>
      </c>
      <c r="K131" s="13">
        <f>IFERROR(__xludf.DUMMYFUNCTION("AVERAGE(index(GOOGLEFINANCE(""NSE:""&amp;$A131, ""close"", today()-6, today()-1), , 2))"),"#N/A")</f>
        <v/>
      </c>
      <c r="L131" s="13">
        <f>IFERROR(__xludf.DUMMYFUNCTION("AVERAGE(index(GOOGLEFINANCE(""NSE:""&amp;$A131, ""close"", today()-14, today()-1), , 2))"),"#N/A")</f>
        <v/>
      </c>
      <c r="M131" s="13">
        <f>IFERROR(__xludf.DUMMYFUNCTION("AVERAGE(index(GOOGLEFINANCE(""NSE:""&amp;$A131, ""close"", today()-22, today()-1), , 2))"),"#N/A")</f>
        <v/>
      </c>
      <c r="N131" s="13">
        <f>AG131</f>
        <v/>
      </c>
      <c r="O131" s="13">
        <f>AI131</f>
        <v/>
      </c>
      <c r="P131" s="13">
        <f>W131</f>
        <v/>
      </c>
      <c r="Q131" s="13">
        <f>Y131</f>
        <v/>
      </c>
      <c r="R131" s="15" t="n"/>
      <c r="S131" s="15">
        <f>LEFT(W131,2)&amp;LEFT(Y131,2)</f>
        <v/>
      </c>
      <c r="T131" s="15" t="n"/>
      <c r="U131" s="15">
        <f>IF(K131&lt;L131,1,0)</f>
        <v/>
      </c>
      <c r="V131" s="15">
        <f>IF(H131&gt;I131,1,0)</f>
        <v/>
      </c>
      <c r="W131" s="15">
        <f>IF(SUM(U131:V131)=2,"Anticipatory_Sell","No_Action")</f>
        <v/>
      </c>
      <c r="X131" s="15" t="n"/>
      <c r="Y131" s="15">
        <f>IF(SUM(Z131:AA131)=2,"Confirm_Sell","No_Action")</f>
        <v/>
      </c>
      <c r="Z131" s="15">
        <f>IF(H131&gt;I131,1,0)</f>
        <v/>
      </c>
      <c r="AA131" s="15">
        <f>IF(K131&lt;M131,1,0)</f>
        <v/>
      </c>
      <c r="AB131" s="15" t="n"/>
      <c r="AC131" s="15">
        <f>LEFT(AG131,2)&amp;LEFT(AI131,2)</f>
        <v/>
      </c>
      <c r="AD131" s="15" t="n"/>
      <c r="AE131" s="15">
        <f>IF(K131&gt;L131,1,0)</f>
        <v/>
      </c>
      <c r="AF131" s="16">
        <f>IF(H131&gt;I131,1,0)</f>
        <v/>
      </c>
      <c r="AG131" s="16">
        <f>IF(SUM(AE131:AF131)=2,"Anticipatory_Buy","No_Action")</f>
        <v/>
      </c>
      <c r="AH131" s="15" t="n"/>
      <c r="AI131" s="15">
        <f>IF(SUM(AJ131:AK131)=2,"Confirm_Buy","No_Action")</f>
        <v/>
      </c>
      <c r="AJ131" s="15">
        <f>IF(H131&gt;I131,1,0)</f>
        <v/>
      </c>
      <c r="AK131" s="15">
        <f>IF(K131&gt;M131,1,0)</f>
        <v/>
      </c>
    </row>
    <row r="132" ht="14.5" customHeight="1">
      <c r="A132" s="12" t="inlineStr">
        <is>
          <t>GREENLAM</t>
        </is>
      </c>
      <c r="B132" s="13">
        <f>IFERROR(__xludf.DUMMYFUNCTION("GOOGLEFINANCE(""NSE:""&amp;A132,""PRICE"")"),585)</f>
        <v/>
      </c>
      <c r="C132" s="13">
        <f>IFERROR(__xludf.DUMMYFUNCTION("GOOGLEFINANCE(""NSE:""&amp;A132,""PRICEOPEN"")"),586.45)</f>
        <v/>
      </c>
      <c r="D132" s="13">
        <f>IFERROR(__xludf.DUMMYFUNCTION("GOOGLEFINANCE(""NSE:""&amp;A132,""HIGH"")"),591.2)</f>
        <v/>
      </c>
      <c r="E132" s="13">
        <f>IFERROR(__xludf.DUMMYFUNCTION("GOOGLEFINANCE(""NSE:""&amp;A132,""LOW"")"),580.05)</f>
        <v/>
      </c>
      <c r="F132" s="13">
        <f>IFERROR(__xludf.DUMMYFUNCTION("GOOGLEFINANCE(""NSE:""&amp;A132,""closeyest"")"),586.45)</f>
        <v/>
      </c>
      <c r="G132" s="14">
        <f>(B132-C132)/B132</f>
        <v/>
      </c>
      <c r="H132" s="13">
        <f>IFERROR(__xludf.DUMMYFUNCTION("GOOGLEFINANCE(""NSE:""&amp;A132,""VOLUME"")"),13367)</f>
        <v/>
      </c>
      <c r="I132" s="13">
        <f>IFERROR(__xludf.DUMMYFUNCTION("AVERAGE(index(GOOGLEFINANCE(""NSE:""&amp;$A132, ""volume"", today()-21, today()-1), , 2))"),"#N/A")</f>
        <v/>
      </c>
      <c r="J132" s="14">
        <f>(H132-I132)/I132</f>
        <v/>
      </c>
      <c r="K132" s="13">
        <f>IFERROR(__xludf.DUMMYFUNCTION("AVERAGE(index(GOOGLEFINANCE(""NSE:""&amp;$A132, ""close"", today()-6, today()-1), , 2))"),"#N/A")</f>
        <v/>
      </c>
      <c r="L132" s="13">
        <f>IFERROR(__xludf.DUMMYFUNCTION("AVERAGE(index(GOOGLEFINANCE(""NSE:""&amp;$A132, ""close"", today()-14, today()-1), , 2))"),"#N/A")</f>
        <v/>
      </c>
      <c r="M132" s="13">
        <f>IFERROR(__xludf.DUMMYFUNCTION("AVERAGE(index(GOOGLEFINANCE(""NSE:""&amp;$A132, ""close"", today()-22, today()-1), , 2))"),"#N/A")</f>
        <v/>
      </c>
      <c r="N132" s="13">
        <f>AG132</f>
        <v/>
      </c>
      <c r="O132" s="13">
        <f>AI132</f>
        <v/>
      </c>
      <c r="P132" s="13">
        <f>W132</f>
        <v/>
      </c>
      <c r="Q132" s="13">
        <f>Y132</f>
        <v/>
      </c>
      <c r="R132" s="15" t="n"/>
      <c r="S132" s="15">
        <f>LEFT(W132,2)&amp;LEFT(Y132,2)</f>
        <v/>
      </c>
      <c r="T132" s="15" t="n"/>
      <c r="U132" s="15">
        <f>IF(K132&lt;L132,1,0)</f>
        <v/>
      </c>
      <c r="V132" s="15">
        <f>IF(H132&gt;I132,1,0)</f>
        <v/>
      </c>
      <c r="W132" s="15">
        <f>IF(SUM(U132:V132)=2,"Anticipatory_Sell","No_Action")</f>
        <v/>
      </c>
      <c r="X132" s="15" t="n"/>
      <c r="Y132" s="15">
        <f>IF(SUM(Z132:AA132)=2,"Confirm_Sell","No_Action")</f>
        <v/>
      </c>
      <c r="Z132" s="15">
        <f>IF(H132&gt;I132,1,0)</f>
        <v/>
      </c>
      <c r="AA132" s="15">
        <f>IF(K132&lt;M132,1,0)</f>
        <v/>
      </c>
      <c r="AB132" s="15" t="n"/>
      <c r="AC132" s="15">
        <f>LEFT(AG132,2)&amp;LEFT(AI132,2)</f>
        <v/>
      </c>
      <c r="AD132" s="15" t="n"/>
      <c r="AE132" s="15">
        <f>IF(K132&gt;L132,1,0)</f>
        <v/>
      </c>
      <c r="AF132" s="16">
        <f>IF(H132&gt;I132,1,0)</f>
        <v/>
      </c>
      <c r="AG132" s="16">
        <f>IF(SUM(AE132:AF132)=2,"Anticipatory_Buy","No_Action")</f>
        <v/>
      </c>
      <c r="AH132" s="15" t="n"/>
      <c r="AI132" s="15">
        <f>IF(SUM(AJ132:AK132)=2,"Confirm_Buy","No_Action")</f>
        <v/>
      </c>
      <c r="AJ132" s="15">
        <f>IF(H132&gt;I132,1,0)</f>
        <v/>
      </c>
      <c r="AK132" s="15">
        <f>IF(K132&gt;M132,1,0)</f>
        <v/>
      </c>
    </row>
    <row r="133" ht="14.5" customHeight="1">
      <c r="A133" s="12" t="inlineStr">
        <is>
          <t>GREENPANEL</t>
        </is>
      </c>
      <c r="B133" s="13">
        <f>IFERROR(__xludf.DUMMYFUNCTION("GOOGLEFINANCE(""NSE:""&amp;A133,""PRICE"")"),348.5)</f>
        <v/>
      </c>
      <c r="C133" s="13">
        <f>IFERROR(__xludf.DUMMYFUNCTION("GOOGLEFINANCE(""NSE:""&amp;A133,""PRICEOPEN"")"),358.25)</f>
        <v/>
      </c>
      <c r="D133" s="13">
        <f>IFERROR(__xludf.DUMMYFUNCTION("GOOGLEFINANCE(""NSE:""&amp;A133,""HIGH"")"),359.85)</f>
        <v/>
      </c>
      <c r="E133" s="13">
        <f>IFERROR(__xludf.DUMMYFUNCTION("GOOGLEFINANCE(""NSE:""&amp;A133,""LOW"")"),347.65)</f>
        <v/>
      </c>
      <c r="F133" s="13">
        <f>IFERROR(__xludf.DUMMYFUNCTION("GOOGLEFINANCE(""NSE:""&amp;A133,""closeyest"")"),353.15)</f>
        <v/>
      </c>
      <c r="G133" s="14">
        <f>(B133-C133)/B133</f>
        <v/>
      </c>
      <c r="H133" s="13">
        <f>IFERROR(__xludf.DUMMYFUNCTION("GOOGLEFINANCE(""NSE:""&amp;A133,""VOLUME"")"),69432)</f>
        <v/>
      </c>
      <c r="I133" s="13">
        <f>IFERROR(__xludf.DUMMYFUNCTION("AVERAGE(index(GOOGLEFINANCE(""NSE:""&amp;$A133, ""volume"", today()-21, today()-1), , 2))"),"#N/A")</f>
        <v/>
      </c>
      <c r="J133" s="14">
        <f>(H133-I133)/I133</f>
        <v/>
      </c>
      <c r="K133" s="13">
        <f>IFERROR(__xludf.DUMMYFUNCTION("AVERAGE(index(GOOGLEFINANCE(""NSE:""&amp;$A133, ""close"", today()-6, today()-1), , 2))"),"#N/A")</f>
        <v/>
      </c>
      <c r="L133" s="13">
        <f>IFERROR(__xludf.DUMMYFUNCTION("AVERAGE(index(GOOGLEFINANCE(""NSE:""&amp;$A133, ""close"", today()-14, today()-1), , 2))"),"#N/A")</f>
        <v/>
      </c>
      <c r="M133" s="13">
        <f>IFERROR(__xludf.DUMMYFUNCTION("AVERAGE(index(GOOGLEFINANCE(""NSE:""&amp;$A133, ""close"", today()-22, today()-1), , 2))"),"#N/A")</f>
        <v/>
      </c>
      <c r="N133" s="13">
        <f>AG133</f>
        <v/>
      </c>
      <c r="O133" s="13">
        <f>AI133</f>
        <v/>
      </c>
      <c r="P133" s="13">
        <f>W133</f>
        <v/>
      </c>
      <c r="Q133" s="13">
        <f>Y133</f>
        <v/>
      </c>
      <c r="R133" s="15" t="n"/>
      <c r="S133" s="15">
        <f>LEFT(W133,2)&amp;LEFT(Y133,2)</f>
        <v/>
      </c>
      <c r="T133" s="15" t="n"/>
      <c r="U133" s="15">
        <f>IF(K133&lt;L133,1,0)</f>
        <v/>
      </c>
      <c r="V133" s="15">
        <f>IF(H133&gt;I133,1,0)</f>
        <v/>
      </c>
      <c r="W133" s="15">
        <f>IF(SUM(U133:V133)=2,"Anticipatory_Sell","No_Action")</f>
        <v/>
      </c>
      <c r="X133" s="15" t="n"/>
      <c r="Y133" s="15">
        <f>IF(SUM(Z133:AA133)=2,"Confirm_Sell","No_Action")</f>
        <v/>
      </c>
      <c r="Z133" s="15">
        <f>IF(H133&gt;I133,1,0)</f>
        <v/>
      </c>
      <c r="AA133" s="15">
        <f>IF(K133&lt;M133,1,0)</f>
        <v/>
      </c>
      <c r="AB133" s="15" t="n"/>
      <c r="AC133" s="15">
        <f>LEFT(AG133,2)&amp;LEFT(AI133,2)</f>
        <v/>
      </c>
      <c r="AD133" s="15" t="n"/>
      <c r="AE133" s="15">
        <f>IF(K133&gt;L133,1,0)</f>
        <v/>
      </c>
      <c r="AF133" s="16">
        <f>IF(H133&gt;I133,1,0)</f>
        <v/>
      </c>
      <c r="AG133" s="16">
        <f>IF(SUM(AE133:AF133)=2,"Anticipatory_Buy","No_Action")</f>
        <v/>
      </c>
      <c r="AH133" s="15" t="n"/>
      <c r="AI133" s="15">
        <f>IF(SUM(AJ133:AK133)=2,"Confirm_Buy","No_Action")</f>
        <v/>
      </c>
      <c r="AJ133" s="15">
        <f>IF(H133&gt;I133,1,0)</f>
        <v/>
      </c>
      <c r="AK133" s="15">
        <f>IF(K133&gt;M133,1,0)</f>
        <v/>
      </c>
    </row>
    <row r="134" ht="14.5" customHeight="1">
      <c r="A134" s="12" t="inlineStr">
        <is>
          <t>GPPL</t>
        </is>
      </c>
      <c r="B134" s="13">
        <f>IFERROR(__xludf.DUMMYFUNCTION("GOOGLEFINANCE(""NSE:""&amp;A134,""PRICE"")"),193.3)</f>
        <v/>
      </c>
      <c r="C134" s="13">
        <f>IFERROR(__xludf.DUMMYFUNCTION("GOOGLEFINANCE(""NSE:""&amp;A134,""PRICEOPEN"")"),192.8)</f>
        <v/>
      </c>
      <c r="D134" s="13">
        <f>IFERROR(__xludf.DUMMYFUNCTION("GOOGLEFINANCE(""NSE:""&amp;A134,""HIGH"")"),194.8)</f>
        <v/>
      </c>
      <c r="E134" s="13">
        <f>IFERROR(__xludf.DUMMYFUNCTION("GOOGLEFINANCE(""NSE:""&amp;A134,""LOW"")"),190.86)</f>
        <v/>
      </c>
      <c r="F134" s="13">
        <f>IFERROR(__xludf.DUMMYFUNCTION("GOOGLEFINANCE(""NSE:""&amp;A134,""closeyest"")"),193.27)</f>
        <v/>
      </c>
      <c r="G134" s="14">
        <f>(B134-C134)/B134</f>
        <v/>
      </c>
      <c r="H134" s="13">
        <f>IFERROR(__xludf.DUMMYFUNCTION("GOOGLEFINANCE(""NSE:""&amp;A134,""VOLUME"")"),880063)</f>
        <v/>
      </c>
      <c r="I134" s="13">
        <f>IFERROR(__xludf.DUMMYFUNCTION("AVERAGE(index(GOOGLEFINANCE(""NSE:""&amp;$A134, ""volume"", today()-21, today()-1), , 2))"),"#N/A")</f>
        <v/>
      </c>
      <c r="J134" s="14">
        <f>(H134-I134)/I134</f>
        <v/>
      </c>
      <c r="K134" s="13">
        <f>IFERROR(__xludf.DUMMYFUNCTION("AVERAGE(index(GOOGLEFINANCE(""NSE:""&amp;$A134, ""close"", today()-6, today()-1), , 2))"),"#N/A")</f>
        <v/>
      </c>
      <c r="L134" s="13">
        <f>IFERROR(__xludf.DUMMYFUNCTION("AVERAGE(index(GOOGLEFINANCE(""NSE:""&amp;$A134, ""close"", today()-14, today()-1), , 2))"),"#N/A")</f>
        <v/>
      </c>
      <c r="M134" s="13">
        <f>IFERROR(__xludf.DUMMYFUNCTION("AVERAGE(index(GOOGLEFINANCE(""NSE:""&amp;$A134, ""close"", today()-22, today()-1), , 2))"),"#N/A")</f>
        <v/>
      </c>
      <c r="N134" s="13">
        <f>AG134</f>
        <v/>
      </c>
      <c r="O134" s="13">
        <f>AI134</f>
        <v/>
      </c>
      <c r="P134" s="13">
        <f>W134</f>
        <v/>
      </c>
      <c r="Q134" s="13">
        <f>Y134</f>
        <v/>
      </c>
      <c r="R134" s="15" t="n"/>
      <c r="S134" s="15">
        <f>LEFT(W134,2)&amp;LEFT(Y134,2)</f>
        <v/>
      </c>
      <c r="T134" s="15" t="n"/>
      <c r="U134" s="15">
        <f>IF(K134&lt;L134,1,0)</f>
        <v/>
      </c>
      <c r="V134" s="15">
        <f>IF(H134&gt;I134,1,0)</f>
        <v/>
      </c>
      <c r="W134" s="15">
        <f>IF(SUM(U134:V134)=2,"Anticipatory_Sell","No_Action")</f>
        <v/>
      </c>
      <c r="X134" s="15" t="n"/>
      <c r="Y134" s="15">
        <f>IF(SUM(Z134:AA134)=2,"Confirm_Sell","No_Action")</f>
        <v/>
      </c>
      <c r="Z134" s="15">
        <f>IF(H134&gt;I134,1,0)</f>
        <v/>
      </c>
      <c r="AA134" s="15">
        <f>IF(K134&lt;M134,1,0)</f>
        <v/>
      </c>
      <c r="AB134" s="15" t="n"/>
      <c r="AC134" s="15">
        <f>LEFT(AG134,2)&amp;LEFT(AI134,2)</f>
        <v/>
      </c>
      <c r="AD134" s="15" t="n"/>
      <c r="AE134" s="15">
        <f>IF(K134&gt;L134,1,0)</f>
        <v/>
      </c>
      <c r="AF134" s="16">
        <f>IF(H134&gt;I134,1,0)</f>
        <v/>
      </c>
      <c r="AG134" s="16">
        <f>IF(SUM(AE134:AF134)=2,"Anticipatory_Buy","No_Action")</f>
        <v/>
      </c>
      <c r="AH134" s="15" t="n"/>
      <c r="AI134" s="15">
        <f>IF(SUM(AJ134:AK134)=2,"Confirm_Buy","No_Action")</f>
        <v/>
      </c>
      <c r="AJ134" s="15">
        <f>IF(H134&gt;I134,1,0)</f>
        <v/>
      </c>
      <c r="AK134" s="15">
        <f>IF(K134&gt;M134,1,0)</f>
        <v/>
      </c>
    </row>
    <row r="135" ht="14.5" customHeight="1">
      <c r="A135" s="12" t="inlineStr">
        <is>
          <t>GSPL</t>
        </is>
      </c>
      <c r="B135" s="13">
        <f>IFERROR(__xludf.DUMMYFUNCTION("GOOGLEFINANCE(""NSE:""&amp;A135,""PRICE"")"),371.6)</f>
        <v/>
      </c>
      <c r="C135" s="13">
        <f>IFERROR(__xludf.DUMMYFUNCTION("GOOGLEFINANCE(""NSE:""&amp;A135,""PRICEOPEN"")"),383.55)</f>
        <v/>
      </c>
      <c r="D135" s="13">
        <f>IFERROR(__xludf.DUMMYFUNCTION("GOOGLEFINANCE(""NSE:""&amp;A135,""HIGH"")"),384.7)</f>
        <v/>
      </c>
      <c r="E135" s="13">
        <f>IFERROR(__xludf.DUMMYFUNCTION("GOOGLEFINANCE(""NSE:""&amp;A135,""LOW"")"),369.7)</f>
        <v/>
      </c>
      <c r="F135" s="13">
        <f>IFERROR(__xludf.DUMMYFUNCTION("GOOGLEFINANCE(""NSE:""&amp;A135,""closeyest"")"),381.6)</f>
        <v/>
      </c>
      <c r="G135" s="14">
        <f>(B135-C135)/B135</f>
        <v/>
      </c>
      <c r="H135" s="13">
        <f>IFERROR(__xludf.DUMMYFUNCTION("GOOGLEFINANCE(""NSE:""&amp;A135,""VOLUME"")"),737595)</f>
        <v/>
      </c>
      <c r="I135" s="13">
        <f>IFERROR(__xludf.DUMMYFUNCTION("AVERAGE(index(GOOGLEFINANCE(""NSE:""&amp;$A135, ""volume"", today()-21, today()-1), , 2))"),"#N/A")</f>
        <v/>
      </c>
      <c r="J135" s="14">
        <f>(H135-I135)/I135</f>
        <v/>
      </c>
      <c r="K135" s="13">
        <f>IFERROR(__xludf.DUMMYFUNCTION("AVERAGE(index(GOOGLEFINANCE(""NSE:""&amp;$A135, ""close"", today()-6, today()-1), , 2))"),"#N/A")</f>
        <v/>
      </c>
      <c r="L135" s="13">
        <f>IFERROR(__xludf.DUMMYFUNCTION("AVERAGE(index(GOOGLEFINANCE(""NSE:""&amp;$A135, ""close"", today()-14, today()-1), , 2))"),"#N/A")</f>
        <v/>
      </c>
      <c r="M135" s="13">
        <f>IFERROR(__xludf.DUMMYFUNCTION("AVERAGE(index(GOOGLEFINANCE(""NSE:""&amp;$A135, ""close"", today()-22, today()-1), , 2))"),"#N/A")</f>
        <v/>
      </c>
      <c r="N135" s="13">
        <f>AG135</f>
        <v/>
      </c>
      <c r="O135" s="13">
        <f>AI135</f>
        <v/>
      </c>
      <c r="P135" s="13">
        <f>W135</f>
        <v/>
      </c>
      <c r="Q135" s="13">
        <f>Y135</f>
        <v/>
      </c>
      <c r="R135" s="15" t="n"/>
      <c r="S135" s="15">
        <f>LEFT(W135,2)&amp;LEFT(Y135,2)</f>
        <v/>
      </c>
      <c r="T135" s="15" t="n"/>
      <c r="U135" s="15">
        <f>IF(K135&lt;L135,1,0)</f>
        <v/>
      </c>
      <c r="V135" s="15">
        <f>IF(H135&gt;I135,1,0)</f>
        <v/>
      </c>
      <c r="W135" s="15">
        <f>IF(SUM(U135:V135)=2,"Anticipatory_Sell","No_Action")</f>
        <v/>
      </c>
      <c r="X135" s="15" t="n"/>
      <c r="Y135" s="15">
        <f>IF(SUM(Z135:AA135)=2,"Confirm_Sell","No_Action")</f>
        <v/>
      </c>
      <c r="Z135" s="15">
        <f>IF(H135&gt;I135,1,0)</f>
        <v/>
      </c>
      <c r="AA135" s="15">
        <f>IF(K135&lt;M135,1,0)</f>
        <v/>
      </c>
      <c r="AB135" s="15" t="n"/>
      <c r="AC135" s="15">
        <f>LEFT(AG135,2)&amp;LEFT(AI135,2)</f>
        <v/>
      </c>
      <c r="AD135" s="15" t="n"/>
      <c r="AE135" s="15">
        <f>IF(K135&gt;L135,1,0)</f>
        <v/>
      </c>
      <c r="AF135" s="16">
        <f>IF(H135&gt;I135,1,0)</f>
        <v/>
      </c>
      <c r="AG135" s="16">
        <f>IF(SUM(AE135:AF135)=2,"Anticipatory_Buy","No_Action")</f>
        <v/>
      </c>
      <c r="AH135" s="15" t="n"/>
      <c r="AI135" s="15">
        <f>IF(SUM(AJ135:AK135)=2,"Confirm_Buy","No_Action")</f>
        <v/>
      </c>
      <c r="AJ135" s="15">
        <f>IF(H135&gt;I135,1,0)</f>
        <v/>
      </c>
      <c r="AK135" s="15">
        <f>IF(K135&gt;M135,1,0)</f>
        <v/>
      </c>
    </row>
    <row r="136" ht="14.5" customHeight="1">
      <c r="A136" s="12" t="inlineStr">
        <is>
          <t>GUJGASLTD</t>
        </is>
      </c>
      <c r="B136" s="13">
        <f>IFERROR(__xludf.DUMMYFUNCTION("GOOGLEFINANCE(""NSE:""&amp;A136,""PRICE"")"),509)</f>
        <v/>
      </c>
      <c r="C136" s="13">
        <f>IFERROR(__xludf.DUMMYFUNCTION("GOOGLEFINANCE(""NSE:""&amp;A136,""PRICEOPEN"")"),512.7)</f>
        <v/>
      </c>
      <c r="D136" s="13">
        <f>IFERROR(__xludf.DUMMYFUNCTION("GOOGLEFINANCE(""NSE:""&amp;A136,""HIGH"")"),520.3)</f>
        <v/>
      </c>
      <c r="E136" s="13">
        <f>IFERROR(__xludf.DUMMYFUNCTION("GOOGLEFINANCE(""NSE:""&amp;A136,""LOW"")"),504.1)</f>
        <v/>
      </c>
      <c r="F136" s="13">
        <f>IFERROR(__xludf.DUMMYFUNCTION("GOOGLEFINANCE(""NSE:""&amp;A136,""closeyest"")"),512.7)</f>
        <v/>
      </c>
      <c r="G136" s="14">
        <f>(B136-C136)/B136</f>
        <v/>
      </c>
      <c r="H136" s="13">
        <f>IFERROR(__xludf.DUMMYFUNCTION("GOOGLEFINANCE(""NSE:""&amp;A136,""VOLUME"")"),1094458)</f>
        <v/>
      </c>
      <c r="I136" s="13">
        <f>IFERROR(__xludf.DUMMYFUNCTION("AVERAGE(index(GOOGLEFINANCE(""NSE:""&amp;$A136, ""volume"", today()-21, today()-1), , 2))"),"#N/A")</f>
        <v/>
      </c>
      <c r="J136" s="14">
        <f>(H136-I136)/I136</f>
        <v/>
      </c>
      <c r="K136" s="13">
        <f>IFERROR(__xludf.DUMMYFUNCTION("AVERAGE(index(GOOGLEFINANCE(""NSE:""&amp;$A136, ""close"", today()-6, today()-1), , 2))"),"#N/A")</f>
        <v/>
      </c>
      <c r="L136" s="13">
        <f>IFERROR(__xludf.DUMMYFUNCTION("AVERAGE(index(GOOGLEFINANCE(""NSE:""&amp;$A136, ""close"", today()-14, today()-1), , 2))"),"#N/A")</f>
        <v/>
      </c>
      <c r="M136" s="13">
        <f>IFERROR(__xludf.DUMMYFUNCTION("AVERAGE(index(GOOGLEFINANCE(""NSE:""&amp;$A136, ""close"", today()-22, today()-1), , 2))"),"#N/A")</f>
        <v/>
      </c>
      <c r="N136" s="13">
        <f>AG136</f>
        <v/>
      </c>
      <c r="O136" s="13">
        <f>AI136</f>
        <v/>
      </c>
      <c r="P136" s="13">
        <f>W136</f>
        <v/>
      </c>
      <c r="Q136" s="13">
        <f>Y136</f>
        <v/>
      </c>
      <c r="R136" s="15" t="n"/>
      <c r="S136" s="15">
        <f>LEFT(W136,2)&amp;LEFT(Y136,2)</f>
        <v/>
      </c>
      <c r="T136" s="15" t="n"/>
      <c r="U136" s="15">
        <f>IF(K136&lt;L136,1,0)</f>
        <v/>
      </c>
      <c r="V136" s="15">
        <f>IF(H136&gt;I136,1,0)</f>
        <v/>
      </c>
      <c r="W136" s="15">
        <f>IF(SUM(U136:V136)=2,"Anticipatory_Sell","No_Action")</f>
        <v/>
      </c>
      <c r="X136" s="15" t="n"/>
      <c r="Y136" s="15">
        <f>IF(SUM(Z136:AA136)=2,"Confirm_Sell","No_Action")</f>
        <v/>
      </c>
      <c r="Z136" s="15">
        <f>IF(H136&gt;I136,1,0)</f>
        <v/>
      </c>
      <c r="AA136" s="15">
        <f>IF(K136&lt;M136,1,0)</f>
        <v/>
      </c>
      <c r="AB136" s="15" t="n"/>
      <c r="AC136" s="15">
        <f>LEFT(AG136,2)&amp;LEFT(AI136,2)</f>
        <v/>
      </c>
      <c r="AD136" s="15" t="n"/>
      <c r="AE136" s="15">
        <f>IF(K136&gt;L136,1,0)</f>
        <v/>
      </c>
      <c r="AF136" s="16">
        <f>IF(H136&gt;I136,1,0)</f>
        <v/>
      </c>
      <c r="AG136" s="16">
        <f>IF(SUM(AE136:AF136)=2,"Anticipatory_Buy","No_Action")</f>
        <v/>
      </c>
      <c r="AH136" s="15" t="n"/>
      <c r="AI136" s="15">
        <f>IF(SUM(AJ136:AK136)=2,"Confirm_Buy","No_Action")</f>
        <v/>
      </c>
      <c r="AJ136" s="15">
        <f>IF(H136&gt;I136,1,0)</f>
        <v/>
      </c>
      <c r="AK136" s="15">
        <f>IF(K136&gt;M136,1,0)</f>
        <v/>
      </c>
    </row>
    <row r="137" ht="14.5" customHeight="1">
      <c r="A137" s="12" t="inlineStr">
        <is>
          <t>GULFOILLUB</t>
        </is>
      </c>
      <c r="B137" s="13">
        <f>IFERROR(__xludf.DUMMYFUNCTION("GOOGLEFINANCE(""NSE:""&amp;A137,""PRICE"")"),1158.5)</f>
        <v/>
      </c>
      <c r="C137" s="13">
        <f>IFERROR(__xludf.DUMMYFUNCTION("GOOGLEFINANCE(""NSE:""&amp;A137,""PRICEOPEN"")"),1166)</f>
        <v/>
      </c>
      <c r="D137" s="13">
        <f>IFERROR(__xludf.DUMMYFUNCTION("GOOGLEFINANCE(""NSE:""&amp;A137,""HIGH"")"),1185)</f>
        <v/>
      </c>
      <c r="E137" s="13">
        <f>IFERROR(__xludf.DUMMYFUNCTION("GOOGLEFINANCE(""NSE:""&amp;A137,""LOW"")"),1150.15)</f>
        <v/>
      </c>
      <c r="F137" s="13">
        <f>IFERROR(__xludf.DUMMYFUNCTION("GOOGLEFINANCE(""NSE:""&amp;A137,""closeyest"")"),1157.35)</f>
        <v/>
      </c>
      <c r="G137" s="14">
        <f>(B137-C137)/B137</f>
        <v/>
      </c>
      <c r="H137" s="13">
        <f>IFERROR(__xludf.DUMMYFUNCTION("GOOGLEFINANCE(""NSE:""&amp;A137,""VOLUME"")"),107303)</f>
        <v/>
      </c>
      <c r="I137" s="13">
        <f>IFERROR(__xludf.DUMMYFUNCTION("AVERAGE(index(GOOGLEFINANCE(""NSE:""&amp;$A137, ""volume"", today()-21, today()-1), , 2))"),"#N/A")</f>
        <v/>
      </c>
      <c r="J137" s="14">
        <f>(H137-I137)/I137</f>
        <v/>
      </c>
      <c r="K137" s="13">
        <f>IFERROR(__xludf.DUMMYFUNCTION("AVERAGE(index(GOOGLEFINANCE(""NSE:""&amp;$A137, ""close"", today()-6, today()-1), , 2))"),"#N/A")</f>
        <v/>
      </c>
      <c r="L137" s="13">
        <f>IFERROR(__xludf.DUMMYFUNCTION("AVERAGE(index(GOOGLEFINANCE(""NSE:""&amp;$A137, ""close"", today()-14, today()-1), , 2))"),"#N/A")</f>
        <v/>
      </c>
      <c r="M137" s="13">
        <f>IFERROR(__xludf.DUMMYFUNCTION("AVERAGE(index(GOOGLEFINANCE(""NSE:""&amp;$A137, ""close"", today()-22, today()-1), , 2))"),"#N/A")</f>
        <v/>
      </c>
      <c r="N137" s="13">
        <f>AG137</f>
        <v/>
      </c>
      <c r="O137" s="13">
        <f>AI137</f>
        <v/>
      </c>
      <c r="P137" s="13">
        <f>W137</f>
        <v/>
      </c>
      <c r="Q137" s="13">
        <f>Y137</f>
        <v/>
      </c>
      <c r="R137" s="15" t="n"/>
      <c r="S137" s="15">
        <f>LEFT(W137,2)&amp;LEFT(Y137,2)</f>
        <v/>
      </c>
      <c r="T137" s="15" t="n"/>
      <c r="U137" s="15">
        <f>IF(K137&lt;L137,1,0)</f>
        <v/>
      </c>
      <c r="V137" s="15">
        <f>IF(H137&gt;I137,1,0)</f>
        <v/>
      </c>
      <c r="W137" s="15">
        <f>IF(SUM(U137:V137)=2,"Anticipatory_Sell","No_Action")</f>
        <v/>
      </c>
      <c r="X137" s="15" t="n"/>
      <c r="Y137" s="15">
        <f>IF(SUM(Z137:AA137)=2,"Confirm_Sell","No_Action")</f>
        <v/>
      </c>
      <c r="Z137" s="15">
        <f>IF(H137&gt;I137,1,0)</f>
        <v/>
      </c>
      <c r="AA137" s="15">
        <f>IF(K137&lt;M137,1,0)</f>
        <v/>
      </c>
      <c r="AB137" s="15" t="n"/>
      <c r="AC137" s="15">
        <f>LEFT(AG137,2)&amp;LEFT(AI137,2)</f>
        <v/>
      </c>
      <c r="AD137" s="15" t="n"/>
      <c r="AE137" s="15">
        <f>IF(K137&gt;L137,1,0)</f>
        <v/>
      </c>
      <c r="AF137" s="16">
        <f>IF(H137&gt;I137,1,0)</f>
        <v/>
      </c>
      <c r="AG137" s="16">
        <f>IF(SUM(AE137:AF137)=2,"Anticipatory_Buy","No_Action")</f>
        <v/>
      </c>
      <c r="AH137" s="15" t="n"/>
      <c r="AI137" s="15">
        <f>IF(SUM(AJ137:AK137)=2,"Confirm_Buy","No_Action")</f>
        <v/>
      </c>
      <c r="AJ137" s="15">
        <f>IF(H137&gt;I137,1,0)</f>
        <v/>
      </c>
      <c r="AK137" s="15">
        <f>IF(K137&gt;M137,1,0)</f>
        <v/>
      </c>
    </row>
    <row r="138" ht="14.5" customHeight="1">
      <c r="A138" s="12" t="inlineStr">
        <is>
          <t>HUDCO</t>
        </is>
      </c>
      <c r="B138" s="13">
        <f>IFERROR(__xludf.DUMMYFUNCTION("GOOGLEFINANCE(""NSE:""&amp;A138,""PRICE"")"),247.66)</f>
        <v/>
      </c>
      <c r="C138" s="13">
        <f>IFERROR(__xludf.DUMMYFUNCTION("GOOGLEFINANCE(""NSE:""&amp;A138,""PRICEOPEN"")"),248)</f>
        <v/>
      </c>
      <c r="D138" s="13">
        <f>IFERROR(__xludf.DUMMYFUNCTION("GOOGLEFINANCE(""NSE:""&amp;A138,""HIGH"")"),251.37)</f>
        <v/>
      </c>
      <c r="E138" s="13">
        <f>IFERROR(__xludf.DUMMYFUNCTION("GOOGLEFINANCE(""NSE:""&amp;A138,""LOW"")"),244.52)</f>
        <v/>
      </c>
      <c r="F138" s="13">
        <f>IFERROR(__xludf.DUMMYFUNCTION("GOOGLEFINANCE(""NSE:""&amp;A138,""closeyest"")"),247.77)</f>
        <v/>
      </c>
      <c r="G138" s="14">
        <f>(B138-C138)/B138</f>
        <v/>
      </c>
      <c r="H138" s="13">
        <f>IFERROR(__xludf.DUMMYFUNCTION("GOOGLEFINANCE(""NSE:""&amp;A138,""VOLUME"")"),4470542)</f>
        <v/>
      </c>
      <c r="I138" s="13">
        <f>IFERROR(__xludf.DUMMYFUNCTION("AVERAGE(index(GOOGLEFINANCE(""NSE:""&amp;$A138, ""volume"", today()-21, today()-1), , 2))"),"#N/A")</f>
        <v/>
      </c>
      <c r="J138" s="14">
        <f>(H138-I138)/I138</f>
        <v/>
      </c>
      <c r="K138" s="13">
        <f>IFERROR(__xludf.DUMMYFUNCTION("AVERAGE(index(GOOGLEFINANCE(""NSE:""&amp;$A138, ""close"", today()-6, today()-1), , 2))"),"#N/A")</f>
        <v/>
      </c>
      <c r="L138" s="13">
        <f>IFERROR(__xludf.DUMMYFUNCTION("AVERAGE(index(GOOGLEFINANCE(""NSE:""&amp;$A138, ""close"", today()-14, today()-1), , 2))"),"#N/A")</f>
        <v/>
      </c>
      <c r="M138" s="13">
        <f>IFERROR(__xludf.DUMMYFUNCTION("AVERAGE(index(GOOGLEFINANCE(""NSE:""&amp;$A138, ""close"", today()-22, today()-1), , 2))"),"#N/A")</f>
        <v/>
      </c>
      <c r="N138" s="13">
        <f>AG138</f>
        <v/>
      </c>
      <c r="O138" s="13">
        <f>AI138</f>
        <v/>
      </c>
      <c r="P138" s="13">
        <f>W138</f>
        <v/>
      </c>
      <c r="Q138" s="13">
        <f>Y138</f>
        <v/>
      </c>
      <c r="R138" s="15" t="n"/>
      <c r="S138" s="15">
        <f>LEFT(W138,2)&amp;LEFT(Y138,2)</f>
        <v/>
      </c>
      <c r="T138" s="15" t="n"/>
      <c r="U138" s="15">
        <f>IF(K138&lt;L138,1,0)</f>
        <v/>
      </c>
      <c r="V138" s="15">
        <f>IF(H138&gt;I138,1,0)</f>
        <v/>
      </c>
      <c r="W138" s="15">
        <f>IF(SUM(U138:V138)=2,"Anticipatory_Sell","No_Action")</f>
        <v/>
      </c>
      <c r="X138" s="15" t="n"/>
      <c r="Y138" s="15">
        <f>IF(SUM(Z138:AA138)=2,"Confirm_Sell","No_Action")</f>
        <v/>
      </c>
      <c r="Z138" s="15">
        <f>IF(H138&gt;I138,1,0)</f>
        <v/>
      </c>
      <c r="AA138" s="15">
        <f>IF(K138&lt;M138,1,0)</f>
        <v/>
      </c>
      <c r="AB138" s="15" t="n"/>
      <c r="AC138" s="15">
        <f>LEFT(AG138,2)&amp;LEFT(AI138,2)</f>
        <v/>
      </c>
      <c r="AD138" s="15" t="n"/>
      <c r="AE138" s="15">
        <f>IF(K138&gt;L138,1,0)</f>
        <v/>
      </c>
      <c r="AF138" s="16">
        <f>IF(H138&gt;I138,1,0)</f>
        <v/>
      </c>
      <c r="AG138" s="16">
        <f>IF(SUM(AE138:AF138)=2,"Anticipatory_Buy","No_Action")</f>
        <v/>
      </c>
      <c r="AH138" s="15" t="n"/>
      <c r="AI138" s="15">
        <f>IF(SUM(AJ138:AK138)=2,"Confirm_Buy","No_Action")</f>
        <v/>
      </c>
      <c r="AJ138" s="15">
        <f>IF(H138&gt;I138,1,0)</f>
        <v/>
      </c>
      <c r="AK138" s="15">
        <f>IF(K138&gt;M138,1,0)</f>
        <v/>
      </c>
    </row>
    <row r="139" ht="14.5" customHeight="1">
      <c r="A139" s="12" t="inlineStr">
        <is>
          <t>HGINFRA</t>
        </is>
      </c>
      <c r="B139" s="13">
        <f>IFERROR(__xludf.DUMMYFUNCTION("GOOGLEFINANCE(""NSE:""&amp;A139,""PRICE"")"),1461)</f>
        <v/>
      </c>
      <c r="C139" s="13">
        <f>IFERROR(__xludf.DUMMYFUNCTION("GOOGLEFINANCE(""NSE:""&amp;A139,""PRICEOPEN"")"),1451.75)</f>
        <v/>
      </c>
      <c r="D139" s="13">
        <f>IFERROR(__xludf.DUMMYFUNCTION("GOOGLEFINANCE(""NSE:""&amp;A139,""HIGH"")"),1493.8)</f>
        <v/>
      </c>
      <c r="E139" s="13">
        <f>IFERROR(__xludf.DUMMYFUNCTION("GOOGLEFINANCE(""NSE:""&amp;A139,""LOW"")"),1451.7)</f>
        <v/>
      </c>
      <c r="F139" s="13">
        <f>IFERROR(__xludf.DUMMYFUNCTION("GOOGLEFINANCE(""NSE:""&amp;A139,""closeyest"")"),1451.7)</f>
        <v/>
      </c>
      <c r="G139" s="14">
        <f>(B139-C139)/B139</f>
        <v/>
      </c>
      <c r="H139" s="13">
        <f>IFERROR(__xludf.DUMMYFUNCTION("GOOGLEFINANCE(""NSE:""&amp;A139,""VOLUME"")"),72519)</f>
        <v/>
      </c>
      <c r="I139" s="13">
        <f>IFERROR(__xludf.DUMMYFUNCTION("AVERAGE(index(GOOGLEFINANCE(""NSE:""&amp;$A139, ""volume"", today()-21, today()-1), , 2))"),"#N/A")</f>
        <v/>
      </c>
      <c r="J139" s="14">
        <f>(H139-I139)/I139</f>
        <v/>
      </c>
      <c r="K139" s="13">
        <f>IFERROR(__xludf.DUMMYFUNCTION("AVERAGE(index(GOOGLEFINANCE(""NSE:""&amp;$A139, ""close"", today()-6, today()-1), , 2))"),"#N/A")</f>
        <v/>
      </c>
      <c r="L139" s="13">
        <f>IFERROR(__xludf.DUMMYFUNCTION("AVERAGE(index(GOOGLEFINANCE(""NSE:""&amp;$A139, ""close"", today()-14, today()-1), , 2))"),"#N/A")</f>
        <v/>
      </c>
      <c r="M139" s="13">
        <f>IFERROR(__xludf.DUMMYFUNCTION("AVERAGE(index(GOOGLEFINANCE(""NSE:""&amp;$A139, ""close"", today()-22, today()-1), , 2))"),"#N/A")</f>
        <v/>
      </c>
      <c r="N139" s="13">
        <f>AG139</f>
        <v/>
      </c>
      <c r="O139" s="13">
        <f>AI139</f>
        <v/>
      </c>
      <c r="P139" s="13">
        <f>W139</f>
        <v/>
      </c>
      <c r="Q139" s="13">
        <f>Y139</f>
        <v/>
      </c>
      <c r="R139" s="15" t="n"/>
      <c r="S139" s="15">
        <f>LEFT(W139,2)&amp;LEFT(Y139,2)</f>
        <v/>
      </c>
      <c r="T139" s="15" t="n"/>
      <c r="U139" s="15">
        <f>IF(K139&lt;L139,1,0)</f>
        <v/>
      </c>
      <c r="V139" s="15">
        <f>IF(H139&gt;I139,1,0)</f>
        <v/>
      </c>
      <c r="W139" s="15">
        <f>IF(SUM(U139:V139)=2,"Anticipatory_Sell","No_Action")</f>
        <v/>
      </c>
      <c r="X139" s="15" t="n"/>
      <c r="Y139" s="15">
        <f>IF(SUM(Z139:AA139)=2,"Confirm_Sell","No_Action")</f>
        <v/>
      </c>
      <c r="Z139" s="15">
        <f>IF(H139&gt;I139,1,0)</f>
        <v/>
      </c>
      <c r="AA139" s="15">
        <f>IF(K139&lt;M139,1,0)</f>
        <v/>
      </c>
      <c r="AB139" s="15" t="n"/>
      <c r="AC139" s="15">
        <f>LEFT(AG139,2)&amp;LEFT(AI139,2)</f>
        <v/>
      </c>
      <c r="AD139" s="15" t="n"/>
      <c r="AE139" s="15">
        <f>IF(K139&gt;L139,1,0)</f>
        <v/>
      </c>
      <c r="AF139" s="16">
        <f>IF(H139&gt;I139,1,0)</f>
        <v/>
      </c>
      <c r="AG139" s="16">
        <f>IF(SUM(AE139:AF139)=2,"Anticipatory_Buy","No_Action")</f>
        <v/>
      </c>
      <c r="AH139" s="15" t="n"/>
      <c r="AI139" s="15">
        <f>IF(SUM(AJ139:AK139)=2,"Confirm_Buy","No_Action")</f>
        <v/>
      </c>
      <c r="AJ139" s="15">
        <f>IF(H139&gt;I139,1,0)</f>
        <v/>
      </c>
      <c r="AK139" s="15">
        <f>IF(K139&gt;M139,1,0)</f>
        <v/>
      </c>
    </row>
    <row r="140" ht="14.5" customHeight="1">
      <c r="A140" s="12" t="inlineStr">
        <is>
          <t>HDFCAMC</t>
        </is>
      </c>
      <c r="B140" s="13">
        <f>IFERROR(__xludf.DUMMYFUNCTION("GOOGLEFINANCE(""NSE:""&amp;A140,""PRICE"")"),4459.75)</f>
        <v/>
      </c>
      <c r="C140" s="13">
        <f>IFERROR(__xludf.DUMMYFUNCTION("GOOGLEFINANCE(""NSE:""&amp;A140,""PRICEOPEN"")"),4356.05)</f>
        <v/>
      </c>
      <c r="D140" s="13">
        <f>IFERROR(__xludf.DUMMYFUNCTION("GOOGLEFINANCE(""NSE:""&amp;A140,""HIGH"")"),4510.75)</f>
        <v/>
      </c>
      <c r="E140" s="13">
        <f>IFERROR(__xludf.DUMMYFUNCTION("GOOGLEFINANCE(""NSE:""&amp;A140,""LOW"")"),4332.1)</f>
        <v/>
      </c>
      <c r="F140" s="13">
        <f>IFERROR(__xludf.DUMMYFUNCTION("GOOGLEFINANCE(""NSE:""&amp;A140,""closeyest"")"),4363.9)</f>
        <v/>
      </c>
      <c r="G140" s="14">
        <f>(B140-C140)/B140</f>
        <v/>
      </c>
      <c r="H140" s="13">
        <f>IFERROR(__xludf.DUMMYFUNCTION("GOOGLEFINANCE(""NSE:""&amp;A140,""VOLUME"")"),596726)</f>
        <v/>
      </c>
      <c r="I140" s="13">
        <f>IFERROR(__xludf.DUMMYFUNCTION("AVERAGE(index(GOOGLEFINANCE(""NSE:""&amp;$A140, ""volume"", today()-21, today()-1), , 2))"),"#N/A")</f>
        <v/>
      </c>
      <c r="J140" s="14">
        <f>(H140-I140)/I140</f>
        <v/>
      </c>
      <c r="K140" s="13">
        <f>IFERROR(__xludf.DUMMYFUNCTION("AVERAGE(index(GOOGLEFINANCE(""NSE:""&amp;$A140, ""close"", today()-6, today()-1), , 2))"),"#N/A")</f>
        <v/>
      </c>
      <c r="L140" s="13">
        <f>IFERROR(__xludf.DUMMYFUNCTION("AVERAGE(index(GOOGLEFINANCE(""NSE:""&amp;$A140, ""close"", today()-14, today()-1), , 2))"),"#N/A")</f>
        <v/>
      </c>
      <c r="M140" s="13">
        <f>IFERROR(__xludf.DUMMYFUNCTION("AVERAGE(index(GOOGLEFINANCE(""NSE:""&amp;$A140, ""close"", today()-22, today()-1), , 2))"),"#N/A")</f>
        <v/>
      </c>
      <c r="N140" s="13">
        <f>AG140</f>
        <v/>
      </c>
      <c r="O140" s="13">
        <f>AI140</f>
        <v/>
      </c>
      <c r="P140" s="13">
        <f>W140</f>
        <v/>
      </c>
      <c r="Q140" s="13">
        <f>Y140</f>
        <v/>
      </c>
      <c r="R140" s="15" t="n"/>
      <c r="S140" s="15">
        <f>LEFT(W140,2)&amp;LEFT(Y140,2)</f>
        <v/>
      </c>
      <c r="T140" s="15" t="n"/>
      <c r="U140" s="15">
        <f>IF(K140&lt;L140,1,0)</f>
        <v/>
      </c>
      <c r="V140" s="15">
        <f>IF(H140&gt;I140,1,0)</f>
        <v/>
      </c>
      <c r="W140" s="15">
        <f>IF(SUM(U140:V140)=2,"Anticipatory_Sell","No_Action")</f>
        <v/>
      </c>
      <c r="X140" s="15" t="n"/>
      <c r="Y140" s="15">
        <f>IF(SUM(Z140:AA140)=2,"Confirm_Sell","No_Action")</f>
        <v/>
      </c>
      <c r="Z140" s="15">
        <f>IF(H140&gt;I140,1,0)</f>
        <v/>
      </c>
      <c r="AA140" s="15">
        <f>IF(K140&lt;M140,1,0)</f>
        <v/>
      </c>
      <c r="AB140" s="15" t="n"/>
      <c r="AC140" s="15">
        <f>LEFT(AG140,2)&amp;LEFT(AI140,2)</f>
        <v/>
      </c>
      <c r="AD140" s="15" t="n"/>
      <c r="AE140" s="15">
        <f>IF(K140&gt;L140,1,0)</f>
        <v/>
      </c>
      <c r="AF140" s="16">
        <f>IF(H140&gt;I140,1,0)</f>
        <v/>
      </c>
      <c r="AG140" s="16">
        <f>IF(SUM(AE140:AF140)=2,"Anticipatory_Buy","No_Action")</f>
        <v/>
      </c>
      <c r="AH140" s="15" t="n"/>
      <c r="AI140" s="15">
        <f>IF(SUM(AJ140:AK140)=2,"Confirm_Buy","No_Action")</f>
        <v/>
      </c>
      <c r="AJ140" s="15">
        <f>IF(H140&gt;I140,1,0)</f>
        <v/>
      </c>
      <c r="AK140" s="15">
        <f>IF(K140&gt;M140,1,0)</f>
        <v/>
      </c>
    </row>
    <row r="141" ht="14.5" customHeight="1">
      <c r="A141" s="12" t="inlineStr">
        <is>
          <t>HDFCBANK</t>
        </is>
      </c>
      <c r="B141" s="13">
        <f>IFERROR(__xludf.DUMMYFUNCTION("GOOGLEFINANCE(""NSE:""&amp;A141,""PRICE"")"),1867.55)</f>
        <v/>
      </c>
      <c r="C141" s="13">
        <f>IFERROR(__xludf.DUMMYFUNCTION("GOOGLEFINANCE(""NSE:""&amp;A141,""PRICEOPEN"")"),1853.65)</f>
        <v/>
      </c>
      <c r="D141" s="13">
        <f>IFERROR(__xludf.DUMMYFUNCTION("GOOGLEFINANCE(""NSE:""&amp;A141,""HIGH"")"),1880)</f>
        <v/>
      </c>
      <c r="E141" s="13">
        <f>IFERROR(__xludf.DUMMYFUNCTION("GOOGLEFINANCE(""NSE:""&amp;A141,""LOW"")"),1849)</f>
        <v/>
      </c>
      <c r="F141" s="13">
        <f>IFERROR(__xludf.DUMMYFUNCTION("GOOGLEFINANCE(""NSE:""&amp;A141,""closeyest"")"),1855.85)</f>
        <v/>
      </c>
      <c r="G141" s="14">
        <f>(B141-C141)/B141</f>
        <v/>
      </c>
      <c r="H141" s="13">
        <f>IFERROR(__xludf.DUMMYFUNCTION("GOOGLEFINANCE(""NSE:""&amp;A141,""VOLUME"")"),13473956)</f>
        <v/>
      </c>
      <c r="I141" s="13">
        <f>IFERROR(__xludf.DUMMYFUNCTION("AVERAGE(index(GOOGLEFINANCE(""NSE:""&amp;$A141, ""volume"", today()-21, today()-1), , 2))"),"#N/A")</f>
        <v/>
      </c>
      <c r="J141" s="14">
        <f>(H141-I141)/I141</f>
        <v/>
      </c>
      <c r="K141" s="13">
        <f>IFERROR(__xludf.DUMMYFUNCTION("AVERAGE(index(GOOGLEFINANCE(""NSE:""&amp;$A141, ""close"", today()-6, today()-1), , 2))"),"#N/A")</f>
        <v/>
      </c>
      <c r="L141" s="13">
        <f>IFERROR(__xludf.DUMMYFUNCTION("AVERAGE(index(GOOGLEFINANCE(""NSE:""&amp;$A141, ""close"", today()-14, today()-1), , 2))"),"#N/A")</f>
        <v/>
      </c>
      <c r="M141" s="13">
        <f>IFERROR(__xludf.DUMMYFUNCTION("AVERAGE(index(GOOGLEFINANCE(""NSE:""&amp;$A141, ""close"", today()-22, today()-1), , 2))"),"#N/A")</f>
        <v/>
      </c>
      <c r="N141" s="13">
        <f>AG141</f>
        <v/>
      </c>
      <c r="O141" s="13">
        <f>AI141</f>
        <v/>
      </c>
      <c r="P141" s="13">
        <f>W141</f>
        <v/>
      </c>
      <c r="Q141" s="13">
        <f>Y141</f>
        <v/>
      </c>
      <c r="R141" s="15" t="n"/>
      <c r="S141" s="15">
        <f>LEFT(W141,2)&amp;LEFT(Y141,2)</f>
        <v/>
      </c>
      <c r="T141" s="15" t="n"/>
      <c r="U141" s="15">
        <f>IF(K141&lt;L141,1,0)</f>
        <v/>
      </c>
      <c r="V141" s="15">
        <f>IF(H141&gt;I141,1,0)</f>
        <v/>
      </c>
      <c r="W141" s="15">
        <f>IF(SUM(U141:V141)=2,"Anticipatory_Sell","No_Action")</f>
        <v/>
      </c>
      <c r="X141" s="15" t="n"/>
      <c r="Y141" s="15">
        <f>IF(SUM(Z141:AA141)=2,"Confirm_Sell","No_Action")</f>
        <v/>
      </c>
      <c r="Z141" s="15">
        <f>IF(H141&gt;I141,1,0)</f>
        <v/>
      </c>
      <c r="AA141" s="15">
        <f>IF(K141&lt;M141,1,0)</f>
        <v/>
      </c>
      <c r="AB141" s="15" t="n"/>
      <c r="AC141" s="15">
        <f>LEFT(AG141,2)&amp;LEFT(AI141,2)</f>
        <v/>
      </c>
      <c r="AD141" s="15" t="n"/>
      <c r="AE141" s="15">
        <f>IF(K141&gt;L141,1,0)</f>
        <v/>
      </c>
      <c r="AF141" s="16">
        <f>IF(H141&gt;I141,1,0)</f>
        <v/>
      </c>
      <c r="AG141" s="16">
        <f>IF(SUM(AE141:AF141)=2,"Anticipatory_Buy","No_Action")</f>
        <v/>
      </c>
      <c r="AH141" s="15" t="n"/>
      <c r="AI141" s="15">
        <f>IF(SUM(AJ141:AK141)=2,"Confirm_Buy","No_Action")</f>
        <v/>
      </c>
      <c r="AJ141" s="15">
        <f>IF(H141&gt;I141,1,0)</f>
        <v/>
      </c>
      <c r="AK141" s="15">
        <f>IF(K141&gt;M141,1,0)</f>
        <v/>
      </c>
    </row>
    <row r="142" ht="14.5" customHeight="1">
      <c r="A142" s="12" t="inlineStr">
        <is>
          <t>HEROMOTOCO</t>
        </is>
      </c>
      <c r="B142" s="13">
        <f>IFERROR(__xludf.DUMMYFUNCTION("GOOGLEFINANCE(""NSE:""&amp;A142,""PRICE"")"),4598)</f>
        <v/>
      </c>
      <c r="C142" s="13">
        <f>IFERROR(__xludf.DUMMYFUNCTION("GOOGLEFINANCE(""NSE:""&amp;A142,""PRICEOPEN"")"),4638.95)</f>
        <v/>
      </c>
      <c r="D142" s="13">
        <f>IFERROR(__xludf.DUMMYFUNCTION("GOOGLEFINANCE(""NSE:""&amp;A142,""HIGH"")"),4659.6)</f>
        <v/>
      </c>
      <c r="E142" s="13">
        <f>IFERROR(__xludf.DUMMYFUNCTION("GOOGLEFINANCE(""NSE:""&amp;A142,""LOW"")"),4590)</f>
        <v/>
      </c>
      <c r="F142" s="13">
        <f>IFERROR(__xludf.DUMMYFUNCTION("GOOGLEFINANCE(""NSE:""&amp;A142,""closeyest"")"),4629.6)</f>
        <v/>
      </c>
      <c r="G142" s="14">
        <f>(B142-C142)/B142</f>
        <v/>
      </c>
      <c r="H142" s="13">
        <f>IFERROR(__xludf.DUMMYFUNCTION("GOOGLEFINANCE(""NSE:""&amp;A142,""VOLUME"")"),329145)</f>
        <v/>
      </c>
      <c r="I142" s="13">
        <f>IFERROR(__xludf.DUMMYFUNCTION("AVERAGE(index(GOOGLEFINANCE(""NSE:""&amp;$A142, ""volume"", today()-21, today()-1), , 2))"),"#N/A")</f>
        <v/>
      </c>
      <c r="J142" s="14">
        <f>(H142-I142)/I142</f>
        <v/>
      </c>
      <c r="K142" s="13">
        <f>IFERROR(__xludf.DUMMYFUNCTION("AVERAGE(index(GOOGLEFINANCE(""NSE:""&amp;$A142, ""close"", today()-6, today()-1), , 2))"),"#N/A")</f>
        <v/>
      </c>
      <c r="L142" s="13">
        <f>IFERROR(__xludf.DUMMYFUNCTION("AVERAGE(index(GOOGLEFINANCE(""NSE:""&amp;$A142, ""close"", today()-14, today()-1), , 2))"),"#N/A")</f>
        <v/>
      </c>
      <c r="M142" s="13">
        <f>IFERROR(__xludf.DUMMYFUNCTION("AVERAGE(index(GOOGLEFINANCE(""NSE:""&amp;$A142, ""close"", today()-22, today()-1), , 2))"),"#N/A")</f>
        <v/>
      </c>
      <c r="N142" s="13">
        <f>AG142</f>
        <v/>
      </c>
      <c r="O142" s="13">
        <f>AI142</f>
        <v/>
      </c>
      <c r="P142" s="13">
        <f>W142</f>
        <v/>
      </c>
      <c r="Q142" s="13">
        <f>Y142</f>
        <v/>
      </c>
      <c r="R142" s="15" t="n"/>
      <c r="S142" s="15">
        <f>LEFT(W142,2)&amp;LEFT(Y142,2)</f>
        <v/>
      </c>
      <c r="T142" s="15" t="n"/>
      <c r="U142" s="15">
        <f>IF(K142&lt;L142,1,0)</f>
        <v/>
      </c>
      <c r="V142" s="15">
        <f>IF(H142&gt;I142,1,0)</f>
        <v/>
      </c>
      <c r="W142" s="15">
        <f>IF(SUM(U142:V142)=2,"Anticipatory_Sell","No_Action")</f>
        <v/>
      </c>
      <c r="X142" s="15" t="n"/>
      <c r="Y142" s="15">
        <f>IF(SUM(Z142:AA142)=2,"Confirm_Sell","No_Action")</f>
        <v/>
      </c>
      <c r="Z142" s="15">
        <f>IF(H142&gt;I142,1,0)</f>
        <v/>
      </c>
      <c r="AA142" s="15">
        <f>IF(K142&lt;M142,1,0)</f>
        <v/>
      </c>
      <c r="AB142" s="15" t="n"/>
      <c r="AC142" s="15">
        <f>LEFT(AG142,2)&amp;LEFT(AI142,2)</f>
        <v/>
      </c>
      <c r="AD142" s="15" t="n"/>
      <c r="AE142" s="15">
        <f>IF(K142&gt;L142,1,0)</f>
        <v/>
      </c>
      <c r="AF142" s="16">
        <f>IF(H142&gt;I142,1,0)</f>
        <v/>
      </c>
      <c r="AG142" s="16">
        <f>IF(SUM(AE142:AF142)=2,"Anticipatory_Buy","No_Action")</f>
        <v/>
      </c>
      <c r="AH142" s="15" t="n"/>
      <c r="AI142" s="15">
        <f>IF(SUM(AJ142:AK142)=2,"Confirm_Buy","No_Action")</f>
        <v/>
      </c>
      <c r="AJ142" s="15">
        <f>IF(H142&gt;I142,1,0)</f>
        <v/>
      </c>
      <c r="AK142" s="15">
        <f>IF(K142&gt;M142,1,0)</f>
        <v/>
      </c>
    </row>
    <row r="143" ht="14.5" customHeight="1">
      <c r="A143" s="12" t="inlineStr">
        <is>
          <t>HINDUNILVR</t>
        </is>
      </c>
      <c r="B143" s="13">
        <f>IFERROR(__xludf.DUMMYFUNCTION("GOOGLEFINANCE(""NSE:""&amp;A143,""PRICE"")"),2402)</f>
        <v/>
      </c>
      <c r="C143" s="13">
        <f>IFERROR(__xludf.DUMMYFUNCTION("GOOGLEFINANCE(""NSE:""&amp;A143,""PRICEOPEN"")"),2465)</f>
        <v/>
      </c>
      <c r="D143" s="13">
        <f>IFERROR(__xludf.DUMMYFUNCTION("GOOGLEFINANCE(""NSE:""&amp;A143,""HIGH"")"),2476.95)</f>
        <v/>
      </c>
      <c r="E143" s="13">
        <f>IFERROR(__xludf.DUMMYFUNCTION("GOOGLEFINANCE(""NSE:""&amp;A143,""LOW"")"),2383.3)</f>
        <v/>
      </c>
      <c r="F143" s="13">
        <f>IFERROR(__xludf.DUMMYFUNCTION("GOOGLEFINANCE(""NSE:""&amp;A143,""closeyest"")"),2483.8)</f>
        <v/>
      </c>
      <c r="G143" s="14">
        <f>(B143-C143)/B143</f>
        <v/>
      </c>
      <c r="H143" s="13">
        <f>IFERROR(__xludf.DUMMYFUNCTION("GOOGLEFINANCE(""NSE:""&amp;A143,""VOLUME"")"),3385021)</f>
        <v/>
      </c>
      <c r="I143" s="13">
        <f>IFERROR(__xludf.DUMMYFUNCTION("AVERAGE(index(GOOGLEFINANCE(""NSE:""&amp;$A143, ""volume"", today()-21, today()-1), , 2))"),"#N/A")</f>
        <v/>
      </c>
      <c r="J143" s="14">
        <f>(H143-I143)/I143</f>
        <v/>
      </c>
      <c r="K143" s="13">
        <f>IFERROR(__xludf.DUMMYFUNCTION("AVERAGE(index(GOOGLEFINANCE(""NSE:""&amp;$A143, ""close"", today()-6, today()-1), , 2))"),"#N/A")</f>
        <v/>
      </c>
      <c r="L143" s="13">
        <f>IFERROR(__xludf.DUMMYFUNCTION("AVERAGE(index(GOOGLEFINANCE(""NSE:""&amp;$A143, ""close"", today()-14, today()-1), , 2))"),"#N/A")</f>
        <v/>
      </c>
      <c r="M143" s="13">
        <f>IFERROR(__xludf.DUMMYFUNCTION("AVERAGE(index(GOOGLEFINANCE(""NSE:""&amp;$A143, ""close"", today()-22, today()-1), , 2))"),"#N/A")</f>
        <v/>
      </c>
      <c r="N143" s="13">
        <f>AG143</f>
        <v/>
      </c>
      <c r="O143" s="13">
        <f>AI143</f>
        <v/>
      </c>
      <c r="P143" s="13">
        <f>W143</f>
        <v/>
      </c>
      <c r="Q143" s="13">
        <f>Y143</f>
        <v/>
      </c>
      <c r="R143" s="15" t="n"/>
      <c r="S143" s="15">
        <f>LEFT(W143,2)&amp;LEFT(Y143,2)</f>
        <v/>
      </c>
      <c r="T143" s="15" t="n"/>
      <c r="U143" s="15">
        <f>IF(K143&lt;L143,1,0)</f>
        <v/>
      </c>
      <c r="V143" s="15">
        <f>IF(H143&gt;I143,1,0)</f>
        <v/>
      </c>
      <c r="W143" s="15">
        <f>IF(SUM(U143:V143)=2,"Anticipatory_Sell","No_Action")</f>
        <v/>
      </c>
      <c r="X143" s="15" t="n"/>
      <c r="Y143" s="15">
        <f>IF(SUM(Z143:AA143)=2,"Confirm_Sell","No_Action")</f>
        <v/>
      </c>
      <c r="Z143" s="15">
        <f>IF(H143&gt;I143,1,0)</f>
        <v/>
      </c>
      <c r="AA143" s="15">
        <f>IF(K143&lt;M143,1,0)</f>
        <v/>
      </c>
      <c r="AB143" s="15" t="n"/>
      <c r="AC143" s="15">
        <f>LEFT(AG143,2)&amp;LEFT(AI143,2)</f>
        <v/>
      </c>
      <c r="AD143" s="15" t="n"/>
      <c r="AE143" s="15">
        <f>IF(K143&gt;L143,1,0)</f>
        <v/>
      </c>
      <c r="AF143" s="16">
        <f>IF(H143&gt;I143,1,0)</f>
        <v/>
      </c>
      <c r="AG143" s="16">
        <f>IF(SUM(AE143:AF143)=2,"Anticipatory_Buy","No_Action")</f>
        <v/>
      </c>
      <c r="AH143" s="15" t="n"/>
      <c r="AI143" s="15">
        <f>IF(SUM(AJ143:AK143)=2,"Confirm_Buy","No_Action")</f>
        <v/>
      </c>
      <c r="AJ143" s="15">
        <f>IF(H143&gt;I143,1,0)</f>
        <v/>
      </c>
      <c r="AK143" s="15">
        <f>IF(K143&gt;M143,1,0)</f>
        <v/>
      </c>
    </row>
    <row r="144" ht="14.5" customHeight="1">
      <c r="A144" s="12" t="inlineStr">
        <is>
          <t>HAL</t>
        </is>
      </c>
      <c r="B144" s="13">
        <f>IFERROR(__xludf.DUMMYFUNCTION("GOOGLEFINANCE(""NSE:""&amp;A144,""PRICE"")"),4620)</f>
        <v/>
      </c>
      <c r="C144" s="13">
        <f>IFERROR(__xludf.DUMMYFUNCTION("GOOGLEFINANCE(""NSE:""&amp;A144,""PRICEOPEN"")"),4561)</f>
        <v/>
      </c>
      <c r="D144" s="13">
        <f>IFERROR(__xludf.DUMMYFUNCTION("GOOGLEFINANCE(""NSE:""&amp;A144,""HIGH"")"),4646.95)</f>
        <v/>
      </c>
      <c r="E144" s="13">
        <f>IFERROR(__xludf.DUMMYFUNCTION("GOOGLEFINANCE(""NSE:""&amp;A144,""LOW"")"),4551)</f>
        <v/>
      </c>
      <c r="F144" s="13">
        <f>IFERROR(__xludf.DUMMYFUNCTION("GOOGLEFINANCE(""NSE:""&amp;A144,""closeyest"")"),4559.65)</f>
        <v/>
      </c>
      <c r="G144" s="14">
        <f>(B144-C144)/B144</f>
        <v/>
      </c>
      <c r="H144" s="13">
        <f>IFERROR(__xludf.DUMMYFUNCTION("GOOGLEFINANCE(""NSE:""&amp;A144,""VOLUME"")"),1524379)</f>
        <v/>
      </c>
      <c r="I144" s="13">
        <f>IFERROR(__xludf.DUMMYFUNCTION("AVERAGE(index(GOOGLEFINANCE(""NSE:""&amp;$A144, ""volume"", today()-21, today()-1), , 2))"),"#N/A")</f>
        <v/>
      </c>
      <c r="J144" s="14">
        <f>(H144-I144)/I144</f>
        <v/>
      </c>
      <c r="K144" s="13">
        <f>IFERROR(__xludf.DUMMYFUNCTION("AVERAGE(index(GOOGLEFINANCE(""NSE:""&amp;$A144, ""close"", today()-6, today()-1), , 2))"),"#N/A")</f>
        <v/>
      </c>
      <c r="L144" s="13">
        <f>IFERROR(__xludf.DUMMYFUNCTION("AVERAGE(index(GOOGLEFINANCE(""NSE:""&amp;$A144, ""close"", today()-14, today()-1), , 2))"),"#N/A")</f>
        <v/>
      </c>
      <c r="M144" s="13">
        <f>IFERROR(__xludf.DUMMYFUNCTION("AVERAGE(index(GOOGLEFINANCE(""NSE:""&amp;$A144, ""close"", today()-22, today()-1), , 2))"),"#N/A")</f>
        <v/>
      </c>
      <c r="N144" s="13">
        <f>AG144</f>
        <v/>
      </c>
      <c r="O144" s="13">
        <f>AI144</f>
        <v/>
      </c>
      <c r="P144" s="13">
        <f>W144</f>
        <v/>
      </c>
      <c r="Q144" s="13">
        <f>Y144</f>
        <v/>
      </c>
      <c r="R144" s="15" t="n"/>
      <c r="S144" s="15">
        <f>LEFT(W144,2)&amp;LEFT(Y144,2)</f>
        <v/>
      </c>
      <c r="T144" s="15" t="n"/>
      <c r="U144" s="15">
        <f>IF(K144&lt;L144,1,0)</f>
        <v/>
      </c>
      <c r="V144" s="15">
        <f>IF(H144&gt;I144,1,0)</f>
        <v/>
      </c>
      <c r="W144" s="15">
        <f>IF(SUM(U144:V144)=2,"Anticipatory_Sell","No_Action")</f>
        <v/>
      </c>
      <c r="X144" s="15" t="n"/>
      <c r="Y144" s="15">
        <f>IF(SUM(Z144:AA144)=2,"Confirm_Sell","No_Action")</f>
        <v/>
      </c>
      <c r="Z144" s="15">
        <f>IF(H144&gt;I144,1,0)</f>
        <v/>
      </c>
      <c r="AA144" s="15">
        <f>IF(K144&lt;M144,1,0)</f>
        <v/>
      </c>
      <c r="AB144" s="15" t="n"/>
      <c r="AC144" s="15">
        <f>LEFT(AG144,2)&amp;LEFT(AI144,2)</f>
        <v/>
      </c>
      <c r="AD144" s="15" t="n"/>
      <c r="AE144" s="15">
        <f>IF(K144&gt;L144,1,0)</f>
        <v/>
      </c>
      <c r="AF144" s="16">
        <f>IF(H144&gt;I144,1,0)</f>
        <v/>
      </c>
      <c r="AG144" s="16">
        <f>IF(SUM(AE144:AF144)=2,"Anticipatory_Buy","No_Action")</f>
        <v/>
      </c>
      <c r="AH144" s="15" t="n"/>
      <c r="AI144" s="15">
        <f>IF(SUM(AJ144:AK144)=2,"Confirm_Buy","No_Action")</f>
        <v/>
      </c>
      <c r="AJ144" s="15">
        <f>IF(H144&gt;I144,1,0)</f>
        <v/>
      </c>
      <c r="AK144" s="15">
        <f>IF(K144&gt;M144,1,0)</f>
        <v/>
      </c>
    </row>
    <row r="145" ht="14.5" customHeight="1">
      <c r="A145" s="12" t="inlineStr">
        <is>
          <t>HINDOILEXP</t>
        </is>
      </c>
      <c r="B145" s="13">
        <f>IFERROR(__xludf.DUMMYFUNCTION("GOOGLEFINANCE(""NSE:""&amp;A145,""PRICE"")"),195.98)</f>
        <v/>
      </c>
      <c r="C145" s="13">
        <f>IFERROR(__xludf.DUMMYFUNCTION("GOOGLEFINANCE(""NSE:""&amp;A145,""PRICEOPEN"")"),196.89)</f>
        <v/>
      </c>
      <c r="D145" s="13">
        <f>IFERROR(__xludf.DUMMYFUNCTION("GOOGLEFINANCE(""NSE:""&amp;A145,""HIGH"")"),198.78)</f>
        <v/>
      </c>
      <c r="E145" s="13">
        <f>IFERROR(__xludf.DUMMYFUNCTION("GOOGLEFINANCE(""NSE:""&amp;A145,""LOW"")"),195.4)</f>
        <v/>
      </c>
      <c r="F145" s="13">
        <f>IFERROR(__xludf.DUMMYFUNCTION("GOOGLEFINANCE(""NSE:""&amp;A145,""closeyest"")"),196.32)</f>
        <v/>
      </c>
      <c r="G145" s="14">
        <f>(B145-C145)/B145</f>
        <v/>
      </c>
      <c r="H145" s="13">
        <f>IFERROR(__xludf.DUMMYFUNCTION("GOOGLEFINANCE(""NSE:""&amp;A145,""VOLUME"")"),282809)</f>
        <v/>
      </c>
      <c r="I145" s="13">
        <f>IFERROR(__xludf.DUMMYFUNCTION("AVERAGE(index(GOOGLEFINANCE(""NSE:""&amp;$A145, ""volume"", today()-21, today()-1), , 2))"),"#N/A")</f>
        <v/>
      </c>
      <c r="J145" s="14">
        <f>(H145-I145)/I145</f>
        <v/>
      </c>
      <c r="K145" s="13">
        <f>IFERROR(__xludf.DUMMYFUNCTION("AVERAGE(index(GOOGLEFINANCE(""NSE:""&amp;$A145, ""close"", today()-6, today()-1), , 2))"),"#N/A")</f>
        <v/>
      </c>
      <c r="L145" s="13">
        <f>IFERROR(__xludf.DUMMYFUNCTION("AVERAGE(index(GOOGLEFINANCE(""NSE:""&amp;$A145, ""close"", today()-14, today()-1), , 2))"),"#N/A")</f>
        <v/>
      </c>
      <c r="M145" s="13">
        <f>IFERROR(__xludf.DUMMYFUNCTION("AVERAGE(index(GOOGLEFINANCE(""NSE:""&amp;$A145, ""close"", today()-22, today()-1), , 2))"),"#N/A")</f>
        <v/>
      </c>
      <c r="N145" s="13">
        <f>AG145</f>
        <v/>
      </c>
      <c r="O145" s="13">
        <f>AI145</f>
        <v/>
      </c>
      <c r="P145" s="13">
        <f>W145</f>
        <v/>
      </c>
      <c r="Q145" s="13">
        <f>Y145</f>
        <v/>
      </c>
      <c r="R145" s="15" t="n"/>
      <c r="S145" s="15">
        <f>LEFT(W145,2)&amp;LEFT(Y145,2)</f>
        <v/>
      </c>
      <c r="T145" s="15" t="n"/>
      <c r="U145" s="15">
        <f>IF(K145&lt;L145,1,0)</f>
        <v/>
      </c>
      <c r="V145" s="15">
        <f>IF(H145&gt;I145,1,0)</f>
        <v/>
      </c>
      <c r="W145" s="15">
        <f>IF(SUM(U145:V145)=2,"Anticipatory_Sell","No_Action")</f>
        <v/>
      </c>
      <c r="X145" s="15" t="n"/>
      <c r="Y145" s="15">
        <f>IF(SUM(Z145:AA145)=2,"Confirm_Sell","No_Action")</f>
        <v/>
      </c>
      <c r="Z145" s="15">
        <f>IF(H145&gt;I145,1,0)</f>
        <v/>
      </c>
      <c r="AA145" s="15">
        <f>IF(K145&lt;M145,1,0)</f>
        <v/>
      </c>
      <c r="AB145" s="15" t="n"/>
      <c r="AC145" s="15">
        <f>LEFT(AG145,2)&amp;LEFT(AI145,2)</f>
        <v/>
      </c>
      <c r="AD145" s="15" t="n"/>
      <c r="AE145" s="15">
        <f>IF(K145&gt;L145,1,0)</f>
        <v/>
      </c>
      <c r="AF145" s="16">
        <f>IF(H145&gt;I145,1,0)</f>
        <v/>
      </c>
      <c r="AG145" s="16">
        <f>IF(SUM(AE145:AF145)=2,"Anticipatory_Buy","No_Action")</f>
        <v/>
      </c>
      <c r="AH145" s="15" t="n"/>
      <c r="AI145" s="15">
        <f>IF(SUM(AJ145:AK145)=2,"Confirm_Buy","No_Action")</f>
        <v/>
      </c>
      <c r="AJ145" s="15">
        <f>IF(H145&gt;I145,1,0)</f>
        <v/>
      </c>
      <c r="AK145" s="15">
        <f>IF(K145&gt;M145,1,0)</f>
        <v/>
      </c>
    </row>
    <row r="146" ht="14.5" customHeight="1">
      <c r="A146" s="12" t="inlineStr">
        <is>
          <t>HINDALCO</t>
        </is>
      </c>
      <c r="B146" s="13">
        <f>IFERROR(__xludf.DUMMYFUNCTION("GOOGLEFINANCE(""NSE:""&amp;A146,""PRICE"")"),670.3)</f>
        <v/>
      </c>
      <c r="C146" s="13">
        <f>IFERROR(__xludf.DUMMYFUNCTION("GOOGLEFINANCE(""NSE:""&amp;A146,""PRICEOPEN"")"),666.95)</f>
        <v/>
      </c>
      <c r="D146" s="13">
        <f>IFERROR(__xludf.DUMMYFUNCTION("GOOGLEFINANCE(""NSE:""&amp;A146,""HIGH"")"),672.5)</f>
        <v/>
      </c>
      <c r="E146" s="13">
        <f>IFERROR(__xludf.DUMMYFUNCTION("GOOGLEFINANCE(""NSE:""&amp;A146,""LOW"")"),654.25)</f>
        <v/>
      </c>
      <c r="F146" s="13">
        <f>IFERROR(__xludf.DUMMYFUNCTION("GOOGLEFINANCE(""NSE:""&amp;A146,""closeyest"")"),670.15)</f>
        <v/>
      </c>
      <c r="G146" s="14">
        <f>(B146-C146)/B146</f>
        <v/>
      </c>
      <c r="H146" s="13">
        <f>IFERROR(__xludf.DUMMYFUNCTION("GOOGLEFINANCE(""NSE:""&amp;A146,""VOLUME"")"),5079369)</f>
        <v/>
      </c>
      <c r="I146" s="13">
        <f>IFERROR(__xludf.DUMMYFUNCTION("AVERAGE(index(GOOGLEFINANCE(""NSE:""&amp;$A146, ""volume"", today()-21, today()-1), , 2))"),"#N/A")</f>
        <v/>
      </c>
      <c r="J146" s="14">
        <f>(H146-I146)/I146</f>
        <v/>
      </c>
      <c r="K146" s="13">
        <f>IFERROR(__xludf.DUMMYFUNCTION("AVERAGE(index(GOOGLEFINANCE(""NSE:""&amp;$A146, ""close"", today()-6, today()-1), , 2))"),"#N/A")</f>
        <v/>
      </c>
      <c r="L146" s="13">
        <f>IFERROR(__xludf.DUMMYFUNCTION("AVERAGE(index(GOOGLEFINANCE(""NSE:""&amp;$A146, ""close"", today()-14, today()-1), , 2))"),"#N/A")</f>
        <v/>
      </c>
      <c r="M146" s="13">
        <f>IFERROR(__xludf.DUMMYFUNCTION("AVERAGE(index(GOOGLEFINANCE(""NSE:""&amp;$A146, ""close"", today()-22, today()-1), , 2))"),"#N/A")</f>
        <v/>
      </c>
      <c r="N146" s="13">
        <f>AG146</f>
        <v/>
      </c>
      <c r="O146" s="13">
        <f>AI146</f>
        <v/>
      </c>
      <c r="P146" s="13">
        <f>W146</f>
        <v/>
      </c>
      <c r="Q146" s="13">
        <f>Y146</f>
        <v/>
      </c>
      <c r="R146" s="15" t="n"/>
      <c r="S146" s="15">
        <f>LEFT(W146,2)&amp;LEFT(Y146,2)</f>
        <v/>
      </c>
      <c r="T146" s="15" t="n"/>
      <c r="U146" s="15">
        <f>IF(K146&lt;L146,1,0)</f>
        <v/>
      </c>
      <c r="V146" s="15">
        <f>IF(H146&gt;I146,1,0)</f>
        <v/>
      </c>
      <c r="W146" s="15">
        <f>IF(SUM(U146:V146)=2,"Anticipatory_Sell","No_Action")</f>
        <v/>
      </c>
      <c r="X146" s="15" t="n"/>
      <c r="Y146" s="15">
        <f>IF(SUM(Z146:AA146)=2,"Confirm_Sell","No_Action")</f>
        <v/>
      </c>
      <c r="Z146" s="15">
        <f>IF(H146&gt;I146,1,0)</f>
        <v/>
      </c>
      <c r="AA146" s="15">
        <f>IF(K146&lt;M146,1,0)</f>
        <v/>
      </c>
      <c r="AB146" s="15" t="n"/>
      <c r="AC146" s="15">
        <f>LEFT(AG146,2)&amp;LEFT(AI146,2)</f>
        <v/>
      </c>
      <c r="AD146" s="15" t="n"/>
      <c r="AE146" s="15">
        <f>IF(K146&gt;L146,1,0)</f>
        <v/>
      </c>
      <c r="AF146" s="16">
        <f>IF(H146&gt;I146,1,0)</f>
        <v/>
      </c>
      <c r="AG146" s="16">
        <f>IF(SUM(AE146:AF146)=2,"Anticipatory_Buy","No_Action")</f>
        <v/>
      </c>
      <c r="AH146" s="15" t="n"/>
      <c r="AI146" s="15">
        <f>IF(SUM(AJ146:AK146)=2,"Confirm_Buy","No_Action")</f>
        <v/>
      </c>
      <c r="AJ146" s="15">
        <f>IF(H146&gt;I146,1,0)</f>
        <v/>
      </c>
      <c r="AK146" s="15">
        <f>IF(K146&gt;M146,1,0)</f>
        <v/>
      </c>
    </row>
    <row r="147" ht="14.5" customHeight="1">
      <c r="A147" s="12" t="inlineStr">
        <is>
          <t>HLEGLAS</t>
        </is>
      </c>
      <c r="B147" s="13">
        <f>IFERROR(__xludf.DUMMYFUNCTION("GOOGLEFINANCE(""NSE:""&amp;A147,""PRICE"")"),403)</f>
        <v/>
      </c>
      <c r="C147" s="13">
        <f>IFERROR(__xludf.DUMMYFUNCTION("GOOGLEFINANCE(""NSE:""&amp;A147,""PRICEOPEN"")"),405)</f>
        <v/>
      </c>
      <c r="D147" s="13">
        <f>IFERROR(__xludf.DUMMYFUNCTION("GOOGLEFINANCE(""NSE:""&amp;A147,""HIGH"")"),417)</f>
        <v/>
      </c>
      <c r="E147" s="13">
        <f>IFERROR(__xludf.DUMMYFUNCTION("GOOGLEFINANCE(""NSE:""&amp;A147,""LOW"")"),401.15)</f>
        <v/>
      </c>
      <c r="F147" s="13">
        <f>IFERROR(__xludf.DUMMYFUNCTION("GOOGLEFINANCE(""NSE:""&amp;A147,""closeyest"")"),400.2)</f>
        <v/>
      </c>
      <c r="G147" s="14">
        <f>(B147-C147)/B147</f>
        <v/>
      </c>
      <c r="H147" s="13">
        <f>IFERROR(__xludf.DUMMYFUNCTION("GOOGLEFINANCE(""NSE:""&amp;A147,""VOLUME"")"),61729)</f>
        <v/>
      </c>
      <c r="I147" s="13">
        <f>IFERROR(__xludf.DUMMYFUNCTION("AVERAGE(index(GOOGLEFINANCE(""NSE:""&amp;$A147, ""volume"", today()-21, today()-1), , 2))"),"#N/A")</f>
        <v/>
      </c>
      <c r="J147" s="14">
        <f>(H147-I147)/I147</f>
        <v/>
      </c>
      <c r="K147" s="13">
        <f>IFERROR(__xludf.DUMMYFUNCTION("AVERAGE(index(GOOGLEFINANCE(""NSE:""&amp;$A147, ""close"", today()-6, today()-1), , 2))"),"#N/A")</f>
        <v/>
      </c>
      <c r="L147" s="13">
        <f>IFERROR(__xludf.DUMMYFUNCTION("AVERAGE(index(GOOGLEFINANCE(""NSE:""&amp;$A147, ""close"", today()-14, today()-1), , 2))"),"#N/A")</f>
        <v/>
      </c>
      <c r="M147" s="13">
        <f>IFERROR(__xludf.DUMMYFUNCTION("AVERAGE(index(GOOGLEFINANCE(""NSE:""&amp;$A147, ""close"", today()-22, today()-1), , 2))"),"#N/A")</f>
        <v/>
      </c>
      <c r="N147" s="13">
        <f>AG147</f>
        <v/>
      </c>
      <c r="O147" s="13">
        <f>AI147</f>
        <v/>
      </c>
      <c r="P147" s="13">
        <f>W147</f>
        <v/>
      </c>
      <c r="Q147" s="13">
        <f>Y147</f>
        <v/>
      </c>
      <c r="R147" s="15" t="n"/>
      <c r="S147" s="15">
        <f>LEFT(W147,2)&amp;LEFT(Y147,2)</f>
        <v/>
      </c>
      <c r="T147" s="15" t="n"/>
      <c r="U147" s="15">
        <f>IF(K147&lt;L147,1,0)</f>
        <v/>
      </c>
      <c r="V147" s="15">
        <f>IF(H147&gt;I147,1,0)</f>
        <v/>
      </c>
      <c r="W147" s="15">
        <f>IF(SUM(U147:V147)=2,"Anticipatory_Sell","No_Action")</f>
        <v/>
      </c>
      <c r="X147" s="15" t="n"/>
      <c r="Y147" s="15">
        <f>IF(SUM(Z147:AA147)=2,"Confirm_Sell","No_Action")</f>
        <v/>
      </c>
      <c r="Z147" s="15">
        <f>IF(H147&gt;I147,1,0)</f>
        <v/>
      </c>
      <c r="AA147" s="15">
        <f>IF(K147&lt;M147,1,0)</f>
        <v/>
      </c>
      <c r="AB147" s="15" t="n"/>
      <c r="AC147" s="15">
        <f>LEFT(AG147,2)&amp;LEFT(AI147,2)</f>
        <v/>
      </c>
      <c r="AD147" s="15" t="n"/>
      <c r="AE147" s="15">
        <f>IF(K147&gt;L147,1,0)</f>
        <v/>
      </c>
      <c r="AF147" s="16">
        <f>IF(H147&gt;I147,1,0)</f>
        <v/>
      </c>
      <c r="AG147" s="16">
        <f>IF(SUM(AE147:AF147)=2,"Anticipatory_Buy","No_Action")</f>
        <v/>
      </c>
      <c r="AH147" s="15" t="n"/>
      <c r="AI147" s="15">
        <f>IF(SUM(AJ147:AK147)=2,"Confirm_Buy","No_Action")</f>
        <v/>
      </c>
      <c r="AJ147" s="15">
        <f>IF(H147&gt;I147,1,0)</f>
        <v/>
      </c>
      <c r="AK147" s="15">
        <f>IF(K147&gt;M147,1,0)</f>
        <v/>
      </c>
    </row>
    <row r="148" ht="14.5" customHeight="1">
      <c r="A148" s="12" t="inlineStr">
        <is>
          <t>ICICIBANK</t>
        </is>
      </c>
      <c r="B148" s="13">
        <f>IFERROR(__xludf.DUMMYFUNCTION("GOOGLEFINANCE(""NSE:""&amp;A148,""PRICE"")"),1323.5)</f>
        <v/>
      </c>
      <c r="C148" s="13">
        <f>IFERROR(__xludf.DUMMYFUNCTION("GOOGLEFINANCE(""NSE:""&amp;A148,""PRICEOPEN"")"),1322.1)</f>
        <v/>
      </c>
      <c r="D148" s="13">
        <f>IFERROR(__xludf.DUMMYFUNCTION("GOOGLEFINANCE(""NSE:""&amp;A148,""HIGH"")"),1329.05)</f>
        <v/>
      </c>
      <c r="E148" s="13">
        <f>IFERROR(__xludf.DUMMYFUNCTION("GOOGLEFINANCE(""NSE:""&amp;A148,""LOW"")"),1320.25)</f>
        <v/>
      </c>
      <c r="F148" s="13">
        <f>IFERROR(__xludf.DUMMYFUNCTION("GOOGLEFINANCE(""NSE:""&amp;A148,""closeyest"")"),1328.75)</f>
        <v/>
      </c>
      <c r="G148" s="14">
        <f>(B148-C148)/B148</f>
        <v/>
      </c>
      <c r="H148" s="13">
        <f>IFERROR(__xludf.DUMMYFUNCTION("GOOGLEFINANCE(""NSE:""&amp;A148,""VOLUME"")"),8000764)</f>
        <v/>
      </c>
      <c r="I148" s="13">
        <f>IFERROR(__xludf.DUMMYFUNCTION("AVERAGE(index(GOOGLEFINANCE(""NSE:""&amp;$A148, ""volume"", today()-21, today()-1), , 2))"),"#N/A")</f>
        <v/>
      </c>
      <c r="J148" s="14">
        <f>(H148-I148)/I148</f>
        <v/>
      </c>
      <c r="K148" s="13">
        <f>IFERROR(__xludf.DUMMYFUNCTION("AVERAGE(index(GOOGLEFINANCE(""NSE:""&amp;$A148, ""close"", today()-6, today()-1), , 2))"),"#N/A")</f>
        <v/>
      </c>
      <c r="L148" s="13">
        <f>IFERROR(__xludf.DUMMYFUNCTION("AVERAGE(index(GOOGLEFINANCE(""NSE:""&amp;$A148, ""close"", today()-14, today()-1), , 2))"),"#N/A")</f>
        <v/>
      </c>
      <c r="M148" s="13">
        <f>IFERROR(__xludf.DUMMYFUNCTION("AVERAGE(index(GOOGLEFINANCE(""NSE:""&amp;$A148, ""close"", today()-22, today()-1), , 2))"),"#N/A")</f>
        <v/>
      </c>
      <c r="N148" s="13">
        <f>AG148</f>
        <v/>
      </c>
      <c r="O148" s="13">
        <f>AI148</f>
        <v/>
      </c>
      <c r="P148" s="13">
        <f>W148</f>
        <v/>
      </c>
      <c r="Q148" s="13">
        <f>Y148</f>
        <v/>
      </c>
      <c r="R148" s="15" t="n"/>
      <c r="S148" s="15">
        <f>LEFT(W148,2)&amp;LEFT(Y148,2)</f>
        <v/>
      </c>
      <c r="T148" s="15" t="n"/>
      <c r="U148" s="15">
        <f>IF(K148&lt;L148,1,0)</f>
        <v/>
      </c>
      <c r="V148" s="15">
        <f>IF(H148&gt;I148,1,0)</f>
        <v/>
      </c>
      <c r="W148" s="15">
        <f>IF(SUM(U148:V148)=2,"Anticipatory_Sell","No_Action")</f>
        <v/>
      </c>
      <c r="X148" s="15" t="n"/>
      <c r="Y148" s="15">
        <f>IF(SUM(Z148:AA148)=2,"Confirm_Sell","No_Action")</f>
        <v/>
      </c>
      <c r="Z148" s="15">
        <f>IF(H148&gt;I148,1,0)</f>
        <v/>
      </c>
      <c r="AA148" s="15">
        <f>IF(K148&lt;M148,1,0)</f>
        <v/>
      </c>
      <c r="AB148" s="15" t="n"/>
      <c r="AC148" s="15">
        <f>LEFT(AG148,2)&amp;LEFT(AI148,2)</f>
        <v/>
      </c>
      <c r="AD148" s="15" t="n"/>
      <c r="AE148" s="15">
        <f>IF(K148&gt;L148,1,0)</f>
        <v/>
      </c>
      <c r="AF148" s="16">
        <f>IF(H148&gt;I148,1,0)</f>
        <v/>
      </c>
      <c r="AG148" s="16">
        <f>IF(SUM(AE148:AF148)=2,"Anticipatory_Buy","No_Action")</f>
        <v/>
      </c>
      <c r="AH148" s="15" t="n"/>
      <c r="AI148" s="15">
        <f>IF(SUM(AJ148:AK148)=2,"Confirm_Buy","No_Action")</f>
        <v/>
      </c>
      <c r="AJ148" s="15">
        <f>IF(H148&gt;I148,1,0)</f>
        <v/>
      </c>
      <c r="AK148" s="15">
        <f>IF(K148&gt;M148,1,0)</f>
        <v/>
      </c>
    </row>
    <row r="149" ht="14.5" customHeight="1">
      <c r="A149" s="12" t="inlineStr">
        <is>
          <t>IIFLSEC</t>
        </is>
      </c>
      <c r="B149" s="13">
        <f>IFERROR(__xludf.DUMMYFUNCTION("GOOGLEFINANCE(""NSE:""&amp;A149,""PRICE"")"),"#N/A")</f>
        <v/>
      </c>
      <c r="C149" s="13">
        <f>IFERROR(__xludf.DUMMYFUNCTION("GOOGLEFINANCE(""NSE:""&amp;A149,""PRICEOPEN"")"),"#N/A")</f>
        <v/>
      </c>
      <c r="D149" s="13">
        <f>IFERROR(__xludf.DUMMYFUNCTION("GOOGLEFINANCE(""NSE:""&amp;A149,""HIGH"")"),"#N/A")</f>
        <v/>
      </c>
      <c r="E149" s="13">
        <f>IFERROR(__xludf.DUMMYFUNCTION("GOOGLEFINANCE(""NSE:""&amp;A149,""LOW"")"),"#N/A")</f>
        <v/>
      </c>
      <c r="F149" s="13">
        <f>IFERROR(__xludf.DUMMYFUNCTION("GOOGLEFINANCE(""NSE:""&amp;A149,""closeyest"")"),"#N/A")</f>
        <v/>
      </c>
      <c r="G149" s="14">
        <f>(B149-C149)/B149</f>
        <v/>
      </c>
      <c r="H149" s="13">
        <f>IFERROR(__xludf.DUMMYFUNCTION("GOOGLEFINANCE(""NSE:""&amp;A149,""VOLUME"")"),"#N/A")</f>
        <v/>
      </c>
      <c r="I149" s="13">
        <f>IFERROR(__xludf.DUMMYFUNCTION("AVERAGE(index(GOOGLEFINANCE(""NSE:""&amp;$A149, ""volume"", today()-21, today()-1), , 2))"),"#N/A")</f>
        <v/>
      </c>
      <c r="J149" s="14">
        <f>(H149-I149)/I149</f>
        <v/>
      </c>
      <c r="K149" s="13">
        <f>IFERROR(__xludf.DUMMYFUNCTION("AVERAGE(index(GOOGLEFINANCE(""NSE:""&amp;$A149, ""close"", today()-6, today()-1), , 2))"),"#N/A")</f>
        <v/>
      </c>
      <c r="L149" s="13">
        <f>IFERROR(__xludf.DUMMYFUNCTION("AVERAGE(index(GOOGLEFINANCE(""NSE:""&amp;$A149, ""close"", today()-14, today()-1), , 2))"),"#N/A")</f>
        <v/>
      </c>
      <c r="M149" s="13">
        <f>IFERROR(__xludf.DUMMYFUNCTION("AVERAGE(index(GOOGLEFINANCE(""NSE:""&amp;$A149, ""close"", today()-22, today()-1), , 2))"),"#N/A")</f>
        <v/>
      </c>
      <c r="N149" s="13">
        <f>AG149</f>
        <v/>
      </c>
      <c r="O149" s="13">
        <f>AI149</f>
        <v/>
      </c>
      <c r="P149" s="13">
        <f>W149</f>
        <v/>
      </c>
      <c r="Q149" s="13">
        <f>Y149</f>
        <v/>
      </c>
      <c r="R149" s="15" t="n"/>
      <c r="S149" s="15">
        <f>LEFT(W149,2)&amp;LEFT(Y149,2)</f>
        <v/>
      </c>
      <c r="T149" s="15" t="n"/>
      <c r="U149" s="15">
        <f>IF(K149&lt;L149,1,0)</f>
        <v/>
      </c>
      <c r="V149" s="15">
        <f>IF(H149&gt;I149,1,0)</f>
        <v/>
      </c>
      <c r="W149" s="15">
        <f>IF(SUM(U149:V149)=2,"Anticipatory_Sell","No_Action")</f>
        <v/>
      </c>
      <c r="X149" s="15" t="n"/>
      <c r="Y149" s="15">
        <f>IF(SUM(Z149:AA149)=2,"Confirm_Sell","No_Action")</f>
        <v/>
      </c>
      <c r="Z149" s="15">
        <f>IF(H149&gt;I149,1,0)</f>
        <v/>
      </c>
      <c r="AA149" s="15">
        <f>IF(K149&lt;M149,1,0)</f>
        <v/>
      </c>
      <c r="AB149" s="15" t="n"/>
      <c r="AC149" s="15">
        <f>LEFT(AG149,2)&amp;LEFT(AI149,2)</f>
        <v/>
      </c>
      <c r="AD149" s="15" t="n"/>
      <c r="AE149" s="15">
        <f>IF(K149&gt;L149,1,0)</f>
        <v/>
      </c>
      <c r="AF149" s="16">
        <f>IF(H149&gt;I149,1,0)</f>
        <v/>
      </c>
      <c r="AG149" s="16">
        <f>IF(SUM(AE149:AF149)=2,"Anticipatory_Buy","No_Action")</f>
        <v/>
      </c>
      <c r="AH149" s="15" t="n"/>
      <c r="AI149" s="15">
        <f>IF(SUM(AJ149:AK149)=2,"Confirm_Buy","No_Action")</f>
        <v/>
      </c>
      <c r="AJ149" s="15">
        <f>IF(H149&gt;I149,1,0)</f>
        <v/>
      </c>
      <c r="AK149" s="15">
        <f>IF(K149&gt;M149,1,0)</f>
        <v/>
      </c>
    </row>
    <row r="150" ht="14.5" customHeight="1">
      <c r="A150" s="12" t="inlineStr">
        <is>
          <t>INDIAMART</t>
        </is>
      </c>
      <c r="B150" s="13">
        <f>IFERROR(__xludf.DUMMYFUNCTION("GOOGLEFINANCE(""NSE:""&amp;A150,""PRICE"")"),2370)</f>
        <v/>
      </c>
      <c r="C150" s="13">
        <f>IFERROR(__xludf.DUMMYFUNCTION("GOOGLEFINANCE(""NSE:""&amp;A150,""PRICEOPEN"")"),2357.85)</f>
        <v/>
      </c>
      <c r="D150" s="13">
        <f>IFERROR(__xludf.DUMMYFUNCTION("GOOGLEFINANCE(""NSE:""&amp;A150,""HIGH"")"),2378)</f>
        <v/>
      </c>
      <c r="E150" s="13">
        <f>IFERROR(__xludf.DUMMYFUNCTION("GOOGLEFINANCE(""NSE:""&amp;A150,""LOW"")"),2357)</f>
        <v/>
      </c>
      <c r="F150" s="13">
        <f>IFERROR(__xludf.DUMMYFUNCTION("GOOGLEFINANCE(""NSE:""&amp;A150,""closeyest"")"),2357.85)</f>
        <v/>
      </c>
      <c r="G150" s="14">
        <f>(B150-C150)/B150</f>
        <v/>
      </c>
      <c r="H150" s="13">
        <f>IFERROR(__xludf.DUMMYFUNCTION("GOOGLEFINANCE(""NSE:""&amp;A150,""VOLUME"")"),103487)</f>
        <v/>
      </c>
      <c r="I150" s="13">
        <f>IFERROR(__xludf.DUMMYFUNCTION("AVERAGE(index(GOOGLEFINANCE(""NSE:""&amp;$A150, ""volume"", today()-21, today()-1), , 2))"),"#N/A")</f>
        <v/>
      </c>
      <c r="J150" s="14">
        <f>(H150-I150)/I150</f>
        <v/>
      </c>
      <c r="K150" s="13">
        <f>IFERROR(__xludf.DUMMYFUNCTION("AVERAGE(index(GOOGLEFINANCE(""NSE:""&amp;$A150, ""close"", today()-6, today()-1), , 2))"),"#N/A")</f>
        <v/>
      </c>
      <c r="L150" s="13">
        <f>IFERROR(__xludf.DUMMYFUNCTION("AVERAGE(index(GOOGLEFINANCE(""NSE:""&amp;$A150, ""close"", today()-14, today()-1), , 2))"),"#N/A")</f>
        <v/>
      </c>
      <c r="M150" s="13">
        <f>IFERROR(__xludf.DUMMYFUNCTION("AVERAGE(index(GOOGLEFINANCE(""NSE:""&amp;$A150, ""close"", today()-22, today()-1), , 2))"),"#N/A")</f>
        <v/>
      </c>
      <c r="N150" s="13">
        <f>AG150</f>
        <v/>
      </c>
      <c r="O150" s="13">
        <f>AI150</f>
        <v/>
      </c>
      <c r="P150" s="13">
        <f>W150</f>
        <v/>
      </c>
      <c r="Q150" s="13">
        <f>Y150</f>
        <v/>
      </c>
      <c r="R150" s="15" t="n"/>
      <c r="S150" s="15">
        <f>LEFT(W150,2)&amp;LEFT(Y150,2)</f>
        <v/>
      </c>
      <c r="T150" s="15" t="n"/>
      <c r="U150" s="15">
        <f>IF(K150&lt;L150,1,0)</f>
        <v/>
      </c>
      <c r="V150" s="15">
        <f>IF(H150&gt;I150,1,0)</f>
        <v/>
      </c>
      <c r="W150" s="15">
        <f>IF(SUM(U150:V150)=2,"Anticipatory_Sell","No_Action")</f>
        <v/>
      </c>
      <c r="X150" s="15" t="n"/>
      <c r="Y150" s="15">
        <f>IF(SUM(Z150:AA150)=2,"Confirm_Sell","No_Action")</f>
        <v/>
      </c>
      <c r="Z150" s="15">
        <f>IF(H150&gt;I150,1,0)</f>
        <v/>
      </c>
      <c r="AA150" s="15">
        <f>IF(K150&lt;M150,1,0)</f>
        <v/>
      </c>
      <c r="AB150" s="15" t="n"/>
      <c r="AC150" s="15">
        <f>LEFT(AG150,2)&amp;LEFT(AI150,2)</f>
        <v/>
      </c>
      <c r="AD150" s="15" t="n"/>
      <c r="AE150" s="15">
        <f>IF(K150&gt;L150,1,0)</f>
        <v/>
      </c>
      <c r="AF150" s="16">
        <f>IF(H150&gt;I150,1,0)</f>
        <v/>
      </c>
      <c r="AG150" s="16">
        <f>IF(SUM(AE150:AF150)=2,"Anticipatory_Buy","No_Action")</f>
        <v/>
      </c>
      <c r="AH150" s="15" t="n"/>
      <c r="AI150" s="15">
        <f>IF(SUM(AJ150:AK150)=2,"Confirm_Buy","No_Action")</f>
        <v/>
      </c>
      <c r="AJ150" s="15">
        <f>IF(H150&gt;I150,1,0)</f>
        <v/>
      </c>
      <c r="AK150" s="15">
        <f>IF(K150&gt;M150,1,0)</f>
        <v/>
      </c>
    </row>
    <row r="151" ht="14.5" customHeight="1">
      <c r="A151" s="12" t="inlineStr">
        <is>
          <t>INDIANB</t>
        </is>
      </c>
      <c r="B151" s="13">
        <f>IFERROR(__xludf.DUMMYFUNCTION("GOOGLEFINANCE(""NSE:""&amp;A151,""PRICE"")"),594)</f>
        <v/>
      </c>
      <c r="C151" s="13">
        <f>IFERROR(__xludf.DUMMYFUNCTION("GOOGLEFINANCE(""NSE:""&amp;A151,""PRICEOPEN"")"),594.4)</f>
        <v/>
      </c>
      <c r="D151" s="13">
        <f>IFERROR(__xludf.DUMMYFUNCTION("GOOGLEFINANCE(""NSE:""&amp;A151,""HIGH"")"),603.25)</f>
        <v/>
      </c>
      <c r="E151" s="13">
        <f>IFERROR(__xludf.DUMMYFUNCTION("GOOGLEFINANCE(""NSE:""&amp;A151,""LOW"")"),591.4)</f>
        <v/>
      </c>
      <c r="F151" s="13">
        <f>IFERROR(__xludf.DUMMYFUNCTION("GOOGLEFINANCE(""NSE:""&amp;A151,""closeyest"")"),594.4)</f>
        <v/>
      </c>
      <c r="G151" s="14">
        <f>(B151-C151)/B151</f>
        <v/>
      </c>
      <c r="H151" s="13">
        <f>IFERROR(__xludf.DUMMYFUNCTION("GOOGLEFINANCE(""NSE:""&amp;A151,""VOLUME"")"),2038776)</f>
        <v/>
      </c>
      <c r="I151" s="13">
        <f>IFERROR(__xludf.DUMMYFUNCTION("AVERAGE(index(GOOGLEFINANCE(""NSE:""&amp;$A151, ""volume"", today()-21, today()-1), , 2))"),"#N/A")</f>
        <v/>
      </c>
      <c r="J151" s="14">
        <f>(H151-I151)/I151</f>
        <v/>
      </c>
      <c r="K151" s="13">
        <f>IFERROR(__xludf.DUMMYFUNCTION("AVERAGE(index(GOOGLEFINANCE(""NSE:""&amp;$A151, ""close"", today()-6, today()-1), , 2))"),"#N/A")</f>
        <v/>
      </c>
      <c r="L151" s="13">
        <f>IFERROR(__xludf.DUMMYFUNCTION("AVERAGE(index(GOOGLEFINANCE(""NSE:""&amp;$A151, ""close"", today()-14, today()-1), , 2))"),"#N/A")</f>
        <v/>
      </c>
      <c r="M151" s="13">
        <f>IFERROR(__xludf.DUMMYFUNCTION("AVERAGE(index(GOOGLEFINANCE(""NSE:""&amp;$A151, ""close"", today()-22, today()-1), , 2))"),"#N/A")</f>
        <v/>
      </c>
      <c r="N151" s="13">
        <f>AG151</f>
        <v/>
      </c>
      <c r="O151" s="13">
        <f>AI151</f>
        <v/>
      </c>
      <c r="P151" s="13">
        <f>W151</f>
        <v/>
      </c>
      <c r="Q151" s="13">
        <f>Y151</f>
        <v/>
      </c>
      <c r="R151" s="15" t="n"/>
      <c r="S151" s="15">
        <f>LEFT(W151,2)&amp;LEFT(Y151,2)</f>
        <v/>
      </c>
      <c r="T151" s="15" t="n"/>
      <c r="U151" s="15">
        <f>IF(K151&lt;L151,1,0)</f>
        <v/>
      </c>
      <c r="V151" s="15">
        <f>IF(H151&gt;I151,1,0)</f>
        <v/>
      </c>
      <c r="W151" s="15">
        <f>IF(SUM(U151:V151)=2,"Anticipatory_Sell","No_Action")</f>
        <v/>
      </c>
      <c r="X151" s="15" t="n"/>
      <c r="Y151" s="15">
        <f>IF(SUM(Z151:AA151)=2,"Confirm_Sell","No_Action")</f>
        <v/>
      </c>
      <c r="Z151" s="15">
        <f>IF(H151&gt;I151,1,0)</f>
        <v/>
      </c>
      <c r="AA151" s="15">
        <f>IF(K151&lt;M151,1,0)</f>
        <v/>
      </c>
      <c r="AB151" s="15" t="n"/>
      <c r="AC151" s="15">
        <f>LEFT(AG151,2)&amp;LEFT(AI151,2)</f>
        <v/>
      </c>
      <c r="AD151" s="15" t="n"/>
      <c r="AE151" s="15">
        <f>IF(K151&gt;L151,1,0)</f>
        <v/>
      </c>
      <c r="AF151" s="16">
        <f>IF(H151&gt;I151,1,0)</f>
        <v/>
      </c>
      <c r="AG151" s="16">
        <f>IF(SUM(AE151:AF151)=2,"Anticipatory_Buy","No_Action")</f>
        <v/>
      </c>
      <c r="AH151" s="15" t="n"/>
      <c r="AI151" s="15">
        <f>IF(SUM(AJ151:AK151)=2,"Confirm_Buy","No_Action")</f>
        <v/>
      </c>
      <c r="AJ151" s="15">
        <f>IF(H151&gt;I151,1,0)</f>
        <v/>
      </c>
      <c r="AK151" s="15">
        <f>IF(K151&gt;M151,1,0)</f>
        <v/>
      </c>
    </row>
    <row r="152" ht="14.5" customHeight="1">
      <c r="A152" s="12" t="inlineStr">
        <is>
          <t>INDHOTEL</t>
        </is>
      </c>
      <c r="B152" s="13">
        <f>IFERROR(__xludf.DUMMYFUNCTION("GOOGLEFINANCE(""NSE:""&amp;A152,""PRICE"")"),835.25)</f>
        <v/>
      </c>
      <c r="C152" s="13">
        <f>IFERROR(__xludf.DUMMYFUNCTION("GOOGLEFINANCE(""NSE:""&amp;A152,""PRICEOPEN"")"),827)</f>
        <v/>
      </c>
      <c r="D152" s="13">
        <f>IFERROR(__xludf.DUMMYFUNCTION("GOOGLEFINANCE(""NSE:""&amp;A152,""HIGH"")"),841.9)</f>
        <v/>
      </c>
      <c r="E152" s="13">
        <f>IFERROR(__xludf.DUMMYFUNCTION("GOOGLEFINANCE(""NSE:""&amp;A152,""LOW"")"),825.1)</f>
        <v/>
      </c>
      <c r="F152" s="13">
        <f>IFERROR(__xludf.DUMMYFUNCTION("GOOGLEFINANCE(""NSE:""&amp;A152,""closeyest"")"),826.65)</f>
        <v/>
      </c>
      <c r="G152" s="14">
        <f>(B152-C152)/B152</f>
        <v/>
      </c>
      <c r="H152" s="13">
        <f>IFERROR(__xludf.DUMMYFUNCTION("GOOGLEFINANCE(""NSE:""&amp;A152,""VOLUME"")"),2652196)</f>
        <v/>
      </c>
      <c r="I152" s="13">
        <f>IFERROR(__xludf.DUMMYFUNCTION("AVERAGE(index(GOOGLEFINANCE(""NSE:""&amp;$A152, ""volume"", today()-21, today()-1), , 2))"),"#N/A")</f>
        <v/>
      </c>
      <c r="J152" s="14">
        <f>(H152-I152)/I152</f>
        <v/>
      </c>
      <c r="K152" s="13">
        <f>IFERROR(__xludf.DUMMYFUNCTION("AVERAGE(index(GOOGLEFINANCE(""NSE:""&amp;$A152, ""close"", today()-6, today()-1), , 2))"),"#N/A")</f>
        <v/>
      </c>
      <c r="L152" s="13">
        <f>IFERROR(__xludf.DUMMYFUNCTION("AVERAGE(index(GOOGLEFINANCE(""NSE:""&amp;$A152, ""close"", today()-14, today()-1), , 2))"),"#N/A")</f>
        <v/>
      </c>
      <c r="M152" s="13">
        <f>IFERROR(__xludf.DUMMYFUNCTION("AVERAGE(index(GOOGLEFINANCE(""NSE:""&amp;$A152, ""close"", today()-22, today()-1), , 2))"),"#N/A")</f>
        <v/>
      </c>
      <c r="N152" s="13">
        <f>AG152</f>
        <v/>
      </c>
      <c r="O152" s="13">
        <f>AI152</f>
        <v/>
      </c>
      <c r="P152" s="13">
        <f>W152</f>
        <v/>
      </c>
      <c r="Q152" s="13">
        <f>Y152</f>
        <v/>
      </c>
      <c r="R152" s="15" t="n"/>
      <c r="S152" s="15">
        <f>LEFT(W152,2)&amp;LEFT(Y152,2)</f>
        <v/>
      </c>
      <c r="T152" s="15" t="n"/>
      <c r="U152" s="15">
        <f>IF(K152&lt;L152,1,0)</f>
        <v/>
      </c>
      <c r="V152" s="15">
        <f>IF(H152&gt;I152,1,0)</f>
        <v/>
      </c>
      <c r="W152" s="15">
        <f>IF(SUM(U152:V152)=2,"Anticipatory_Sell","No_Action")</f>
        <v/>
      </c>
      <c r="X152" s="15" t="n"/>
      <c r="Y152" s="15">
        <f>IF(SUM(Z152:AA152)=2,"Confirm_Sell","No_Action")</f>
        <v/>
      </c>
      <c r="Z152" s="15">
        <f>IF(H152&gt;I152,1,0)</f>
        <v/>
      </c>
      <c r="AA152" s="15">
        <f>IF(K152&lt;M152,1,0)</f>
        <v/>
      </c>
      <c r="AB152" s="15" t="n"/>
      <c r="AC152" s="15">
        <f>LEFT(AG152,2)&amp;LEFT(AI152,2)</f>
        <v/>
      </c>
      <c r="AD152" s="15" t="n"/>
      <c r="AE152" s="15">
        <f>IF(K152&gt;L152,1,0)</f>
        <v/>
      </c>
      <c r="AF152" s="16">
        <f>IF(H152&gt;I152,1,0)</f>
        <v/>
      </c>
      <c r="AG152" s="16">
        <f>IF(SUM(AE152:AF152)=2,"Anticipatory_Buy","No_Action")</f>
        <v/>
      </c>
      <c r="AH152" s="15" t="n"/>
      <c r="AI152" s="15">
        <f>IF(SUM(AJ152:AK152)=2,"Confirm_Buy","No_Action")</f>
        <v/>
      </c>
      <c r="AJ152" s="15">
        <f>IF(H152&gt;I152,1,0)</f>
        <v/>
      </c>
      <c r="AK152" s="15">
        <f>IF(K152&gt;M152,1,0)</f>
        <v/>
      </c>
    </row>
    <row r="153" ht="14.5" customHeight="1">
      <c r="A153" s="12" t="inlineStr">
        <is>
          <t>IMFA</t>
        </is>
      </c>
      <c r="B153" s="13">
        <f>IFERROR(__xludf.DUMMYFUNCTION("GOOGLEFINANCE(""NSE:""&amp;A153,""PRICE"")"),965)</f>
        <v/>
      </c>
      <c r="C153" s="13">
        <f>IFERROR(__xludf.DUMMYFUNCTION("GOOGLEFINANCE(""NSE:""&amp;A153,""PRICEOPEN"")"),945.95)</f>
        <v/>
      </c>
      <c r="D153" s="13">
        <f>IFERROR(__xludf.DUMMYFUNCTION("GOOGLEFINANCE(""NSE:""&amp;A153,""HIGH"")"),991.95)</f>
        <v/>
      </c>
      <c r="E153" s="13">
        <f>IFERROR(__xludf.DUMMYFUNCTION("GOOGLEFINANCE(""NSE:""&amp;A153,""LOW"")"),939.05)</f>
        <v/>
      </c>
      <c r="F153" s="13">
        <f>IFERROR(__xludf.DUMMYFUNCTION("GOOGLEFINANCE(""NSE:""&amp;A153,""closeyest"")"),938.2)</f>
        <v/>
      </c>
      <c r="G153" s="14">
        <f>(B153-C153)/B153</f>
        <v/>
      </c>
      <c r="H153" s="13">
        <f>IFERROR(__xludf.DUMMYFUNCTION("GOOGLEFINANCE(""NSE:""&amp;A153,""VOLUME"")"),236800)</f>
        <v/>
      </c>
      <c r="I153" s="13">
        <f>IFERROR(__xludf.DUMMYFUNCTION("AVERAGE(index(GOOGLEFINANCE(""NSE:""&amp;$A153, ""volume"", today()-21, today()-1), , 2))"),"#N/A")</f>
        <v/>
      </c>
      <c r="J153" s="14">
        <f>(H153-I153)/I153</f>
        <v/>
      </c>
      <c r="K153" s="13">
        <f>IFERROR(__xludf.DUMMYFUNCTION("AVERAGE(index(GOOGLEFINANCE(""NSE:""&amp;$A153, ""close"", today()-6, today()-1), , 2))"),"#N/A")</f>
        <v/>
      </c>
      <c r="L153" s="13">
        <f>IFERROR(__xludf.DUMMYFUNCTION("AVERAGE(index(GOOGLEFINANCE(""NSE:""&amp;$A153, ""close"", today()-14, today()-1), , 2))"),"#N/A")</f>
        <v/>
      </c>
      <c r="M153" s="13">
        <f>IFERROR(__xludf.DUMMYFUNCTION("AVERAGE(index(GOOGLEFINANCE(""NSE:""&amp;$A153, ""close"", today()-22, today()-1), , 2))"),"#N/A")</f>
        <v/>
      </c>
      <c r="N153" s="13">
        <f>AG153</f>
        <v/>
      </c>
      <c r="O153" s="13">
        <f>AI153</f>
        <v/>
      </c>
      <c r="P153" s="13">
        <f>W153</f>
        <v/>
      </c>
      <c r="Q153" s="13">
        <f>Y153</f>
        <v/>
      </c>
      <c r="R153" s="15" t="n"/>
      <c r="S153" s="15">
        <f>LEFT(W153,2)&amp;LEFT(Y153,2)</f>
        <v/>
      </c>
      <c r="T153" s="15" t="n"/>
      <c r="U153" s="15">
        <f>IF(K153&lt;L153,1,0)</f>
        <v/>
      </c>
      <c r="V153" s="15">
        <f>IF(H153&gt;I153,1,0)</f>
        <v/>
      </c>
      <c r="W153" s="15">
        <f>IF(SUM(U153:V153)=2,"Anticipatory_Sell","No_Action")</f>
        <v/>
      </c>
      <c r="X153" s="15" t="n"/>
      <c r="Y153" s="15">
        <f>IF(SUM(Z153:AA153)=2,"Confirm_Sell","No_Action")</f>
        <v/>
      </c>
      <c r="Z153" s="15">
        <f>IF(H153&gt;I153,1,0)</f>
        <v/>
      </c>
      <c r="AA153" s="15">
        <f>IF(K153&lt;M153,1,0)</f>
        <v/>
      </c>
      <c r="AB153" s="15" t="n"/>
      <c r="AC153" s="15">
        <f>LEFT(AG153,2)&amp;LEFT(AI153,2)</f>
        <v/>
      </c>
      <c r="AD153" s="15" t="n"/>
      <c r="AE153" s="15">
        <f>IF(K153&gt;L153,1,0)</f>
        <v/>
      </c>
      <c r="AF153" s="16">
        <f>IF(H153&gt;I153,1,0)</f>
        <v/>
      </c>
      <c r="AG153" s="16">
        <f>IF(SUM(AE153:AF153)=2,"Anticipatory_Buy","No_Action")</f>
        <v/>
      </c>
      <c r="AH153" s="15" t="n"/>
      <c r="AI153" s="15">
        <f>IF(SUM(AJ153:AK153)=2,"Confirm_Buy","No_Action")</f>
        <v/>
      </c>
      <c r="AJ153" s="15">
        <f>IF(H153&gt;I153,1,0)</f>
        <v/>
      </c>
      <c r="AK153" s="15">
        <f>IF(K153&gt;M153,1,0)</f>
        <v/>
      </c>
    </row>
    <row r="154" ht="14.5" customHeight="1">
      <c r="A154" s="12" t="inlineStr">
        <is>
          <t>ICIL</t>
        </is>
      </c>
      <c r="B154" s="13">
        <f>IFERROR(__xludf.DUMMYFUNCTION("GOOGLEFINANCE(""NSE:""&amp;A154,""PRICE"")"),394)</f>
        <v/>
      </c>
      <c r="C154" s="13">
        <f>IFERROR(__xludf.DUMMYFUNCTION("GOOGLEFINANCE(""NSE:""&amp;A154,""PRICEOPEN"")"),344)</f>
        <v/>
      </c>
      <c r="D154" s="13">
        <f>IFERROR(__xludf.DUMMYFUNCTION("GOOGLEFINANCE(""NSE:""&amp;A154,""HIGH"")"),395.7)</f>
        <v/>
      </c>
      <c r="E154" s="13">
        <f>IFERROR(__xludf.DUMMYFUNCTION("GOOGLEFINANCE(""NSE:""&amp;A154,""LOW"")"),344)</f>
        <v/>
      </c>
      <c r="F154" s="13">
        <f>IFERROR(__xludf.DUMMYFUNCTION("GOOGLEFINANCE(""NSE:""&amp;A154,""closeyest"")"),341.45)</f>
        <v/>
      </c>
      <c r="G154" s="14">
        <f>(B154-C154)/B154</f>
        <v/>
      </c>
      <c r="H154" s="13">
        <f>IFERROR(__xludf.DUMMYFUNCTION("GOOGLEFINANCE(""NSE:""&amp;A154,""VOLUME"")"),2919353)</f>
        <v/>
      </c>
      <c r="I154" s="13">
        <f>IFERROR(__xludf.DUMMYFUNCTION("AVERAGE(index(GOOGLEFINANCE(""NSE:""&amp;$A154, ""volume"", today()-21, today()-1), , 2))"),"#N/A")</f>
        <v/>
      </c>
      <c r="J154" s="14">
        <f>(H154-I154)/I154</f>
        <v/>
      </c>
      <c r="K154" s="13">
        <f>IFERROR(__xludf.DUMMYFUNCTION("AVERAGE(index(GOOGLEFINANCE(""NSE:""&amp;$A154, ""close"", today()-6, today()-1), , 2))"),"#N/A")</f>
        <v/>
      </c>
      <c r="L154" s="13">
        <f>IFERROR(__xludf.DUMMYFUNCTION("AVERAGE(index(GOOGLEFINANCE(""NSE:""&amp;$A154, ""close"", today()-14, today()-1), , 2))"),"#N/A")</f>
        <v/>
      </c>
      <c r="M154" s="13">
        <f>IFERROR(__xludf.DUMMYFUNCTION("AVERAGE(index(GOOGLEFINANCE(""NSE:""&amp;$A154, ""close"", today()-22, today()-1), , 2))"),"#N/A")</f>
        <v/>
      </c>
      <c r="N154" s="13">
        <f>AG154</f>
        <v/>
      </c>
      <c r="O154" s="13">
        <f>AI154</f>
        <v/>
      </c>
      <c r="P154" s="13">
        <f>W154</f>
        <v/>
      </c>
      <c r="Q154" s="13">
        <f>Y154</f>
        <v/>
      </c>
      <c r="R154" s="15" t="n"/>
      <c r="S154" s="15">
        <f>LEFT(W154,2)&amp;LEFT(Y154,2)</f>
        <v/>
      </c>
      <c r="T154" s="15" t="n"/>
      <c r="U154" s="15">
        <f>IF(K154&lt;L154,1,0)</f>
        <v/>
      </c>
      <c r="V154" s="15">
        <f>IF(H154&gt;I154,1,0)</f>
        <v/>
      </c>
      <c r="W154" s="15">
        <f>IF(SUM(U154:V154)=2,"Anticipatory_Sell","No_Action")</f>
        <v/>
      </c>
      <c r="X154" s="15" t="n"/>
      <c r="Y154" s="15">
        <f>IF(SUM(Z154:AA154)=2,"Confirm_Sell","No_Action")</f>
        <v/>
      </c>
      <c r="Z154" s="15">
        <f>IF(H154&gt;I154,1,0)</f>
        <v/>
      </c>
      <c r="AA154" s="15">
        <f>IF(K154&lt;M154,1,0)</f>
        <v/>
      </c>
      <c r="AB154" s="15" t="n"/>
      <c r="AC154" s="15">
        <f>LEFT(AG154,2)&amp;LEFT(AI154,2)</f>
        <v/>
      </c>
      <c r="AD154" s="15" t="n"/>
      <c r="AE154" s="15">
        <f>IF(K154&gt;L154,1,0)</f>
        <v/>
      </c>
      <c r="AF154" s="16">
        <f>IF(H154&gt;I154,1,0)</f>
        <v/>
      </c>
      <c r="AG154" s="16">
        <f>IF(SUM(AE154:AF154)=2,"Anticipatory_Buy","No_Action")</f>
        <v/>
      </c>
      <c r="AH154" s="15" t="n"/>
      <c r="AI154" s="15">
        <f>IF(SUM(AJ154:AK154)=2,"Confirm_Buy","No_Action")</f>
        <v/>
      </c>
      <c r="AJ154" s="15">
        <f>IF(H154&gt;I154,1,0)</f>
        <v/>
      </c>
      <c r="AK154" s="15">
        <f>IF(K154&gt;M154,1,0)</f>
        <v/>
      </c>
    </row>
    <row r="155" ht="14.5" customHeight="1">
      <c r="A155" s="12" t="inlineStr">
        <is>
          <t>IGL</t>
        </is>
      </c>
      <c r="B155" s="13">
        <f>IFERROR(__xludf.DUMMYFUNCTION("GOOGLEFINANCE(""NSE:""&amp;A155,""PRICE"")"),386.65)</f>
        <v/>
      </c>
      <c r="C155" s="13">
        <f>IFERROR(__xludf.DUMMYFUNCTION("GOOGLEFINANCE(""NSE:""&amp;A155,""PRICEOPEN"")"),387)</f>
        <v/>
      </c>
      <c r="D155" s="13">
        <f>IFERROR(__xludf.DUMMYFUNCTION("GOOGLEFINANCE(""NSE:""&amp;A155,""HIGH"")"),389.65)</f>
        <v/>
      </c>
      <c r="E155" s="13">
        <f>IFERROR(__xludf.DUMMYFUNCTION("GOOGLEFINANCE(""NSE:""&amp;A155,""LOW"")"),377.7)</f>
        <v/>
      </c>
      <c r="F155" s="13">
        <f>IFERROR(__xludf.DUMMYFUNCTION("GOOGLEFINANCE(""NSE:""&amp;A155,""closeyest"")"),384)</f>
        <v/>
      </c>
      <c r="G155" s="14">
        <f>(B155-C155)/B155</f>
        <v/>
      </c>
      <c r="H155" s="13">
        <f>IFERROR(__xludf.DUMMYFUNCTION("GOOGLEFINANCE(""NSE:""&amp;A155,""VOLUME"")"),4426139)</f>
        <v/>
      </c>
      <c r="I155" s="13">
        <f>IFERROR(__xludf.DUMMYFUNCTION("AVERAGE(index(GOOGLEFINANCE(""NSE:""&amp;$A155, ""volume"", today()-21, today()-1), , 2))"),"#N/A")</f>
        <v/>
      </c>
      <c r="J155" s="14">
        <f>(H155-I155)/I155</f>
        <v/>
      </c>
      <c r="K155" s="13">
        <f>IFERROR(__xludf.DUMMYFUNCTION("AVERAGE(index(GOOGLEFINANCE(""NSE:""&amp;$A155, ""close"", today()-6, today()-1), , 2))"),"#N/A")</f>
        <v/>
      </c>
      <c r="L155" s="13">
        <f>IFERROR(__xludf.DUMMYFUNCTION("AVERAGE(index(GOOGLEFINANCE(""NSE:""&amp;$A155, ""close"", today()-14, today()-1), , 2))"),"#N/A")</f>
        <v/>
      </c>
      <c r="M155" s="13">
        <f>IFERROR(__xludf.DUMMYFUNCTION("AVERAGE(index(GOOGLEFINANCE(""NSE:""&amp;$A155, ""close"", today()-22, today()-1), , 2))"),"#N/A")</f>
        <v/>
      </c>
      <c r="N155" s="13">
        <f>AG155</f>
        <v/>
      </c>
      <c r="O155" s="13">
        <f>AI155</f>
        <v/>
      </c>
      <c r="P155" s="13">
        <f>W155</f>
        <v/>
      </c>
      <c r="Q155" s="13">
        <f>Y155</f>
        <v/>
      </c>
      <c r="R155" s="15" t="n"/>
      <c r="S155" s="15">
        <f>LEFT(W155,2)&amp;LEFT(Y155,2)</f>
        <v/>
      </c>
      <c r="T155" s="15" t="n"/>
      <c r="U155" s="15">
        <f>IF(K155&lt;L155,1,0)</f>
        <v/>
      </c>
      <c r="V155" s="15">
        <f>IF(H155&gt;I155,1,0)</f>
        <v/>
      </c>
      <c r="W155" s="15">
        <f>IF(SUM(U155:V155)=2,"Anticipatory_Sell","No_Action")</f>
        <v/>
      </c>
      <c r="X155" s="15" t="n"/>
      <c r="Y155" s="15">
        <f>IF(SUM(Z155:AA155)=2,"Confirm_Sell","No_Action")</f>
        <v/>
      </c>
      <c r="Z155" s="15">
        <f>IF(H155&gt;I155,1,0)</f>
        <v/>
      </c>
      <c r="AA155" s="15">
        <f>IF(K155&lt;M155,1,0)</f>
        <v/>
      </c>
      <c r="AB155" s="15" t="n"/>
      <c r="AC155" s="15">
        <f>LEFT(AG155,2)&amp;LEFT(AI155,2)</f>
        <v/>
      </c>
      <c r="AD155" s="15" t="n"/>
      <c r="AE155" s="15">
        <f>IF(K155&gt;L155,1,0)</f>
        <v/>
      </c>
      <c r="AF155" s="16">
        <f>IF(H155&gt;I155,1,0)</f>
        <v/>
      </c>
      <c r="AG155" s="16">
        <f>IF(SUM(AE155:AF155)=2,"Anticipatory_Buy","No_Action")</f>
        <v/>
      </c>
      <c r="AH155" s="15" t="n"/>
      <c r="AI155" s="15">
        <f>IF(SUM(AJ155:AK155)=2,"Confirm_Buy","No_Action")</f>
        <v/>
      </c>
      <c r="AJ155" s="15">
        <f>IF(H155&gt;I155,1,0)</f>
        <v/>
      </c>
      <c r="AK155" s="15">
        <f>IF(K155&gt;M155,1,0)</f>
        <v/>
      </c>
    </row>
    <row r="156" ht="14.5" customHeight="1">
      <c r="A156" s="12" t="inlineStr">
        <is>
          <t>INDUSTOWER</t>
        </is>
      </c>
      <c r="B156" s="13">
        <f>IFERROR(__xludf.DUMMYFUNCTION("GOOGLEFINANCE(""NSE:""&amp;A156,""PRICE"")"),361.75)</f>
        <v/>
      </c>
      <c r="C156" s="13">
        <f>IFERROR(__xludf.DUMMYFUNCTION("GOOGLEFINANCE(""NSE:""&amp;A156,""PRICEOPEN"")"),364.75)</f>
        <v/>
      </c>
      <c r="D156" s="13">
        <f>IFERROR(__xludf.DUMMYFUNCTION("GOOGLEFINANCE(""NSE:""&amp;A156,""HIGH"")"),366.8)</f>
        <v/>
      </c>
      <c r="E156" s="13">
        <f>IFERROR(__xludf.DUMMYFUNCTION("GOOGLEFINANCE(""NSE:""&amp;A156,""LOW"")"),358.95)</f>
        <v/>
      </c>
      <c r="F156" s="13">
        <f>IFERROR(__xludf.DUMMYFUNCTION("GOOGLEFINANCE(""NSE:""&amp;A156,""closeyest"")"),364.65)</f>
        <v/>
      </c>
      <c r="G156" s="14">
        <f>(B156-C156)/B156</f>
        <v/>
      </c>
      <c r="H156" s="13">
        <f>IFERROR(__xludf.DUMMYFUNCTION("GOOGLEFINANCE(""NSE:""&amp;A156,""VOLUME"")"),14327412)</f>
        <v/>
      </c>
      <c r="I156" s="13">
        <f>IFERROR(__xludf.DUMMYFUNCTION("AVERAGE(index(GOOGLEFINANCE(""NSE:""&amp;$A156, ""volume"", today()-21, today()-1), , 2))"),"#N/A")</f>
        <v/>
      </c>
      <c r="J156" s="14">
        <f>(H156-I156)/I156</f>
        <v/>
      </c>
      <c r="K156" s="13">
        <f>IFERROR(__xludf.DUMMYFUNCTION("AVERAGE(index(GOOGLEFINANCE(""NSE:""&amp;$A156, ""close"", today()-6, today()-1), , 2))"),"#N/A")</f>
        <v/>
      </c>
      <c r="L156" s="13">
        <f>IFERROR(__xludf.DUMMYFUNCTION("AVERAGE(index(GOOGLEFINANCE(""NSE:""&amp;$A156, ""close"", today()-14, today()-1), , 2))"),"#N/A")</f>
        <v/>
      </c>
      <c r="M156" s="13">
        <f>IFERROR(__xludf.DUMMYFUNCTION("AVERAGE(index(GOOGLEFINANCE(""NSE:""&amp;$A156, ""close"", today()-22, today()-1), , 2))"),"#N/A")</f>
        <v/>
      </c>
      <c r="N156" s="13">
        <f>AG156</f>
        <v/>
      </c>
      <c r="O156" s="13">
        <f>AI156</f>
        <v/>
      </c>
      <c r="P156" s="13">
        <f>W156</f>
        <v/>
      </c>
      <c r="Q156" s="13">
        <f>Y156</f>
        <v/>
      </c>
      <c r="R156" s="15" t="n"/>
      <c r="S156" s="15">
        <f>LEFT(W156,2)&amp;LEFT(Y156,2)</f>
        <v/>
      </c>
      <c r="T156" s="15" t="n"/>
      <c r="U156" s="15">
        <f>IF(K156&lt;L156,1,0)</f>
        <v/>
      </c>
      <c r="V156" s="15">
        <f>IF(H156&gt;I156,1,0)</f>
        <v/>
      </c>
      <c r="W156" s="15">
        <f>IF(SUM(U156:V156)=2,"Anticipatory_Sell","No_Action")</f>
        <v/>
      </c>
      <c r="X156" s="15" t="n"/>
      <c r="Y156" s="15">
        <f>IF(SUM(Z156:AA156)=2,"Confirm_Sell","No_Action")</f>
        <v/>
      </c>
      <c r="Z156" s="15">
        <f>IF(H156&gt;I156,1,0)</f>
        <v/>
      </c>
      <c r="AA156" s="15">
        <f>IF(K156&lt;M156,1,0)</f>
        <v/>
      </c>
      <c r="AB156" s="15" t="n"/>
      <c r="AC156" s="15">
        <f>LEFT(AG156,2)&amp;LEFT(AI156,2)</f>
        <v/>
      </c>
      <c r="AD156" s="15" t="n"/>
      <c r="AE156" s="15">
        <f>IF(K156&gt;L156,1,0)</f>
        <v/>
      </c>
      <c r="AF156" s="16">
        <f>IF(H156&gt;I156,1,0)</f>
        <v/>
      </c>
      <c r="AG156" s="16">
        <f>IF(SUM(AE156:AF156)=2,"Anticipatory_Buy","No_Action")</f>
        <v/>
      </c>
      <c r="AH156" s="15" t="n"/>
      <c r="AI156" s="15">
        <f>IF(SUM(AJ156:AK156)=2,"Confirm_Buy","No_Action")</f>
        <v/>
      </c>
      <c r="AJ156" s="15">
        <f>IF(H156&gt;I156,1,0)</f>
        <v/>
      </c>
      <c r="AK156" s="15">
        <f>IF(K156&gt;M156,1,0)</f>
        <v/>
      </c>
    </row>
    <row r="157" ht="14.5" customHeight="1">
      <c r="A157" s="12" t="inlineStr">
        <is>
          <t>IOLCP</t>
        </is>
      </c>
      <c r="B157" s="13">
        <f>IFERROR(__xludf.DUMMYFUNCTION("GOOGLEFINANCE(""NSE:""&amp;A157,""PRICE"")"),383.5)</f>
        <v/>
      </c>
      <c r="C157" s="13">
        <f>IFERROR(__xludf.DUMMYFUNCTION("GOOGLEFINANCE(""NSE:""&amp;A157,""PRICEOPEN"")"),389.05)</f>
        <v/>
      </c>
      <c r="D157" s="13">
        <f>IFERROR(__xludf.DUMMYFUNCTION("GOOGLEFINANCE(""NSE:""&amp;A157,""HIGH"")"),392)</f>
        <v/>
      </c>
      <c r="E157" s="13">
        <f>IFERROR(__xludf.DUMMYFUNCTION("GOOGLEFINANCE(""NSE:""&amp;A157,""LOW"")"),381.1)</f>
        <v/>
      </c>
      <c r="F157" s="13">
        <f>IFERROR(__xludf.DUMMYFUNCTION("GOOGLEFINANCE(""NSE:""&amp;A157,""closeyest"")"),388.85)</f>
        <v/>
      </c>
      <c r="G157" s="14">
        <f>(B157-C157)/B157</f>
        <v/>
      </c>
      <c r="H157" s="13">
        <f>IFERROR(__xludf.DUMMYFUNCTION("GOOGLEFINANCE(""NSE:""&amp;A157,""VOLUME"")"),152378)</f>
        <v/>
      </c>
      <c r="I157" s="13">
        <f>IFERROR(__xludf.DUMMYFUNCTION("AVERAGE(index(GOOGLEFINANCE(""NSE:""&amp;$A157, ""volume"", today()-21, today()-1), , 2))"),"#N/A")</f>
        <v/>
      </c>
      <c r="J157" s="14">
        <f>(H157-I157)/I157</f>
        <v/>
      </c>
      <c r="K157" s="13">
        <f>IFERROR(__xludf.DUMMYFUNCTION("AVERAGE(index(GOOGLEFINANCE(""NSE:""&amp;$A157, ""close"", today()-6, today()-1), , 2))"),"#N/A")</f>
        <v/>
      </c>
      <c r="L157" s="13">
        <f>IFERROR(__xludf.DUMMYFUNCTION("AVERAGE(index(GOOGLEFINANCE(""NSE:""&amp;$A157, ""close"", today()-14, today()-1), , 2))"),"#N/A")</f>
        <v/>
      </c>
      <c r="M157" s="13">
        <f>IFERROR(__xludf.DUMMYFUNCTION("AVERAGE(index(GOOGLEFINANCE(""NSE:""&amp;$A157, ""close"", today()-22, today()-1), , 2))"),"#N/A")</f>
        <v/>
      </c>
      <c r="N157" s="13">
        <f>AG157</f>
        <v/>
      </c>
      <c r="O157" s="13">
        <f>AI157</f>
        <v/>
      </c>
      <c r="P157" s="13">
        <f>W157</f>
        <v/>
      </c>
      <c r="Q157" s="13">
        <f>Y157</f>
        <v/>
      </c>
      <c r="R157" s="15" t="n"/>
      <c r="S157" s="15">
        <f>LEFT(W157,2)&amp;LEFT(Y157,2)</f>
        <v/>
      </c>
      <c r="T157" s="15" t="n"/>
      <c r="U157" s="15">
        <f>IF(K157&lt;L157,1,0)</f>
        <v/>
      </c>
      <c r="V157" s="15">
        <f>IF(H157&gt;I157,1,0)</f>
        <v/>
      </c>
      <c r="W157" s="15">
        <f>IF(SUM(U157:V157)=2,"Anticipatory_Sell","No_Action")</f>
        <v/>
      </c>
      <c r="X157" s="15" t="n"/>
      <c r="Y157" s="15">
        <f>IF(SUM(Z157:AA157)=2,"Confirm_Sell","No_Action")</f>
        <v/>
      </c>
      <c r="Z157" s="15">
        <f>IF(H157&gt;I157,1,0)</f>
        <v/>
      </c>
      <c r="AA157" s="15">
        <f>IF(K157&lt;M157,1,0)</f>
        <v/>
      </c>
      <c r="AB157" s="15" t="n"/>
      <c r="AC157" s="15">
        <f>LEFT(AG157,2)&amp;LEFT(AI157,2)</f>
        <v/>
      </c>
      <c r="AD157" s="15" t="n"/>
      <c r="AE157" s="15">
        <f>IF(K157&gt;L157,1,0)</f>
        <v/>
      </c>
      <c r="AF157" s="16">
        <f>IF(H157&gt;I157,1,0)</f>
        <v/>
      </c>
      <c r="AG157" s="16">
        <f>IF(SUM(AE157:AF157)=2,"Anticipatory_Buy","No_Action")</f>
        <v/>
      </c>
      <c r="AH157" s="15" t="n"/>
      <c r="AI157" s="15">
        <f>IF(SUM(AJ157:AK157)=2,"Confirm_Buy","No_Action")</f>
        <v/>
      </c>
      <c r="AJ157" s="15">
        <f>IF(H157&gt;I157,1,0)</f>
        <v/>
      </c>
      <c r="AK157" s="15">
        <f>IF(K157&gt;M157,1,0)</f>
        <v/>
      </c>
    </row>
    <row r="158" ht="14.5" customHeight="1">
      <c r="A158" s="12" t="inlineStr">
        <is>
          <t>IONEXCHANG</t>
        </is>
      </c>
      <c r="B158" s="13">
        <f>IFERROR(__xludf.DUMMYFUNCTION("GOOGLEFINANCE(""NSE:""&amp;A158,""PRICE"")"),719.1)</f>
        <v/>
      </c>
      <c r="C158" s="13">
        <f>IFERROR(__xludf.DUMMYFUNCTION("GOOGLEFINANCE(""NSE:""&amp;A158,""PRICEOPEN"")"),716.9)</f>
        <v/>
      </c>
      <c r="D158" s="13">
        <f>IFERROR(__xludf.DUMMYFUNCTION("GOOGLEFINANCE(""NSE:""&amp;A158,""HIGH"")"),731.2)</f>
        <v/>
      </c>
      <c r="E158" s="13">
        <f>IFERROR(__xludf.DUMMYFUNCTION("GOOGLEFINANCE(""NSE:""&amp;A158,""LOW"")"),709.4)</f>
        <v/>
      </c>
      <c r="F158" s="13">
        <f>IFERROR(__xludf.DUMMYFUNCTION("GOOGLEFINANCE(""NSE:""&amp;A158,""closeyest"")"),715.4)</f>
        <v/>
      </c>
      <c r="G158" s="14">
        <f>(B158-C158)/B158</f>
        <v/>
      </c>
      <c r="H158" s="13">
        <f>IFERROR(__xludf.DUMMYFUNCTION("GOOGLEFINANCE(""NSE:""&amp;A158,""VOLUME"")"),387809)</f>
        <v/>
      </c>
      <c r="I158" s="13">
        <f>IFERROR(__xludf.DUMMYFUNCTION("AVERAGE(index(GOOGLEFINANCE(""NSE:""&amp;$A158, ""volume"", today()-21, today()-1), , 2))"),"#N/A")</f>
        <v/>
      </c>
      <c r="J158" s="14">
        <f>(H158-I158)/I158</f>
        <v/>
      </c>
      <c r="K158" s="13">
        <f>IFERROR(__xludf.DUMMYFUNCTION("AVERAGE(index(GOOGLEFINANCE(""NSE:""&amp;$A158, ""close"", today()-6, today()-1), , 2))"),"#N/A")</f>
        <v/>
      </c>
      <c r="L158" s="13">
        <f>IFERROR(__xludf.DUMMYFUNCTION("AVERAGE(index(GOOGLEFINANCE(""NSE:""&amp;$A158, ""close"", today()-14, today()-1), , 2))"),"#N/A")</f>
        <v/>
      </c>
      <c r="M158" s="13">
        <f>IFERROR(__xludf.DUMMYFUNCTION("AVERAGE(index(GOOGLEFINANCE(""NSE:""&amp;$A158, ""close"", today()-22, today()-1), , 2))"),"#N/A")</f>
        <v/>
      </c>
      <c r="N158" s="13">
        <f>AG158</f>
        <v/>
      </c>
      <c r="O158" s="13">
        <f>AI158</f>
        <v/>
      </c>
      <c r="P158" s="13">
        <f>W158</f>
        <v/>
      </c>
      <c r="Q158" s="13">
        <f>Y158</f>
        <v/>
      </c>
      <c r="R158" s="15" t="n"/>
      <c r="S158" s="15">
        <f>LEFT(W158,2)&amp;LEFT(Y158,2)</f>
        <v/>
      </c>
      <c r="T158" s="15" t="n"/>
      <c r="U158" s="15">
        <f>IF(K158&lt;L158,1,0)</f>
        <v/>
      </c>
      <c r="V158" s="15">
        <f>IF(H158&gt;I158,1,0)</f>
        <v/>
      </c>
      <c r="W158" s="15">
        <f>IF(SUM(U158:V158)=2,"Anticipatory_Sell","No_Action")</f>
        <v/>
      </c>
      <c r="X158" s="15" t="n"/>
      <c r="Y158" s="15">
        <f>IF(SUM(Z158:AA158)=2,"Confirm_Sell","No_Action")</f>
        <v/>
      </c>
      <c r="Z158" s="15">
        <f>IF(H158&gt;I158,1,0)</f>
        <v/>
      </c>
      <c r="AA158" s="15">
        <f>IF(K158&lt;M158,1,0)</f>
        <v/>
      </c>
      <c r="AB158" s="15" t="n"/>
      <c r="AC158" s="15">
        <f>LEFT(AG158,2)&amp;LEFT(AI158,2)</f>
        <v/>
      </c>
      <c r="AD158" s="15" t="n"/>
      <c r="AE158" s="15">
        <f>IF(K158&gt;L158,1,0)</f>
        <v/>
      </c>
      <c r="AF158" s="16">
        <f>IF(H158&gt;I158,1,0)</f>
        <v/>
      </c>
      <c r="AG158" s="16">
        <f>IF(SUM(AE158:AF158)=2,"Anticipatory_Buy","No_Action")</f>
        <v/>
      </c>
      <c r="AH158" s="15" t="n"/>
      <c r="AI158" s="15">
        <f>IF(SUM(AJ158:AK158)=2,"Confirm_Buy","No_Action")</f>
        <v/>
      </c>
      <c r="AJ158" s="15">
        <f>IF(H158&gt;I158,1,0)</f>
        <v/>
      </c>
      <c r="AK158" s="15">
        <f>IF(K158&gt;M158,1,0)</f>
        <v/>
      </c>
    </row>
    <row r="159" ht="14.5" customHeight="1">
      <c r="A159" s="12" t="inlineStr">
        <is>
          <t>ITC</t>
        </is>
      </c>
      <c r="B159" s="13">
        <f>IFERROR(__xludf.DUMMYFUNCTION("GOOGLEFINANCE(""NSE:""&amp;A159,""PRICE"")"),465.2)</f>
        <v/>
      </c>
      <c r="C159" s="13">
        <f>IFERROR(__xludf.DUMMYFUNCTION("GOOGLEFINANCE(""NSE:""&amp;A159,""PRICEOPEN"")"),471.5)</f>
        <v/>
      </c>
      <c r="D159" s="13">
        <f>IFERROR(__xludf.DUMMYFUNCTION("GOOGLEFINANCE(""NSE:""&amp;A159,""HIGH"")"),472)</f>
        <v/>
      </c>
      <c r="E159" s="13">
        <f>IFERROR(__xludf.DUMMYFUNCTION("GOOGLEFINANCE(""NSE:""&amp;A159,""LOW"")"),462.95)</f>
        <v/>
      </c>
      <c r="F159" s="13">
        <f>IFERROR(__xludf.DUMMYFUNCTION("GOOGLEFINANCE(""NSE:""&amp;A159,""closeyest"")"),471.15)</f>
        <v/>
      </c>
      <c r="G159" s="14">
        <f>(B159-C159)/B159</f>
        <v/>
      </c>
      <c r="H159" s="13">
        <f>IFERROR(__xludf.DUMMYFUNCTION("GOOGLEFINANCE(""NSE:""&amp;A159,""VOLUME"")"),11703384)</f>
        <v/>
      </c>
      <c r="I159" s="13">
        <f>IFERROR(__xludf.DUMMYFUNCTION("AVERAGE(index(GOOGLEFINANCE(""NSE:""&amp;$A159, ""volume"", today()-21, today()-1), , 2))"),"#N/A")</f>
        <v/>
      </c>
      <c r="J159" s="14">
        <f>(H159-I159)/I159</f>
        <v/>
      </c>
      <c r="K159" s="13">
        <f>IFERROR(__xludf.DUMMYFUNCTION("AVERAGE(index(GOOGLEFINANCE(""NSE:""&amp;$A159, ""close"", today()-6, today()-1), , 2))"),"#N/A")</f>
        <v/>
      </c>
      <c r="L159" s="13">
        <f>IFERROR(__xludf.DUMMYFUNCTION("AVERAGE(index(GOOGLEFINANCE(""NSE:""&amp;$A159, ""close"", today()-14, today()-1), , 2))"),"#N/A")</f>
        <v/>
      </c>
      <c r="M159" s="13">
        <f>IFERROR(__xludf.DUMMYFUNCTION("AVERAGE(index(GOOGLEFINANCE(""NSE:""&amp;$A159, ""close"", today()-22, today()-1), , 2))"),"#N/A")</f>
        <v/>
      </c>
      <c r="N159" s="13">
        <f>AG159</f>
        <v/>
      </c>
      <c r="O159" s="13">
        <f>AI159</f>
        <v/>
      </c>
      <c r="P159" s="13">
        <f>W159</f>
        <v/>
      </c>
      <c r="Q159" s="13">
        <f>Y159</f>
        <v/>
      </c>
      <c r="R159" s="15" t="n"/>
      <c r="S159" s="15">
        <f>LEFT(W159,2)&amp;LEFT(Y159,2)</f>
        <v/>
      </c>
      <c r="T159" s="15" t="n"/>
      <c r="U159" s="15">
        <f>IF(K159&lt;L159,1,0)</f>
        <v/>
      </c>
      <c r="V159" s="15">
        <f>IF(H159&gt;I159,1,0)</f>
        <v/>
      </c>
      <c r="W159" s="15">
        <f>IF(SUM(U159:V159)=2,"Anticipatory_Sell","No_Action")</f>
        <v/>
      </c>
      <c r="X159" s="15" t="n"/>
      <c r="Y159" s="15">
        <f>IF(SUM(Z159:AA159)=2,"Confirm_Sell","No_Action")</f>
        <v/>
      </c>
      <c r="Z159" s="15">
        <f>IF(H159&gt;I159,1,0)</f>
        <v/>
      </c>
      <c r="AA159" s="15">
        <f>IF(K159&lt;M159,1,0)</f>
        <v/>
      </c>
      <c r="AB159" s="15" t="n"/>
      <c r="AC159" s="15">
        <f>LEFT(AG159,2)&amp;LEFT(AI159,2)</f>
        <v/>
      </c>
      <c r="AD159" s="15" t="n"/>
      <c r="AE159" s="15">
        <f>IF(K159&gt;L159,1,0)</f>
        <v/>
      </c>
      <c r="AF159" s="16">
        <f>IF(H159&gt;I159,1,0)</f>
        <v/>
      </c>
      <c r="AG159" s="16">
        <f>IF(SUM(AE159:AF159)=2,"Anticipatory_Buy","No_Action")</f>
        <v/>
      </c>
      <c r="AH159" s="15" t="n"/>
      <c r="AI159" s="15">
        <f>IF(SUM(AJ159:AK159)=2,"Confirm_Buy","No_Action")</f>
        <v/>
      </c>
      <c r="AJ159" s="15">
        <f>IF(H159&gt;I159,1,0)</f>
        <v/>
      </c>
      <c r="AK159" s="15">
        <f>IF(K159&gt;M159,1,0)</f>
        <v/>
      </c>
    </row>
    <row r="160" ht="14.5" customHeight="1">
      <c r="A160" s="12" t="inlineStr">
        <is>
          <t>JBCHEPHARM</t>
        </is>
      </c>
      <c r="B160" s="13">
        <f>IFERROR(__xludf.DUMMYFUNCTION("GOOGLEFINANCE(""NSE:""&amp;A160,""PRICE"")"),1780)</f>
        <v/>
      </c>
      <c r="C160" s="13">
        <f>IFERROR(__xludf.DUMMYFUNCTION("GOOGLEFINANCE(""NSE:""&amp;A160,""PRICEOPEN"")"),1764)</f>
        <v/>
      </c>
      <c r="D160" s="13">
        <f>IFERROR(__xludf.DUMMYFUNCTION("GOOGLEFINANCE(""NSE:""&amp;A160,""HIGH"")"),1796.85)</f>
        <v/>
      </c>
      <c r="E160" s="13">
        <f>IFERROR(__xludf.DUMMYFUNCTION("GOOGLEFINANCE(""NSE:""&amp;A160,""LOW"")"),1736.55)</f>
        <v/>
      </c>
      <c r="F160" s="13">
        <f>IFERROR(__xludf.DUMMYFUNCTION("GOOGLEFINANCE(""NSE:""&amp;A160,""closeyest"")"),1763.95)</f>
        <v/>
      </c>
      <c r="G160" s="14">
        <f>(B160-C160)/B160</f>
        <v/>
      </c>
      <c r="H160" s="13">
        <f>IFERROR(__xludf.DUMMYFUNCTION("GOOGLEFINANCE(""NSE:""&amp;A160,""VOLUME"")"),140822)</f>
        <v/>
      </c>
      <c r="I160" s="13">
        <f>IFERROR(__xludf.DUMMYFUNCTION("AVERAGE(index(GOOGLEFINANCE(""NSE:""&amp;$A160, ""volume"", today()-21, today()-1), , 2))"),"#N/A")</f>
        <v/>
      </c>
      <c r="J160" s="14">
        <f>(H160-I160)/I160</f>
        <v/>
      </c>
      <c r="K160" s="13">
        <f>IFERROR(__xludf.DUMMYFUNCTION("AVERAGE(index(GOOGLEFINANCE(""NSE:""&amp;$A160, ""close"", today()-6, today()-1), , 2))"),"#N/A")</f>
        <v/>
      </c>
      <c r="L160" s="13">
        <f>IFERROR(__xludf.DUMMYFUNCTION("AVERAGE(index(GOOGLEFINANCE(""NSE:""&amp;$A160, ""close"", today()-14, today()-1), , 2))"),"#N/A")</f>
        <v/>
      </c>
      <c r="M160" s="13">
        <f>IFERROR(__xludf.DUMMYFUNCTION("AVERAGE(index(GOOGLEFINANCE(""NSE:""&amp;$A160, ""close"", today()-22, today()-1), , 2))"),"#N/A")</f>
        <v/>
      </c>
      <c r="N160" s="13">
        <f>AG160</f>
        <v/>
      </c>
      <c r="O160" s="13">
        <f>AI160</f>
        <v/>
      </c>
      <c r="P160" s="13">
        <f>W160</f>
        <v/>
      </c>
      <c r="Q160" s="13">
        <f>Y160</f>
        <v/>
      </c>
      <c r="R160" s="15" t="n"/>
      <c r="S160" s="15">
        <f>LEFT(W160,2)&amp;LEFT(Y160,2)</f>
        <v/>
      </c>
      <c r="T160" s="15" t="n"/>
      <c r="U160" s="15">
        <f>IF(K160&lt;L160,1,0)</f>
        <v/>
      </c>
      <c r="V160" s="15">
        <f>IF(H160&gt;I160,1,0)</f>
        <v/>
      </c>
      <c r="W160" s="15">
        <f>IF(SUM(U160:V160)=2,"Anticipatory_Sell","No_Action")</f>
        <v/>
      </c>
      <c r="X160" s="15" t="n"/>
      <c r="Y160" s="15">
        <f>IF(SUM(Z160:AA160)=2,"Confirm_Sell","No_Action")</f>
        <v/>
      </c>
      <c r="Z160" s="15">
        <f>IF(H160&gt;I160,1,0)</f>
        <v/>
      </c>
      <c r="AA160" s="15">
        <f>IF(K160&lt;M160,1,0)</f>
        <v/>
      </c>
      <c r="AB160" s="15" t="n"/>
      <c r="AC160" s="15">
        <f>LEFT(AG160,2)&amp;LEFT(AI160,2)</f>
        <v/>
      </c>
      <c r="AD160" s="15" t="n"/>
      <c r="AE160" s="15">
        <f>IF(K160&gt;L160,1,0)</f>
        <v/>
      </c>
      <c r="AF160" s="16">
        <f>IF(H160&gt;I160,1,0)</f>
        <v/>
      </c>
      <c r="AG160" s="16">
        <f>IF(SUM(AE160:AF160)=2,"Anticipatory_Buy","No_Action")</f>
        <v/>
      </c>
      <c r="AH160" s="15" t="n"/>
      <c r="AI160" s="15">
        <f>IF(SUM(AJ160:AK160)=2,"Confirm_Buy","No_Action")</f>
        <v/>
      </c>
      <c r="AJ160" s="15">
        <f>IF(H160&gt;I160,1,0)</f>
        <v/>
      </c>
      <c r="AK160" s="15">
        <f>IF(K160&gt;M160,1,0)</f>
        <v/>
      </c>
    </row>
    <row r="161" ht="14.5" customHeight="1">
      <c r="A161" s="12" t="inlineStr">
        <is>
          <t>JKCEMENT</t>
        </is>
      </c>
      <c r="B161" s="13">
        <f>IFERROR(__xludf.DUMMYFUNCTION("GOOGLEFINANCE(""NSE:""&amp;A161,""PRICE"")"),4570)</f>
        <v/>
      </c>
      <c r="C161" s="13">
        <f>IFERROR(__xludf.DUMMYFUNCTION("GOOGLEFINANCE(""NSE:""&amp;A161,""PRICEOPEN"")"),4582)</f>
        <v/>
      </c>
      <c r="D161" s="13">
        <f>IFERROR(__xludf.DUMMYFUNCTION("GOOGLEFINANCE(""NSE:""&amp;A161,""HIGH"")"),4624.95)</f>
        <v/>
      </c>
      <c r="E161" s="13">
        <f>IFERROR(__xludf.DUMMYFUNCTION("GOOGLEFINANCE(""NSE:""&amp;A161,""LOW"")"),4542.75)</f>
        <v/>
      </c>
      <c r="F161" s="13">
        <f>IFERROR(__xludf.DUMMYFUNCTION("GOOGLEFINANCE(""NSE:""&amp;A161,""closeyest"")"),4596.65)</f>
        <v/>
      </c>
      <c r="G161" s="14">
        <f>(B161-C161)/B161</f>
        <v/>
      </c>
      <c r="H161" s="13">
        <f>IFERROR(__xludf.DUMMYFUNCTION("GOOGLEFINANCE(""NSE:""&amp;A161,""VOLUME"")"),24914)</f>
        <v/>
      </c>
      <c r="I161" s="13">
        <f>IFERROR(__xludf.DUMMYFUNCTION("AVERAGE(index(GOOGLEFINANCE(""NSE:""&amp;$A161, ""volume"", today()-21, today()-1), , 2))"),"#N/A")</f>
        <v/>
      </c>
      <c r="J161" s="14">
        <f>(H161-I161)/I161</f>
        <v/>
      </c>
      <c r="K161" s="13">
        <f>IFERROR(__xludf.DUMMYFUNCTION("AVERAGE(index(GOOGLEFINANCE(""NSE:""&amp;$A161, ""close"", today()-6, today()-1), , 2))"),"#N/A")</f>
        <v/>
      </c>
      <c r="L161" s="13">
        <f>IFERROR(__xludf.DUMMYFUNCTION("AVERAGE(index(GOOGLEFINANCE(""NSE:""&amp;$A161, ""close"", today()-14, today()-1), , 2))"),"#N/A")</f>
        <v/>
      </c>
      <c r="M161" s="13">
        <f>IFERROR(__xludf.DUMMYFUNCTION("AVERAGE(index(GOOGLEFINANCE(""NSE:""&amp;$A161, ""close"", today()-22, today()-1), , 2))"),"#N/A")</f>
        <v/>
      </c>
      <c r="N161" s="13">
        <f>AG161</f>
        <v/>
      </c>
      <c r="O161" s="13">
        <f>AI161</f>
        <v/>
      </c>
      <c r="P161" s="13">
        <f>W161</f>
        <v/>
      </c>
      <c r="Q161" s="13">
        <f>Y161</f>
        <v/>
      </c>
      <c r="R161" s="15" t="n"/>
      <c r="S161" s="15">
        <f>LEFT(W161,2)&amp;LEFT(Y161,2)</f>
        <v/>
      </c>
      <c r="T161" s="15" t="n"/>
      <c r="U161" s="15">
        <f>IF(K161&lt;L161,1,0)</f>
        <v/>
      </c>
      <c r="V161" s="15">
        <f>IF(H161&gt;I161,1,0)</f>
        <v/>
      </c>
      <c r="W161" s="15">
        <f>IF(SUM(U161:V161)=2,"Anticipatory_Sell","No_Action")</f>
        <v/>
      </c>
      <c r="X161" s="15" t="n"/>
      <c r="Y161" s="15">
        <f>IF(SUM(Z161:AA161)=2,"Confirm_Sell","No_Action")</f>
        <v/>
      </c>
      <c r="Z161" s="15">
        <f>IF(H161&gt;I161,1,0)</f>
        <v/>
      </c>
      <c r="AA161" s="15">
        <f>IF(K161&lt;M161,1,0)</f>
        <v/>
      </c>
      <c r="AB161" s="15" t="n"/>
      <c r="AC161" s="15">
        <f>LEFT(AG161,2)&amp;LEFT(AI161,2)</f>
        <v/>
      </c>
      <c r="AD161" s="15" t="n"/>
      <c r="AE161" s="15">
        <f>IF(K161&gt;L161,1,0)</f>
        <v/>
      </c>
      <c r="AF161" s="16">
        <f>IF(H161&gt;I161,1,0)</f>
        <v/>
      </c>
      <c r="AG161" s="16">
        <f>IF(SUM(AE161:AF161)=2,"Anticipatory_Buy","No_Action")</f>
        <v/>
      </c>
      <c r="AH161" s="15" t="n"/>
      <c r="AI161" s="15">
        <f>IF(SUM(AJ161:AK161)=2,"Confirm_Buy","No_Action")</f>
        <v/>
      </c>
      <c r="AJ161" s="15">
        <f>IF(H161&gt;I161,1,0)</f>
        <v/>
      </c>
      <c r="AK161" s="15">
        <f>IF(K161&gt;M161,1,0)</f>
        <v/>
      </c>
    </row>
    <row r="162" ht="14.5" customHeight="1">
      <c r="A162" s="12" t="inlineStr">
        <is>
          <t>JKIL</t>
        </is>
      </c>
      <c r="B162" s="13">
        <f>IFERROR(__xludf.DUMMYFUNCTION("GOOGLEFINANCE(""NSE:""&amp;A162,""PRICE"")"),794.55)</f>
        <v/>
      </c>
      <c r="C162" s="13">
        <f>IFERROR(__xludf.DUMMYFUNCTION("GOOGLEFINANCE(""NSE:""&amp;A162,""PRICEOPEN"")"),798)</f>
        <v/>
      </c>
      <c r="D162" s="13">
        <f>IFERROR(__xludf.DUMMYFUNCTION("GOOGLEFINANCE(""NSE:""&amp;A162,""HIGH"")"),806)</f>
        <v/>
      </c>
      <c r="E162" s="13">
        <f>IFERROR(__xludf.DUMMYFUNCTION("GOOGLEFINANCE(""NSE:""&amp;A162,""LOW"")"),788.65)</f>
        <v/>
      </c>
      <c r="F162" s="13">
        <f>IFERROR(__xludf.DUMMYFUNCTION("GOOGLEFINANCE(""NSE:""&amp;A162,""closeyest"")"),785.35)</f>
        <v/>
      </c>
      <c r="G162" s="14">
        <f>(B162-C162)/B162</f>
        <v/>
      </c>
      <c r="H162" s="13">
        <f>IFERROR(__xludf.DUMMYFUNCTION("GOOGLEFINANCE(""NSE:""&amp;A162,""VOLUME"")"),176554)</f>
        <v/>
      </c>
      <c r="I162" s="13">
        <f>IFERROR(__xludf.DUMMYFUNCTION("AVERAGE(index(GOOGLEFINANCE(""NSE:""&amp;$A162, ""volume"", today()-21, today()-1), , 2))"),"#N/A")</f>
        <v/>
      </c>
      <c r="J162" s="14">
        <f>(H162-I162)/I162</f>
        <v/>
      </c>
      <c r="K162" s="13">
        <f>IFERROR(__xludf.DUMMYFUNCTION("AVERAGE(index(GOOGLEFINANCE(""NSE:""&amp;$A162, ""close"", today()-6, today()-1), , 2))"),"#N/A")</f>
        <v/>
      </c>
      <c r="L162" s="13">
        <f>IFERROR(__xludf.DUMMYFUNCTION("AVERAGE(index(GOOGLEFINANCE(""NSE:""&amp;$A162, ""close"", today()-14, today()-1), , 2))"),"#N/A")</f>
        <v/>
      </c>
      <c r="M162" s="13">
        <f>IFERROR(__xludf.DUMMYFUNCTION("AVERAGE(index(GOOGLEFINANCE(""NSE:""&amp;$A162, ""close"", today()-22, today()-1), , 2))"),"#N/A")</f>
        <v/>
      </c>
      <c r="N162" s="13">
        <f>AG162</f>
        <v/>
      </c>
      <c r="O162" s="13">
        <f>AI162</f>
        <v/>
      </c>
      <c r="P162" s="13">
        <f>W162</f>
        <v/>
      </c>
      <c r="Q162" s="13">
        <f>Y162</f>
        <v/>
      </c>
      <c r="R162" s="15" t="n"/>
      <c r="S162" s="15">
        <f>LEFT(W162,2)&amp;LEFT(Y162,2)</f>
        <v/>
      </c>
      <c r="T162" s="15" t="n"/>
      <c r="U162" s="15">
        <f>IF(K162&lt;L162,1,0)</f>
        <v/>
      </c>
      <c r="V162" s="15">
        <f>IF(H162&gt;I162,1,0)</f>
        <v/>
      </c>
      <c r="W162" s="15">
        <f>IF(SUM(U162:V162)=2,"Anticipatory_Sell","No_Action")</f>
        <v/>
      </c>
      <c r="X162" s="15" t="n"/>
      <c r="Y162" s="15">
        <f>IF(SUM(Z162:AA162)=2,"Confirm_Sell","No_Action")</f>
        <v/>
      </c>
      <c r="Z162" s="15">
        <f>IF(H162&gt;I162,1,0)</f>
        <v/>
      </c>
      <c r="AA162" s="15">
        <f>IF(K162&lt;M162,1,0)</f>
        <v/>
      </c>
      <c r="AB162" s="15" t="n"/>
      <c r="AC162" s="15">
        <f>LEFT(AG162,2)&amp;LEFT(AI162,2)</f>
        <v/>
      </c>
      <c r="AD162" s="15" t="n"/>
      <c r="AE162" s="15">
        <f>IF(K162&gt;L162,1,0)</f>
        <v/>
      </c>
      <c r="AF162" s="16">
        <f>IF(H162&gt;I162,1,0)</f>
        <v/>
      </c>
      <c r="AG162" s="16">
        <f>IF(SUM(AE162:AF162)=2,"Anticipatory_Buy","No_Action")</f>
        <v/>
      </c>
      <c r="AH162" s="15" t="n"/>
      <c r="AI162" s="15">
        <f>IF(SUM(AJ162:AK162)=2,"Confirm_Buy","No_Action")</f>
        <v/>
      </c>
      <c r="AJ162" s="15">
        <f>IF(H162&gt;I162,1,0)</f>
        <v/>
      </c>
      <c r="AK162" s="15">
        <f>IF(K162&gt;M162,1,0)</f>
        <v/>
      </c>
    </row>
    <row r="163" ht="14.5" customHeight="1">
      <c r="A163" s="12" t="inlineStr">
        <is>
          <t>JINDALSAW</t>
        </is>
      </c>
      <c r="B163" s="13">
        <f>IFERROR(__xludf.DUMMYFUNCTION("GOOGLEFINANCE(""NSE:""&amp;A163,""PRICE"")"),337)</f>
        <v/>
      </c>
      <c r="C163" s="13">
        <f>IFERROR(__xludf.DUMMYFUNCTION("GOOGLEFINANCE(""NSE:""&amp;A163,""PRICEOPEN"")"),334.75)</f>
        <v/>
      </c>
      <c r="D163" s="13">
        <f>IFERROR(__xludf.DUMMYFUNCTION("GOOGLEFINANCE(""NSE:""&amp;A163,""HIGH"")"),341.65)</f>
        <v/>
      </c>
      <c r="E163" s="13">
        <f>IFERROR(__xludf.DUMMYFUNCTION("GOOGLEFINANCE(""NSE:""&amp;A163,""LOW"")"),333.15)</f>
        <v/>
      </c>
      <c r="F163" s="13">
        <f>IFERROR(__xludf.DUMMYFUNCTION("GOOGLEFINANCE(""NSE:""&amp;A163,""closeyest"")"),336)</f>
        <v/>
      </c>
      <c r="G163" s="14">
        <f>(B163-C163)/B163</f>
        <v/>
      </c>
      <c r="H163" s="13">
        <f>IFERROR(__xludf.DUMMYFUNCTION("GOOGLEFINANCE(""NSE:""&amp;A163,""VOLUME"")"),842895)</f>
        <v/>
      </c>
      <c r="I163" s="13">
        <f>IFERROR(__xludf.DUMMYFUNCTION("AVERAGE(index(GOOGLEFINANCE(""NSE:""&amp;$A163, ""volume"", today()-21, today()-1), , 2))"),"#N/A")</f>
        <v/>
      </c>
      <c r="J163" s="14">
        <f>(H163-I163)/I163</f>
        <v/>
      </c>
      <c r="K163" s="13">
        <f>IFERROR(__xludf.DUMMYFUNCTION("AVERAGE(index(GOOGLEFINANCE(""NSE:""&amp;$A163, ""close"", today()-6, today()-1), , 2))"),"#N/A")</f>
        <v/>
      </c>
      <c r="L163" s="13">
        <f>IFERROR(__xludf.DUMMYFUNCTION("AVERAGE(index(GOOGLEFINANCE(""NSE:""&amp;$A163, ""close"", today()-14, today()-1), , 2))"),"#N/A")</f>
        <v/>
      </c>
      <c r="M163" s="13">
        <f>IFERROR(__xludf.DUMMYFUNCTION("AVERAGE(index(GOOGLEFINANCE(""NSE:""&amp;$A163, ""close"", today()-22, today()-1), , 2))"),"#N/A")</f>
        <v/>
      </c>
      <c r="N163" s="13">
        <f>AG163</f>
        <v/>
      </c>
      <c r="O163" s="13">
        <f>AI163</f>
        <v/>
      </c>
      <c r="P163" s="13">
        <f>W163</f>
        <v/>
      </c>
      <c r="Q163" s="13">
        <f>Y163</f>
        <v/>
      </c>
      <c r="R163" s="15" t="n"/>
      <c r="S163" s="15">
        <f>LEFT(W163,2)&amp;LEFT(Y163,2)</f>
        <v/>
      </c>
      <c r="T163" s="15" t="n"/>
      <c r="U163" s="15">
        <f>IF(K163&lt;L163,1,0)</f>
        <v/>
      </c>
      <c r="V163" s="15">
        <f>IF(H163&gt;I163,1,0)</f>
        <v/>
      </c>
      <c r="W163" s="15">
        <f>IF(SUM(U163:V163)=2,"Anticipatory_Sell","No_Action")</f>
        <v/>
      </c>
      <c r="X163" s="15" t="n"/>
      <c r="Y163" s="15">
        <f>IF(SUM(Z163:AA163)=2,"Confirm_Sell","No_Action")</f>
        <v/>
      </c>
      <c r="Z163" s="15">
        <f>IF(H163&gt;I163,1,0)</f>
        <v/>
      </c>
      <c r="AA163" s="15">
        <f>IF(K163&lt;M163,1,0)</f>
        <v/>
      </c>
      <c r="AB163" s="15" t="n"/>
      <c r="AC163" s="15">
        <f>LEFT(AG163,2)&amp;LEFT(AI163,2)</f>
        <v/>
      </c>
      <c r="AD163" s="15" t="n"/>
      <c r="AE163" s="15">
        <f>IF(K163&gt;L163,1,0)</f>
        <v/>
      </c>
      <c r="AF163" s="16">
        <f>IF(H163&gt;I163,1,0)</f>
        <v/>
      </c>
      <c r="AG163" s="16">
        <f>IF(SUM(AE163:AF163)=2,"Anticipatory_Buy","No_Action")</f>
        <v/>
      </c>
      <c r="AH163" s="15" t="n"/>
      <c r="AI163" s="15">
        <f>IF(SUM(AJ163:AK163)=2,"Confirm_Buy","No_Action")</f>
        <v/>
      </c>
      <c r="AJ163" s="15">
        <f>IF(H163&gt;I163,1,0)</f>
        <v/>
      </c>
      <c r="AK163" s="15">
        <f>IF(K163&gt;M163,1,0)</f>
        <v/>
      </c>
    </row>
    <row r="164" ht="14.5" customHeight="1">
      <c r="A164" s="12" t="inlineStr">
        <is>
          <t>JSL</t>
        </is>
      </c>
      <c r="B164" s="13">
        <f>IFERROR(__xludf.DUMMYFUNCTION("GOOGLEFINANCE(""NSE:""&amp;A164,""PRICE"")"),747)</f>
        <v/>
      </c>
      <c r="C164" s="13">
        <f>IFERROR(__xludf.DUMMYFUNCTION("GOOGLEFINANCE(""NSE:""&amp;A164,""PRICEOPEN"")"),743.95)</f>
        <v/>
      </c>
      <c r="D164" s="13">
        <f>IFERROR(__xludf.DUMMYFUNCTION("GOOGLEFINANCE(""NSE:""&amp;A164,""HIGH"")"),750.55)</f>
        <v/>
      </c>
      <c r="E164" s="13">
        <f>IFERROR(__xludf.DUMMYFUNCTION("GOOGLEFINANCE(""NSE:""&amp;A164,""LOW"")"),736.65)</f>
        <v/>
      </c>
      <c r="F164" s="13">
        <f>IFERROR(__xludf.DUMMYFUNCTION("GOOGLEFINANCE(""NSE:""&amp;A164,""closeyest"")"),741.6)</f>
        <v/>
      </c>
      <c r="G164" s="14">
        <f>(B164-C164)/B164</f>
        <v/>
      </c>
      <c r="H164" s="13">
        <f>IFERROR(__xludf.DUMMYFUNCTION("GOOGLEFINANCE(""NSE:""&amp;A164,""VOLUME"")"),692792)</f>
        <v/>
      </c>
      <c r="I164" s="13">
        <f>IFERROR(__xludf.DUMMYFUNCTION("AVERAGE(index(GOOGLEFINANCE(""NSE:""&amp;$A164, ""volume"", today()-21, today()-1), , 2))"),"#N/A")</f>
        <v/>
      </c>
      <c r="J164" s="14">
        <f>(H164-I164)/I164</f>
        <v/>
      </c>
      <c r="K164" s="13">
        <f>IFERROR(__xludf.DUMMYFUNCTION("AVERAGE(index(GOOGLEFINANCE(""NSE:""&amp;$A164, ""close"", today()-6, today()-1), , 2))"),"#N/A")</f>
        <v/>
      </c>
      <c r="L164" s="13">
        <f>IFERROR(__xludf.DUMMYFUNCTION("AVERAGE(index(GOOGLEFINANCE(""NSE:""&amp;$A164, ""close"", today()-14, today()-1), , 2))"),"#N/A")</f>
        <v/>
      </c>
      <c r="M164" s="13">
        <f>IFERROR(__xludf.DUMMYFUNCTION("AVERAGE(index(GOOGLEFINANCE(""NSE:""&amp;$A164, ""close"", today()-22, today()-1), , 2))"),"#N/A")</f>
        <v/>
      </c>
      <c r="N164" s="13">
        <f>AG164</f>
        <v/>
      </c>
      <c r="O164" s="13">
        <f>AI164</f>
        <v/>
      </c>
      <c r="P164" s="13">
        <f>W164</f>
        <v/>
      </c>
      <c r="Q164" s="13">
        <f>Y164</f>
        <v/>
      </c>
      <c r="R164" s="15" t="n"/>
      <c r="S164" s="15">
        <f>LEFT(W164,2)&amp;LEFT(Y164,2)</f>
        <v/>
      </c>
      <c r="T164" s="15" t="n"/>
      <c r="U164" s="15">
        <f>IF(K164&lt;L164,1,0)</f>
        <v/>
      </c>
      <c r="V164" s="15">
        <f>IF(H164&gt;I164,1,0)</f>
        <v/>
      </c>
      <c r="W164" s="15">
        <f>IF(SUM(U164:V164)=2,"Anticipatory_Sell","No_Action")</f>
        <v/>
      </c>
      <c r="X164" s="15" t="n"/>
      <c r="Y164" s="15">
        <f>IF(SUM(Z164:AA164)=2,"Confirm_Sell","No_Action")</f>
        <v/>
      </c>
      <c r="Z164" s="15">
        <f>IF(H164&gt;I164,1,0)</f>
        <v/>
      </c>
      <c r="AA164" s="15">
        <f>IF(K164&lt;M164,1,0)</f>
        <v/>
      </c>
      <c r="AB164" s="15" t="n"/>
      <c r="AC164" s="15">
        <f>LEFT(AG164,2)&amp;LEFT(AI164,2)</f>
        <v/>
      </c>
      <c r="AD164" s="15" t="n"/>
      <c r="AE164" s="15">
        <f>IF(K164&gt;L164,1,0)</f>
        <v/>
      </c>
      <c r="AF164" s="16">
        <f>IF(H164&gt;I164,1,0)</f>
        <v/>
      </c>
      <c r="AG164" s="16">
        <f>IF(SUM(AE164:AF164)=2,"Anticipatory_Buy","No_Action")</f>
        <v/>
      </c>
      <c r="AH164" s="15" t="n"/>
      <c r="AI164" s="15">
        <f>IF(SUM(AJ164:AK164)=2,"Confirm_Buy","No_Action")</f>
        <v/>
      </c>
      <c r="AJ164" s="15">
        <f>IF(H164&gt;I164,1,0)</f>
        <v/>
      </c>
      <c r="AK164" s="15">
        <f>IF(K164&gt;M164,1,0)</f>
        <v/>
      </c>
    </row>
    <row r="165" ht="14.5" customHeight="1">
      <c r="A165" s="12" t="inlineStr">
        <is>
          <t>JINDALSTEL</t>
        </is>
      </c>
      <c r="B165" s="13">
        <f>IFERROR(__xludf.DUMMYFUNCTION("GOOGLEFINANCE(""NSE:""&amp;A165,""PRICE"")"),968)</f>
        <v/>
      </c>
      <c r="C165" s="13">
        <f>IFERROR(__xludf.DUMMYFUNCTION("GOOGLEFINANCE(""NSE:""&amp;A165,""PRICEOPEN"")"),950.05)</f>
        <v/>
      </c>
      <c r="D165" s="13">
        <f>IFERROR(__xludf.DUMMYFUNCTION("GOOGLEFINANCE(""NSE:""&amp;A165,""HIGH"")"),969.6)</f>
        <v/>
      </c>
      <c r="E165" s="13">
        <f>IFERROR(__xludf.DUMMYFUNCTION("GOOGLEFINANCE(""NSE:""&amp;A165,""LOW"")"),945.2)</f>
        <v/>
      </c>
      <c r="F165" s="13">
        <f>IFERROR(__xludf.DUMMYFUNCTION("GOOGLEFINANCE(""NSE:""&amp;A165,""closeyest"")"),949.1)</f>
        <v/>
      </c>
      <c r="G165" s="14">
        <f>(B165-C165)/B165</f>
        <v/>
      </c>
      <c r="H165" s="13">
        <f>IFERROR(__xludf.DUMMYFUNCTION("GOOGLEFINANCE(""NSE:""&amp;A165,""VOLUME"")"),1433142)</f>
        <v/>
      </c>
      <c r="I165" s="13">
        <f>IFERROR(__xludf.DUMMYFUNCTION("AVERAGE(index(GOOGLEFINANCE(""NSE:""&amp;$A165, ""volume"", today()-21, today()-1), , 2))"),"#N/A")</f>
        <v/>
      </c>
      <c r="J165" s="14">
        <f>(H165-I165)/I165</f>
        <v/>
      </c>
      <c r="K165" s="13">
        <f>IFERROR(__xludf.DUMMYFUNCTION("AVERAGE(index(GOOGLEFINANCE(""NSE:""&amp;$A165, ""close"", today()-6, today()-1), , 2))"),"#N/A")</f>
        <v/>
      </c>
      <c r="L165" s="13">
        <f>IFERROR(__xludf.DUMMYFUNCTION("AVERAGE(index(GOOGLEFINANCE(""NSE:""&amp;$A165, ""close"", today()-14, today()-1), , 2))"),"#N/A")</f>
        <v/>
      </c>
      <c r="M165" s="13">
        <f>IFERROR(__xludf.DUMMYFUNCTION("AVERAGE(index(GOOGLEFINANCE(""NSE:""&amp;$A165, ""close"", today()-22, today()-1), , 2))"),"#N/A")</f>
        <v/>
      </c>
      <c r="N165" s="13">
        <f>AG165</f>
        <v/>
      </c>
      <c r="O165" s="13">
        <f>AI165</f>
        <v/>
      </c>
      <c r="P165" s="13">
        <f>W165</f>
        <v/>
      </c>
      <c r="Q165" s="13">
        <f>Y165</f>
        <v/>
      </c>
      <c r="R165" s="15" t="n"/>
      <c r="S165" s="15">
        <f>LEFT(W165,2)&amp;LEFT(Y165,2)</f>
        <v/>
      </c>
      <c r="T165" s="15" t="n"/>
      <c r="U165" s="15">
        <f>IF(K165&lt;L165,1,0)</f>
        <v/>
      </c>
      <c r="V165" s="15">
        <f>IF(H165&gt;I165,1,0)</f>
        <v/>
      </c>
      <c r="W165" s="15">
        <f>IF(SUM(U165:V165)=2,"Anticipatory_Sell","No_Action")</f>
        <v/>
      </c>
      <c r="X165" s="15" t="n"/>
      <c r="Y165" s="15">
        <f>IF(SUM(Z165:AA165)=2,"Confirm_Sell","No_Action")</f>
        <v/>
      </c>
      <c r="Z165" s="15">
        <f>IF(H165&gt;I165,1,0)</f>
        <v/>
      </c>
      <c r="AA165" s="15">
        <f>IF(K165&lt;M165,1,0)</f>
        <v/>
      </c>
      <c r="AB165" s="15" t="n"/>
      <c r="AC165" s="15">
        <f>LEFT(AG165,2)&amp;LEFT(AI165,2)</f>
        <v/>
      </c>
      <c r="AD165" s="15" t="n"/>
      <c r="AE165" s="15">
        <f>IF(K165&gt;L165,1,0)</f>
        <v/>
      </c>
      <c r="AF165" s="16">
        <f>IF(H165&gt;I165,1,0)</f>
        <v/>
      </c>
      <c r="AG165" s="16">
        <f>IF(SUM(AE165:AF165)=2,"Anticipatory_Buy","No_Action")</f>
        <v/>
      </c>
      <c r="AH165" s="15" t="n"/>
      <c r="AI165" s="15">
        <f>IF(SUM(AJ165:AK165)=2,"Confirm_Buy","No_Action")</f>
        <v/>
      </c>
      <c r="AJ165" s="15">
        <f>IF(H165&gt;I165,1,0)</f>
        <v/>
      </c>
      <c r="AK165" s="15">
        <f>IF(K165&gt;M165,1,0)</f>
        <v/>
      </c>
    </row>
    <row r="166" ht="14.5" customHeight="1">
      <c r="A166" s="12" t="inlineStr">
        <is>
          <t>JKLAKSHMI</t>
        </is>
      </c>
      <c r="B166" s="13">
        <f>IFERROR(__xludf.DUMMYFUNCTION("GOOGLEFINANCE(""NSE:""&amp;A166,""PRICE"")"),816.85)</f>
        <v/>
      </c>
      <c r="C166" s="13">
        <f>IFERROR(__xludf.DUMMYFUNCTION("GOOGLEFINANCE(""NSE:""&amp;A166,""PRICEOPEN"")"),807)</f>
        <v/>
      </c>
      <c r="D166" s="13">
        <f>IFERROR(__xludf.DUMMYFUNCTION("GOOGLEFINANCE(""NSE:""&amp;A166,""HIGH"")"),833.95)</f>
        <v/>
      </c>
      <c r="E166" s="13">
        <f>IFERROR(__xludf.DUMMYFUNCTION("GOOGLEFINANCE(""NSE:""&amp;A166,""LOW"")"),807)</f>
        <v/>
      </c>
      <c r="F166" s="13">
        <f>IFERROR(__xludf.DUMMYFUNCTION("GOOGLEFINANCE(""NSE:""&amp;A166,""closeyest"")"),807)</f>
        <v/>
      </c>
      <c r="G166" s="14">
        <f>(B166-C166)/B166</f>
        <v/>
      </c>
      <c r="H166" s="13">
        <f>IFERROR(__xludf.DUMMYFUNCTION("GOOGLEFINANCE(""NSE:""&amp;A166,""VOLUME"")"),117978)</f>
        <v/>
      </c>
      <c r="I166" s="13">
        <f>IFERROR(__xludf.DUMMYFUNCTION("AVERAGE(index(GOOGLEFINANCE(""NSE:""&amp;$A166, ""volume"", today()-21, today()-1), , 2))"),"#N/A")</f>
        <v/>
      </c>
      <c r="J166" s="14">
        <f>(H166-I166)/I166</f>
        <v/>
      </c>
      <c r="K166" s="13">
        <f>IFERROR(__xludf.DUMMYFUNCTION("AVERAGE(index(GOOGLEFINANCE(""NSE:""&amp;$A166, ""close"", today()-6, today()-1), , 2))"),"#N/A")</f>
        <v/>
      </c>
      <c r="L166" s="13">
        <f>IFERROR(__xludf.DUMMYFUNCTION("AVERAGE(index(GOOGLEFINANCE(""NSE:""&amp;$A166, ""close"", today()-14, today()-1), , 2))"),"#N/A")</f>
        <v/>
      </c>
      <c r="M166" s="13">
        <f>IFERROR(__xludf.DUMMYFUNCTION("AVERAGE(index(GOOGLEFINANCE(""NSE:""&amp;$A166, ""close"", today()-22, today()-1), , 2))"),"#N/A")</f>
        <v/>
      </c>
      <c r="N166" s="13">
        <f>AG166</f>
        <v/>
      </c>
      <c r="O166" s="13">
        <f>AI166</f>
        <v/>
      </c>
      <c r="P166" s="13">
        <f>W166</f>
        <v/>
      </c>
      <c r="Q166" s="13">
        <f>Y166</f>
        <v/>
      </c>
      <c r="R166" s="15" t="n"/>
      <c r="S166" s="15">
        <f>LEFT(W166,2)&amp;LEFT(Y166,2)</f>
        <v/>
      </c>
      <c r="T166" s="15" t="n"/>
      <c r="U166" s="15">
        <f>IF(K166&lt;L166,1,0)</f>
        <v/>
      </c>
      <c r="V166" s="15">
        <f>IF(H166&gt;I166,1,0)</f>
        <v/>
      </c>
      <c r="W166" s="15">
        <f>IF(SUM(U166:V166)=2,"Anticipatory_Sell","No_Action")</f>
        <v/>
      </c>
      <c r="X166" s="15" t="n"/>
      <c r="Y166" s="15">
        <f>IF(SUM(Z166:AA166)=2,"Confirm_Sell","No_Action")</f>
        <v/>
      </c>
      <c r="Z166" s="15">
        <f>IF(H166&gt;I166,1,0)</f>
        <v/>
      </c>
      <c r="AA166" s="15">
        <f>IF(K166&lt;M166,1,0)</f>
        <v/>
      </c>
      <c r="AB166" s="15" t="n"/>
      <c r="AC166" s="15">
        <f>LEFT(AG166,2)&amp;LEFT(AI166,2)</f>
        <v/>
      </c>
      <c r="AD166" s="15" t="n"/>
      <c r="AE166" s="15">
        <f>IF(K166&gt;L166,1,0)</f>
        <v/>
      </c>
      <c r="AF166" s="16">
        <f>IF(H166&gt;I166,1,0)</f>
        <v/>
      </c>
      <c r="AG166" s="16">
        <f>IF(SUM(AE166:AF166)=2,"Anticipatory_Buy","No_Action")</f>
        <v/>
      </c>
      <c r="AH166" s="15" t="n"/>
      <c r="AI166" s="15">
        <f>IF(SUM(AJ166:AK166)=2,"Confirm_Buy","No_Action")</f>
        <v/>
      </c>
      <c r="AJ166" s="15">
        <f>IF(H166&gt;I166,1,0)</f>
        <v/>
      </c>
      <c r="AK166" s="15">
        <f>IF(K166&gt;M166,1,0)</f>
        <v/>
      </c>
    </row>
    <row r="167" ht="14.5" customHeight="1">
      <c r="A167" s="12" t="inlineStr">
        <is>
          <t>JKPAPER</t>
        </is>
      </c>
      <c r="B167" s="13">
        <f>IFERROR(__xludf.DUMMYFUNCTION("GOOGLEFINANCE(""NSE:""&amp;A167,""PRICE"")"),485)</f>
        <v/>
      </c>
      <c r="C167" s="13">
        <f>IFERROR(__xludf.DUMMYFUNCTION("GOOGLEFINANCE(""NSE:""&amp;A167,""PRICEOPEN"")"),487.5)</f>
        <v/>
      </c>
      <c r="D167" s="13">
        <f>IFERROR(__xludf.DUMMYFUNCTION("GOOGLEFINANCE(""NSE:""&amp;A167,""HIGH"")"),490.55)</f>
        <v/>
      </c>
      <c r="E167" s="13">
        <f>IFERROR(__xludf.DUMMYFUNCTION("GOOGLEFINANCE(""NSE:""&amp;A167,""LOW"")"),480)</f>
        <v/>
      </c>
      <c r="F167" s="13">
        <f>IFERROR(__xludf.DUMMYFUNCTION("GOOGLEFINANCE(""NSE:""&amp;A167,""closeyest"")"),483.15)</f>
        <v/>
      </c>
      <c r="G167" s="14">
        <f>(B167-C167)/B167</f>
        <v/>
      </c>
      <c r="H167" s="13">
        <f>IFERROR(__xludf.DUMMYFUNCTION("GOOGLEFINANCE(""NSE:""&amp;A167,""VOLUME"")"),539774)</f>
        <v/>
      </c>
      <c r="I167" s="13">
        <f>IFERROR(__xludf.DUMMYFUNCTION("AVERAGE(index(GOOGLEFINANCE(""NSE:""&amp;$A167, ""volume"", today()-21, today()-1), , 2))"),"#N/A")</f>
        <v/>
      </c>
      <c r="J167" s="14">
        <f>(H167-I167)/I167</f>
        <v/>
      </c>
      <c r="K167" s="13">
        <f>IFERROR(__xludf.DUMMYFUNCTION("AVERAGE(index(GOOGLEFINANCE(""NSE:""&amp;$A167, ""close"", today()-6, today()-1), , 2))"),"#N/A")</f>
        <v/>
      </c>
      <c r="L167" s="13">
        <f>IFERROR(__xludf.DUMMYFUNCTION("AVERAGE(index(GOOGLEFINANCE(""NSE:""&amp;$A167, ""close"", today()-14, today()-1), , 2))"),"#N/A")</f>
        <v/>
      </c>
      <c r="M167" s="13">
        <f>IFERROR(__xludf.DUMMYFUNCTION("AVERAGE(index(GOOGLEFINANCE(""NSE:""&amp;$A167, ""close"", today()-22, today()-1), , 2))"),"#N/A")</f>
        <v/>
      </c>
      <c r="N167" s="13">
        <f>AG167</f>
        <v/>
      </c>
      <c r="O167" s="13">
        <f>AI167</f>
        <v/>
      </c>
      <c r="P167" s="13">
        <f>W167</f>
        <v/>
      </c>
      <c r="Q167" s="13">
        <f>Y167</f>
        <v/>
      </c>
      <c r="R167" s="15" t="n"/>
      <c r="S167" s="15">
        <f>LEFT(W167,2)&amp;LEFT(Y167,2)</f>
        <v/>
      </c>
      <c r="T167" s="15" t="n"/>
      <c r="U167" s="15">
        <f>IF(K167&lt;L167,1,0)</f>
        <v/>
      </c>
      <c r="V167" s="15">
        <f>IF(H167&gt;I167,1,0)</f>
        <v/>
      </c>
      <c r="W167" s="15">
        <f>IF(SUM(U167:V167)=2,"Anticipatory_Sell","No_Action")</f>
        <v/>
      </c>
      <c r="X167" s="15" t="n"/>
      <c r="Y167" s="15">
        <f>IF(SUM(Z167:AA167)=2,"Confirm_Sell","No_Action")</f>
        <v/>
      </c>
      <c r="Z167" s="15">
        <f>IF(H167&gt;I167,1,0)</f>
        <v/>
      </c>
      <c r="AA167" s="15">
        <f>IF(K167&lt;M167,1,0)</f>
        <v/>
      </c>
      <c r="AB167" s="15" t="n"/>
      <c r="AC167" s="15">
        <f>LEFT(AG167,2)&amp;LEFT(AI167,2)</f>
        <v/>
      </c>
      <c r="AD167" s="15" t="n"/>
      <c r="AE167" s="15">
        <f>IF(K167&gt;L167,1,0)</f>
        <v/>
      </c>
      <c r="AF167" s="16">
        <f>IF(H167&gt;I167,1,0)</f>
        <v/>
      </c>
      <c r="AG167" s="16">
        <f>IF(SUM(AE167:AF167)=2,"Anticipatory_Buy","No_Action")</f>
        <v/>
      </c>
      <c r="AH167" s="15" t="n"/>
      <c r="AI167" s="15">
        <f>IF(SUM(AJ167:AK167)=2,"Confirm_Buy","No_Action")</f>
        <v/>
      </c>
      <c r="AJ167" s="15">
        <f>IF(H167&gt;I167,1,0)</f>
        <v/>
      </c>
      <c r="AK167" s="15">
        <f>IF(K167&gt;M167,1,0)</f>
        <v/>
      </c>
    </row>
    <row r="168" ht="14.5" customHeight="1">
      <c r="A168" s="12" t="inlineStr">
        <is>
          <t>JKTYRE</t>
        </is>
      </c>
      <c r="B168" s="13">
        <f>IFERROR(__xludf.DUMMYFUNCTION("GOOGLEFINANCE(""NSE:""&amp;A168,""PRICE"")"),417.7)</f>
        <v/>
      </c>
      <c r="C168" s="13">
        <f>IFERROR(__xludf.DUMMYFUNCTION("GOOGLEFINANCE(""NSE:""&amp;A168,""PRICEOPEN"")"),392.65)</f>
        <v/>
      </c>
      <c r="D168" s="13">
        <f>IFERROR(__xludf.DUMMYFUNCTION("GOOGLEFINANCE(""NSE:""&amp;A168,""HIGH"")"),424)</f>
        <v/>
      </c>
      <c r="E168" s="13">
        <f>IFERROR(__xludf.DUMMYFUNCTION("GOOGLEFINANCE(""NSE:""&amp;A168,""LOW"")"),392.05)</f>
        <v/>
      </c>
      <c r="F168" s="13">
        <f>IFERROR(__xludf.DUMMYFUNCTION("GOOGLEFINANCE(""NSE:""&amp;A168,""closeyest"")"),393.6)</f>
        <v/>
      </c>
      <c r="G168" s="14">
        <f>(B168-C168)/B168</f>
        <v/>
      </c>
      <c r="H168" s="13">
        <f>IFERROR(__xludf.DUMMYFUNCTION("GOOGLEFINANCE(""NSE:""&amp;A168,""VOLUME"")"),4318452)</f>
        <v/>
      </c>
      <c r="I168" s="13">
        <f>IFERROR(__xludf.DUMMYFUNCTION("AVERAGE(index(GOOGLEFINANCE(""NSE:""&amp;$A168, ""volume"", today()-21, today()-1), , 2))"),"#N/A")</f>
        <v/>
      </c>
      <c r="J168" s="14">
        <f>(H168-I168)/I168</f>
        <v/>
      </c>
      <c r="K168" s="13">
        <f>IFERROR(__xludf.DUMMYFUNCTION("AVERAGE(index(GOOGLEFINANCE(""NSE:""&amp;$A168, ""close"", today()-6, today()-1), , 2))"),"#N/A")</f>
        <v/>
      </c>
      <c r="L168" s="13">
        <f>IFERROR(__xludf.DUMMYFUNCTION("AVERAGE(index(GOOGLEFINANCE(""NSE:""&amp;$A168, ""close"", today()-14, today()-1), , 2))"),"#N/A")</f>
        <v/>
      </c>
      <c r="M168" s="13">
        <f>IFERROR(__xludf.DUMMYFUNCTION("AVERAGE(index(GOOGLEFINANCE(""NSE:""&amp;$A168, ""close"", today()-22, today()-1), , 2))"),"#N/A")</f>
        <v/>
      </c>
      <c r="N168" s="13">
        <f>AG168</f>
        <v/>
      </c>
      <c r="O168" s="13">
        <f>AI168</f>
        <v/>
      </c>
      <c r="P168" s="13">
        <f>W168</f>
        <v/>
      </c>
      <c r="Q168" s="13">
        <f>Y168</f>
        <v/>
      </c>
      <c r="R168" s="15" t="n"/>
      <c r="S168" s="15">
        <f>LEFT(W168,2)&amp;LEFT(Y168,2)</f>
        <v/>
      </c>
      <c r="T168" s="15" t="n"/>
      <c r="U168" s="15">
        <f>IF(K168&lt;L168,1,0)</f>
        <v/>
      </c>
      <c r="V168" s="15">
        <f>IF(H168&gt;I168,1,0)</f>
        <v/>
      </c>
      <c r="W168" s="15">
        <f>IF(SUM(U168:V168)=2,"Anticipatory_Sell","No_Action")</f>
        <v/>
      </c>
      <c r="X168" s="15" t="n"/>
      <c r="Y168" s="15">
        <f>IF(SUM(Z168:AA168)=2,"Confirm_Sell","No_Action")</f>
        <v/>
      </c>
      <c r="Z168" s="15">
        <f>IF(H168&gt;I168,1,0)</f>
        <v/>
      </c>
      <c r="AA168" s="15">
        <f>IF(K168&lt;M168,1,0)</f>
        <v/>
      </c>
      <c r="AB168" s="15" t="n"/>
      <c r="AC168" s="15">
        <f>LEFT(AG168,2)&amp;LEFT(AI168,2)</f>
        <v/>
      </c>
      <c r="AD168" s="15" t="n"/>
      <c r="AE168" s="15">
        <f>IF(K168&gt;L168,1,0)</f>
        <v/>
      </c>
      <c r="AF168" s="16">
        <f>IF(H168&gt;I168,1,0)</f>
        <v/>
      </c>
      <c r="AG168" s="16">
        <f>IF(SUM(AE168:AF168)=2,"Anticipatory_Buy","No_Action")</f>
        <v/>
      </c>
      <c r="AH168" s="15" t="n"/>
      <c r="AI168" s="15">
        <f>IF(SUM(AJ168:AK168)=2,"Confirm_Buy","No_Action")</f>
        <v/>
      </c>
      <c r="AJ168" s="15">
        <f>IF(H168&gt;I168,1,0)</f>
        <v/>
      </c>
      <c r="AK168" s="15">
        <f>IF(K168&gt;M168,1,0)</f>
        <v/>
      </c>
    </row>
    <row r="169" ht="14.5" customHeight="1">
      <c r="A169" s="12" t="inlineStr">
        <is>
          <t>JSWSTEEL</t>
        </is>
      </c>
      <c r="B169" s="13">
        <f>IFERROR(__xludf.DUMMYFUNCTION("GOOGLEFINANCE(""NSE:""&amp;A169,""PRICE"")"),1012)</f>
        <v/>
      </c>
      <c r="C169" s="13">
        <f>IFERROR(__xludf.DUMMYFUNCTION("GOOGLEFINANCE(""NSE:""&amp;A169,""PRICEOPEN"")"),1005.5)</f>
        <v/>
      </c>
      <c r="D169" s="13">
        <f>IFERROR(__xludf.DUMMYFUNCTION("GOOGLEFINANCE(""NSE:""&amp;A169,""HIGH"")"),1015.5)</f>
        <v/>
      </c>
      <c r="E169" s="13">
        <f>IFERROR(__xludf.DUMMYFUNCTION("GOOGLEFINANCE(""NSE:""&amp;A169,""LOW"")"),993.8)</f>
        <v/>
      </c>
      <c r="F169" s="13">
        <f>IFERROR(__xludf.DUMMYFUNCTION("GOOGLEFINANCE(""NSE:""&amp;A169,""closeyest"")"),1003.8)</f>
        <v/>
      </c>
      <c r="G169" s="14">
        <f>(B169-C169)/B169</f>
        <v/>
      </c>
      <c r="H169" s="13">
        <f>IFERROR(__xludf.DUMMYFUNCTION("GOOGLEFINANCE(""NSE:""&amp;A169,""VOLUME"")"),1457470)</f>
        <v/>
      </c>
      <c r="I169" s="13">
        <f>IFERROR(__xludf.DUMMYFUNCTION("AVERAGE(index(GOOGLEFINANCE(""NSE:""&amp;$A169, ""volume"", today()-21, today()-1), , 2))"),"#N/A")</f>
        <v/>
      </c>
      <c r="J169" s="14">
        <f>(H169-I169)/I169</f>
        <v/>
      </c>
      <c r="K169" s="13">
        <f>IFERROR(__xludf.DUMMYFUNCTION("AVERAGE(index(GOOGLEFINANCE(""NSE:""&amp;$A169, ""close"", today()-6, today()-1), , 2))"),"#N/A")</f>
        <v/>
      </c>
      <c r="L169" s="13">
        <f>IFERROR(__xludf.DUMMYFUNCTION("AVERAGE(index(GOOGLEFINANCE(""NSE:""&amp;$A169, ""close"", today()-14, today()-1), , 2))"),"#N/A")</f>
        <v/>
      </c>
      <c r="M169" s="13">
        <f>IFERROR(__xludf.DUMMYFUNCTION("AVERAGE(index(GOOGLEFINANCE(""NSE:""&amp;$A169, ""close"", today()-22, today()-1), , 2))"),"#N/A")</f>
        <v/>
      </c>
      <c r="N169" s="13">
        <f>AG169</f>
        <v/>
      </c>
      <c r="O169" s="13">
        <f>AI169</f>
        <v/>
      </c>
      <c r="P169" s="13">
        <f>W169</f>
        <v/>
      </c>
      <c r="Q169" s="13">
        <f>Y169</f>
        <v/>
      </c>
      <c r="R169" s="15" t="n"/>
      <c r="S169" s="15">
        <f>LEFT(W169,2)&amp;LEFT(Y169,2)</f>
        <v/>
      </c>
      <c r="T169" s="15" t="n"/>
      <c r="U169" s="15">
        <f>IF(K169&lt;L169,1,0)</f>
        <v/>
      </c>
      <c r="V169" s="15">
        <f>IF(H169&gt;I169,1,0)</f>
        <v/>
      </c>
      <c r="W169" s="15">
        <f>IF(SUM(U169:V169)=2,"Anticipatory_Sell","No_Action")</f>
        <v/>
      </c>
      <c r="X169" s="15" t="n"/>
      <c r="Y169" s="15">
        <f>IF(SUM(Z169:AA169)=2,"Confirm_Sell","No_Action")</f>
        <v/>
      </c>
      <c r="Z169" s="15">
        <f>IF(H169&gt;I169,1,0)</f>
        <v/>
      </c>
      <c r="AA169" s="15">
        <f>IF(K169&lt;M169,1,0)</f>
        <v/>
      </c>
      <c r="AB169" s="15" t="n"/>
      <c r="AC169" s="15">
        <f>LEFT(AG169,2)&amp;LEFT(AI169,2)</f>
        <v/>
      </c>
      <c r="AD169" s="15" t="n"/>
      <c r="AE169" s="15">
        <f>IF(K169&gt;L169,1,0)</f>
        <v/>
      </c>
      <c r="AF169" s="16">
        <f>IF(H169&gt;I169,1,0)</f>
        <v/>
      </c>
      <c r="AG169" s="16">
        <f>IF(SUM(AE169:AF169)=2,"Anticipatory_Buy","No_Action")</f>
        <v/>
      </c>
      <c r="AH169" s="15" t="n"/>
      <c r="AI169" s="15">
        <f>IF(SUM(AJ169:AK169)=2,"Confirm_Buy","No_Action")</f>
        <v/>
      </c>
      <c r="AJ169" s="15">
        <f>IF(H169&gt;I169,1,0)</f>
        <v/>
      </c>
      <c r="AK169" s="15">
        <f>IF(K169&gt;M169,1,0)</f>
        <v/>
      </c>
    </row>
    <row r="170" ht="14.5" customHeight="1">
      <c r="A170" s="12" t="inlineStr">
        <is>
          <t>JWL</t>
        </is>
      </c>
      <c r="B170" s="13">
        <f>IFERROR(__xludf.DUMMYFUNCTION("GOOGLEFINANCE(""NSE:""&amp;A170,""PRICE"")"),503.9)</f>
        <v/>
      </c>
      <c r="C170" s="13">
        <f>IFERROR(__xludf.DUMMYFUNCTION("GOOGLEFINANCE(""NSE:""&amp;A170,""PRICEOPEN"")"),496.05)</f>
        <v/>
      </c>
      <c r="D170" s="13">
        <f>IFERROR(__xludf.DUMMYFUNCTION("GOOGLEFINANCE(""NSE:""&amp;A170,""HIGH"")"),506.2)</f>
        <v/>
      </c>
      <c r="E170" s="13">
        <f>IFERROR(__xludf.DUMMYFUNCTION("GOOGLEFINANCE(""NSE:""&amp;A170,""LOW"")"),493.85)</f>
        <v/>
      </c>
      <c r="F170" s="13">
        <f>IFERROR(__xludf.DUMMYFUNCTION("GOOGLEFINANCE(""NSE:""&amp;A170,""closeyest"")"),493.05)</f>
        <v/>
      </c>
      <c r="G170" s="14">
        <f>(B170-C170)/B170</f>
        <v/>
      </c>
      <c r="H170" s="13">
        <f>IFERROR(__xludf.DUMMYFUNCTION("GOOGLEFINANCE(""NSE:""&amp;A170,""VOLUME"")"),1014705)</f>
        <v/>
      </c>
      <c r="I170" s="13">
        <f>IFERROR(__xludf.DUMMYFUNCTION("AVERAGE(index(GOOGLEFINANCE(""NSE:""&amp;$A170, ""volume"", today()-21, today()-1), , 2))"),"#N/A")</f>
        <v/>
      </c>
      <c r="J170" s="14">
        <f>(H170-I170)/I170</f>
        <v/>
      </c>
      <c r="K170" s="13">
        <f>IFERROR(__xludf.DUMMYFUNCTION("AVERAGE(index(GOOGLEFINANCE(""NSE:""&amp;$A170, ""close"", today()-6, today()-1), , 2))"),"#N/A")</f>
        <v/>
      </c>
      <c r="L170" s="13">
        <f>IFERROR(__xludf.DUMMYFUNCTION("AVERAGE(index(GOOGLEFINANCE(""NSE:""&amp;$A170, ""close"", today()-14, today()-1), , 2))"),"#N/A")</f>
        <v/>
      </c>
      <c r="M170" s="13">
        <f>IFERROR(__xludf.DUMMYFUNCTION("AVERAGE(index(GOOGLEFINANCE(""NSE:""&amp;$A170, ""close"", today()-22, today()-1), , 2))"),"#N/A")</f>
        <v/>
      </c>
      <c r="N170" s="13">
        <f>AG170</f>
        <v/>
      </c>
      <c r="O170" s="13">
        <f>AI170</f>
        <v/>
      </c>
      <c r="P170" s="13">
        <f>W170</f>
        <v/>
      </c>
      <c r="Q170" s="13">
        <f>Y170</f>
        <v/>
      </c>
      <c r="R170" s="15" t="n"/>
      <c r="S170" s="15">
        <f>LEFT(W170,2)&amp;LEFT(Y170,2)</f>
        <v/>
      </c>
      <c r="T170" s="15" t="n"/>
      <c r="U170" s="15">
        <f>IF(K170&lt;L170,1,0)</f>
        <v/>
      </c>
      <c r="V170" s="15">
        <f>IF(H170&gt;I170,1,0)</f>
        <v/>
      </c>
      <c r="W170" s="15">
        <f>IF(SUM(U170:V170)=2,"Anticipatory_Sell","No_Action")</f>
        <v/>
      </c>
      <c r="X170" s="15" t="n"/>
      <c r="Y170" s="15">
        <f>IF(SUM(Z170:AA170)=2,"Confirm_Sell","No_Action")</f>
        <v/>
      </c>
      <c r="Z170" s="15">
        <f>IF(H170&gt;I170,1,0)</f>
        <v/>
      </c>
      <c r="AA170" s="15">
        <f>IF(K170&lt;M170,1,0)</f>
        <v/>
      </c>
      <c r="AB170" s="15" t="n"/>
      <c r="AC170" s="15">
        <f>LEFT(AG170,2)&amp;LEFT(AI170,2)</f>
        <v/>
      </c>
      <c r="AD170" s="15" t="n"/>
      <c r="AE170" s="15">
        <f>IF(K170&gt;L170,1,0)</f>
        <v/>
      </c>
      <c r="AF170" s="16">
        <f>IF(H170&gt;I170,1,0)</f>
        <v/>
      </c>
      <c r="AG170" s="16">
        <f>IF(SUM(AE170:AF170)=2,"Anticipatory_Buy","No_Action")</f>
        <v/>
      </c>
      <c r="AH170" s="15" t="n"/>
      <c r="AI170" s="15">
        <f>IF(SUM(AJ170:AK170)=2,"Confirm_Buy","No_Action")</f>
        <v/>
      </c>
      <c r="AJ170" s="15">
        <f>IF(H170&gt;I170,1,0)</f>
        <v/>
      </c>
      <c r="AK170" s="15">
        <f>IF(K170&gt;M170,1,0)</f>
        <v/>
      </c>
    </row>
    <row r="171" ht="14.5" customHeight="1">
      <c r="A171" s="12" t="inlineStr">
        <is>
          <t>JYOTHYLAB</t>
        </is>
      </c>
      <c r="B171" s="13">
        <f>IFERROR(__xludf.DUMMYFUNCTION("GOOGLEFINANCE(""NSE:""&amp;A171,""PRICE"")"),420.5)</f>
        <v/>
      </c>
      <c r="C171" s="13">
        <f>IFERROR(__xludf.DUMMYFUNCTION("GOOGLEFINANCE(""NSE:""&amp;A171,""PRICEOPEN"")"),426)</f>
        <v/>
      </c>
      <c r="D171" s="13">
        <f>IFERROR(__xludf.DUMMYFUNCTION("GOOGLEFINANCE(""NSE:""&amp;A171,""HIGH"")"),433.2)</f>
        <v/>
      </c>
      <c r="E171" s="13">
        <f>IFERROR(__xludf.DUMMYFUNCTION("GOOGLEFINANCE(""NSE:""&amp;A171,""LOW"")"),414.5)</f>
        <v/>
      </c>
      <c r="F171" s="13">
        <f>IFERROR(__xludf.DUMMYFUNCTION("GOOGLEFINANCE(""NSE:""&amp;A171,""closeyest"")"),423.05)</f>
        <v/>
      </c>
      <c r="G171" s="14">
        <f>(B171-C171)/B171</f>
        <v/>
      </c>
      <c r="H171" s="13">
        <f>IFERROR(__xludf.DUMMYFUNCTION("GOOGLEFINANCE(""NSE:""&amp;A171,""VOLUME"")"),1166341)</f>
        <v/>
      </c>
      <c r="I171" s="13">
        <f>IFERROR(__xludf.DUMMYFUNCTION("AVERAGE(index(GOOGLEFINANCE(""NSE:""&amp;$A171, ""volume"", today()-21, today()-1), , 2))"),"#N/A")</f>
        <v/>
      </c>
      <c r="J171" s="14">
        <f>(H171-I171)/I171</f>
        <v/>
      </c>
      <c r="K171" s="13">
        <f>IFERROR(__xludf.DUMMYFUNCTION("AVERAGE(index(GOOGLEFINANCE(""NSE:""&amp;$A171, ""close"", today()-6, today()-1), , 2))"),"#N/A")</f>
        <v/>
      </c>
      <c r="L171" s="13">
        <f>IFERROR(__xludf.DUMMYFUNCTION("AVERAGE(index(GOOGLEFINANCE(""NSE:""&amp;$A171, ""close"", today()-14, today()-1), , 2))"),"#N/A")</f>
        <v/>
      </c>
      <c r="M171" s="13">
        <f>IFERROR(__xludf.DUMMYFUNCTION("AVERAGE(index(GOOGLEFINANCE(""NSE:""&amp;$A171, ""close"", today()-22, today()-1), , 2))"),"#N/A")</f>
        <v/>
      </c>
      <c r="N171" s="13">
        <f>AG171</f>
        <v/>
      </c>
      <c r="O171" s="13">
        <f>AI171</f>
        <v/>
      </c>
      <c r="P171" s="13">
        <f>W171</f>
        <v/>
      </c>
      <c r="Q171" s="13">
        <f>Y171</f>
        <v/>
      </c>
      <c r="R171" s="15" t="n"/>
      <c r="S171" s="15">
        <f>LEFT(W171,2)&amp;LEFT(Y171,2)</f>
        <v/>
      </c>
      <c r="T171" s="15" t="n"/>
      <c r="U171" s="15">
        <f>IF(K171&lt;L171,1,0)</f>
        <v/>
      </c>
      <c r="V171" s="15">
        <f>IF(H171&gt;I171,1,0)</f>
        <v/>
      </c>
      <c r="W171" s="15">
        <f>IF(SUM(U171:V171)=2,"Anticipatory_Sell","No_Action")</f>
        <v/>
      </c>
      <c r="X171" s="15" t="n"/>
      <c r="Y171" s="15">
        <f>IF(SUM(Z171:AA171)=2,"Confirm_Sell","No_Action")</f>
        <v/>
      </c>
      <c r="Z171" s="15">
        <f>IF(H171&gt;I171,1,0)</f>
        <v/>
      </c>
      <c r="AA171" s="15">
        <f>IF(K171&lt;M171,1,0)</f>
        <v/>
      </c>
      <c r="AB171" s="15" t="n"/>
      <c r="AC171" s="15">
        <f>LEFT(AG171,2)&amp;LEFT(AI171,2)</f>
        <v/>
      </c>
      <c r="AD171" s="15" t="n"/>
      <c r="AE171" s="15">
        <f>IF(K171&gt;L171,1,0)</f>
        <v/>
      </c>
      <c r="AF171" s="16">
        <f>IF(H171&gt;I171,1,0)</f>
        <v/>
      </c>
      <c r="AG171" s="16">
        <f>IF(SUM(AE171:AF171)=2,"Anticipatory_Buy","No_Action")</f>
        <v/>
      </c>
      <c r="AH171" s="15" t="n"/>
      <c r="AI171" s="15">
        <f>IF(SUM(AJ171:AK171)=2,"Confirm_Buy","No_Action")</f>
        <v/>
      </c>
      <c r="AJ171" s="15">
        <f>IF(H171&gt;I171,1,0)</f>
        <v/>
      </c>
      <c r="AK171" s="15">
        <f>IF(K171&gt;M171,1,0)</f>
        <v/>
      </c>
    </row>
    <row r="172" ht="14.5" customHeight="1">
      <c r="A172" s="12" t="inlineStr">
        <is>
          <t>KCP</t>
        </is>
      </c>
      <c r="B172" s="13">
        <f>IFERROR(__xludf.DUMMYFUNCTION("GOOGLEFINANCE(""NSE:""&amp;A172,""PRICE"")"),250.31)</f>
        <v/>
      </c>
      <c r="C172" s="13">
        <f>IFERROR(__xludf.DUMMYFUNCTION("GOOGLEFINANCE(""NSE:""&amp;A172,""PRICEOPEN"")"),254.9)</f>
        <v/>
      </c>
      <c r="D172" s="13">
        <f>IFERROR(__xludf.DUMMYFUNCTION("GOOGLEFINANCE(""NSE:""&amp;A172,""HIGH"")"),254.98)</f>
        <v/>
      </c>
      <c r="E172" s="13">
        <f>IFERROR(__xludf.DUMMYFUNCTION("GOOGLEFINANCE(""NSE:""&amp;A172,""LOW"")"),250.14)</f>
        <v/>
      </c>
      <c r="F172" s="13">
        <f>IFERROR(__xludf.DUMMYFUNCTION("GOOGLEFINANCE(""NSE:""&amp;A172,""closeyest"")"),254.33)</f>
        <v/>
      </c>
      <c r="G172" s="14">
        <f>(B172-C172)/B172</f>
        <v/>
      </c>
      <c r="H172" s="13">
        <f>IFERROR(__xludf.DUMMYFUNCTION("GOOGLEFINANCE(""NSE:""&amp;A172,""VOLUME"")"),206204)</f>
        <v/>
      </c>
      <c r="I172" s="13">
        <f>IFERROR(__xludf.DUMMYFUNCTION("AVERAGE(index(GOOGLEFINANCE(""NSE:""&amp;$A172, ""volume"", today()-21, today()-1), , 2))"),"#N/A")</f>
        <v/>
      </c>
      <c r="J172" s="14">
        <f>(H172-I172)/I172</f>
        <v/>
      </c>
      <c r="K172" s="13">
        <f>IFERROR(__xludf.DUMMYFUNCTION("AVERAGE(index(GOOGLEFINANCE(""NSE:""&amp;$A172, ""close"", today()-6, today()-1), , 2))"),"#N/A")</f>
        <v/>
      </c>
      <c r="L172" s="13">
        <f>IFERROR(__xludf.DUMMYFUNCTION("AVERAGE(index(GOOGLEFINANCE(""NSE:""&amp;$A172, ""close"", today()-14, today()-1), , 2))"),"#N/A")</f>
        <v/>
      </c>
      <c r="M172" s="13">
        <f>IFERROR(__xludf.DUMMYFUNCTION("AVERAGE(index(GOOGLEFINANCE(""NSE:""&amp;$A172, ""close"", today()-22, today()-1), , 2))"),"#N/A")</f>
        <v/>
      </c>
      <c r="N172" s="13">
        <f>AG172</f>
        <v/>
      </c>
      <c r="O172" s="13">
        <f>AI172</f>
        <v/>
      </c>
      <c r="P172" s="13">
        <f>W172</f>
        <v/>
      </c>
      <c r="Q172" s="13">
        <f>Y172</f>
        <v/>
      </c>
      <c r="R172" s="15" t="n"/>
      <c r="S172" s="15">
        <f>LEFT(W172,2)&amp;LEFT(Y172,2)</f>
        <v/>
      </c>
      <c r="T172" s="15" t="n"/>
      <c r="U172" s="15">
        <f>IF(K172&lt;L172,1,0)</f>
        <v/>
      </c>
      <c r="V172" s="15">
        <f>IF(H172&gt;I172,1,0)</f>
        <v/>
      </c>
      <c r="W172" s="15">
        <f>IF(SUM(U172:V172)=2,"Anticipatory_Sell","No_Action")</f>
        <v/>
      </c>
      <c r="X172" s="15" t="n"/>
      <c r="Y172" s="15">
        <f>IF(SUM(Z172:AA172)=2,"Confirm_Sell","No_Action")</f>
        <v/>
      </c>
      <c r="Z172" s="15">
        <f>IF(H172&gt;I172,1,0)</f>
        <v/>
      </c>
      <c r="AA172" s="15">
        <f>IF(K172&lt;M172,1,0)</f>
        <v/>
      </c>
      <c r="AB172" s="15" t="n"/>
      <c r="AC172" s="15">
        <f>LEFT(AG172,2)&amp;LEFT(AI172,2)</f>
        <v/>
      </c>
      <c r="AD172" s="15" t="n"/>
      <c r="AE172" s="15">
        <f>IF(K172&gt;L172,1,0)</f>
        <v/>
      </c>
      <c r="AF172" s="16">
        <f>IF(H172&gt;I172,1,0)</f>
        <v/>
      </c>
      <c r="AG172" s="16">
        <f>IF(SUM(AE172:AF172)=2,"Anticipatory_Buy","No_Action")</f>
        <v/>
      </c>
      <c r="AH172" s="15" t="n"/>
      <c r="AI172" s="15">
        <f>IF(SUM(AJ172:AK172)=2,"Confirm_Buy","No_Action")</f>
        <v/>
      </c>
      <c r="AJ172" s="15">
        <f>IF(H172&gt;I172,1,0)</f>
        <v/>
      </c>
      <c r="AK172" s="15">
        <f>IF(K172&gt;M172,1,0)</f>
        <v/>
      </c>
    </row>
    <row r="173" ht="14.5" customHeight="1">
      <c r="A173" s="12" t="inlineStr">
        <is>
          <t>KPRMILL</t>
        </is>
      </c>
      <c r="B173" s="13">
        <f>IFERROR(__xludf.DUMMYFUNCTION("GOOGLEFINANCE(""NSE:""&amp;A173,""PRICE"")"),1000)</f>
        <v/>
      </c>
      <c r="C173" s="13">
        <f>IFERROR(__xludf.DUMMYFUNCTION("GOOGLEFINANCE(""NSE:""&amp;A173,""PRICEOPEN"")"),994.95)</f>
        <v/>
      </c>
      <c r="D173" s="13">
        <f>IFERROR(__xludf.DUMMYFUNCTION("GOOGLEFINANCE(""NSE:""&amp;A173,""HIGH"")"),1019.7)</f>
        <v/>
      </c>
      <c r="E173" s="13">
        <f>IFERROR(__xludf.DUMMYFUNCTION("GOOGLEFINANCE(""NSE:""&amp;A173,""LOW"")"),977.75)</f>
        <v/>
      </c>
      <c r="F173" s="13">
        <f>IFERROR(__xludf.DUMMYFUNCTION("GOOGLEFINANCE(""NSE:""&amp;A173,""closeyest"")"),989.55)</f>
        <v/>
      </c>
      <c r="G173" s="14">
        <f>(B173-C173)/B173</f>
        <v/>
      </c>
      <c r="H173" s="13">
        <f>IFERROR(__xludf.DUMMYFUNCTION("GOOGLEFINANCE(""NSE:""&amp;A173,""VOLUME"")"),500281)</f>
        <v/>
      </c>
      <c r="I173" s="13">
        <f>IFERROR(__xludf.DUMMYFUNCTION("AVERAGE(index(GOOGLEFINANCE(""NSE:""&amp;$A173, ""volume"", today()-21, today()-1), , 2))"),"#N/A")</f>
        <v/>
      </c>
      <c r="J173" s="14">
        <f>(H173-I173)/I173</f>
        <v/>
      </c>
      <c r="K173" s="13">
        <f>IFERROR(__xludf.DUMMYFUNCTION("AVERAGE(index(GOOGLEFINANCE(""NSE:""&amp;$A173, ""close"", today()-6, today()-1), , 2))"),"#N/A")</f>
        <v/>
      </c>
      <c r="L173" s="13">
        <f>IFERROR(__xludf.DUMMYFUNCTION("AVERAGE(index(GOOGLEFINANCE(""NSE:""&amp;$A173, ""close"", today()-14, today()-1), , 2))"),"#N/A")</f>
        <v/>
      </c>
      <c r="M173" s="13">
        <f>IFERROR(__xludf.DUMMYFUNCTION("AVERAGE(index(GOOGLEFINANCE(""NSE:""&amp;$A173, ""close"", today()-22, today()-1), , 2))"),"#N/A")</f>
        <v/>
      </c>
      <c r="N173" s="13">
        <f>AG173</f>
        <v/>
      </c>
      <c r="O173" s="13">
        <f>AI173</f>
        <v/>
      </c>
      <c r="P173" s="13">
        <f>W173</f>
        <v/>
      </c>
      <c r="Q173" s="13">
        <f>Y173</f>
        <v/>
      </c>
      <c r="R173" s="15" t="n"/>
      <c r="S173" s="15">
        <f>LEFT(W173,2)&amp;LEFT(Y173,2)</f>
        <v/>
      </c>
      <c r="T173" s="15" t="n"/>
      <c r="U173" s="15">
        <f>IF(K173&lt;L173,1,0)</f>
        <v/>
      </c>
      <c r="V173" s="15">
        <f>IF(H173&gt;I173,1,0)</f>
        <v/>
      </c>
      <c r="W173" s="15">
        <f>IF(SUM(U173:V173)=2,"Anticipatory_Sell","No_Action")</f>
        <v/>
      </c>
      <c r="X173" s="15" t="n"/>
      <c r="Y173" s="15">
        <f>IF(SUM(Z173:AA173)=2,"Confirm_Sell","No_Action")</f>
        <v/>
      </c>
      <c r="Z173" s="15">
        <f>IF(H173&gt;I173,1,0)</f>
        <v/>
      </c>
      <c r="AA173" s="15">
        <f>IF(K173&lt;M173,1,0)</f>
        <v/>
      </c>
      <c r="AB173" s="15" t="n"/>
      <c r="AC173" s="15">
        <f>LEFT(AG173,2)&amp;LEFT(AI173,2)</f>
        <v/>
      </c>
      <c r="AD173" s="15" t="n"/>
      <c r="AE173" s="15">
        <f>IF(K173&gt;L173,1,0)</f>
        <v/>
      </c>
      <c r="AF173" s="16">
        <f>IF(H173&gt;I173,1,0)</f>
        <v/>
      </c>
      <c r="AG173" s="16">
        <f>IF(SUM(AE173:AF173)=2,"Anticipatory_Buy","No_Action")</f>
        <v/>
      </c>
      <c r="AH173" s="15" t="n"/>
      <c r="AI173" s="15">
        <f>IF(SUM(AJ173:AK173)=2,"Confirm_Buy","No_Action")</f>
        <v/>
      </c>
      <c r="AJ173" s="15">
        <f>IF(H173&gt;I173,1,0)</f>
        <v/>
      </c>
      <c r="AK173" s="15">
        <f>IF(K173&gt;M173,1,0)</f>
        <v/>
      </c>
    </row>
    <row r="174" ht="14.5" customHeight="1">
      <c r="A174" s="12" t="inlineStr">
        <is>
          <t>KAJARIACER</t>
        </is>
      </c>
      <c r="B174" s="13">
        <f>IFERROR(__xludf.DUMMYFUNCTION("GOOGLEFINANCE(""NSE:""&amp;A174,""PRICE"")"),1150)</f>
        <v/>
      </c>
      <c r="C174" s="13">
        <f>IFERROR(__xludf.DUMMYFUNCTION("GOOGLEFINANCE(""NSE:""&amp;A174,""PRICEOPEN"")"),1182.5)</f>
        <v/>
      </c>
      <c r="D174" s="13">
        <f>IFERROR(__xludf.DUMMYFUNCTION("GOOGLEFINANCE(""NSE:""&amp;A174,""HIGH"")"),1194.95)</f>
        <v/>
      </c>
      <c r="E174" s="13">
        <f>IFERROR(__xludf.DUMMYFUNCTION("GOOGLEFINANCE(""NSE:""&amp;A174,""LOW"")"),1147)</f>
        <v/>
      </c>
      <c r="F174" s="13">
        <f>IFERROR(__xludf.DUMMYFUNCTION("GOOGLEFINANCE(""NSE:""&amp;A174,""closeyest"")"),1182.45)</f>
        <v/>
      </c>
      <c r="G174" s="14">
        <f>(B174-C174)/B174</f>
        <v/>
      </c>
      <c r="H174" s="13">
        <f>IFERROR(__xludf.DUMMYFUNCTION("GOOGLEFINANCE(""NSE:""&amp;A174,""VOLUME"")"),213629)</f>
        <v/>
      </c>
      <c r="I174" s="13">
        <f>IFERROR(__xludf.DUMMYFUNCTION("AVERAGE(index(GOOGLEFINANCE(""NSE:""&amp;$A174, ""volume"", today()-21, today()-1), , 2))"),"#N/A")</f>
        <v/>
      </c>
      <c r="J174" s="14">
        <f>(H174-I174)/I174</f>
        <v/>
      </c>
      <c r="K174" s="13">
        <f>IFERROR(__xludf.DUMMYFUNCTION("AVERAGE(index(GOOGLEFINANCE(""NSE:""&amp;$A174, ""close"", today()-6, today()-1), , 2))"),"#N/A")</f>
        <v/>
      </c>
      <c r="L174" s="13">
        <f>IFERROR(__xludf.DUMMYFUNCTION("AVERAGE(index(GOOGLEFINANCE(""NSE:""&amp;$A174, ""close"", today()-14, today()-1), , 2))"),"#N/A")</f>
        <v/>
      </c>
      <c r="M174" s="13">
        <f>IFERROR(__xludf.DUMMYFUNCTION("AVERAGE(index(GOOGLEFINANCE(""NSE:""&amp;$A174, ""close"", today()-22, today()-1), , 2))"),"#N/A")</f>
        <v/>
      </c>
      <c r="N174" s="13">
        <f>AG174</f>
        <v/>
      </c>
      <c r="O174" s="13">
        <f>AI174</f>
        <v/>
      </c>
      <c r="P174" s="13">
        <f>W174</f>
        <v/>
      </c>
      <c r="Q174" s="13">
        <f>Y174</f>
        <v/>
      </c>
      <c r="R174" s="15" t="n"/>
      <c r="S174" s="15">
        <f>LEFT(W174,2)&amp;LEFT(Y174,2)</f>
        <v/>
      </c>
      <c r="T174" s="15" t="n"/>
      <c r="U174" s="15">
        <f>IF(K174&lt;L174,1,0)</f>
        <v/>
      </c>
      <c r="V174" s="15">
        <f>IF(H174&gt;I174,1,0)</f>
        <v/>
      </c>
      <c r="W174" s="15">
        <f>IF(SUM(U174:V174)=2,"Anticipatory_Sell","No_Action")</f>
        <v/>
      </c>
      <c r="X174" s="15" t="n"/>
      <c r="Y174" s="15">
        <f>IF(SUM(Z174:AA174)=2,"Confirm_Sell","No_Action")</f>
        <v/>
      </c>
      <c r="Z174" s="15">
        <f>IF(H174&gt;I174,1,0)</f>
        <v/>
      </c>
      <c r="AA174" s="15">
        <f>IF(K174&lt;M174,1,0)</f>
        <v/>
      </c>
      <c r="AB174" s="15" t="n"/>
      <c r="AC174" s="15">
        <f>LEFT(AG174,2)&amp;LEFT(AI174,2)</f>
        <v/>
      </c>
      <c r="AD174" s="15" t="n"/>
      <c r="AE174" s="15">
        <f>IF(K174&gt;L174,1,0)</f>
        <v/>
      </c>
      <c r="AF174" s="16">
        <f>IF(H174&gt;I174,1,0)</f>
        <v/>
      </c>
      <c r="AG174" s="16">
        <f>IF(SUM(AE174:AF174)=2,"Anticipatory_Buy","No_Action")</f>
        <v/>
      </c>
      <c r="AH174" s="15" t="n"/>
      <c r="AI174" s="15">
        <f>IF(SUM(AJ174:AK174)=2,"Confirm_Buy","No_Action")</f>
        <v/>
      </c>
      <c r="AJ174" s="15">
        <f>IF(H174&gt;I174,1,0)</f>
        <v/>
      </c>
      <c r="AK174" s="15">
        <f>IF(K174&gt;M174,1,0)</f>
        <v/>
      </c>
    </row>
    <row r="175" ht="14.5" customHeight="1">
      <c r="A175" s="12" t="inlineStr">
        <is>
          <t>KSL</t>
        </is>
      </c>
      <c r="B175" s="13">
        <f>IFERROR(__xludf.DUMMYFUNCTION("GOOGLEFINANCE(""NSE:""&amp;A175,""PRICE"")"),984.8)</f>
        <v/>
      </c>
      <c r="C175" s="13">
        <f>IFERROR(__xludf.DUMMYFUNCTION("GOOGLEFINANCE(""NSE:""&amp;A175,""PRICEOPEN"")"),955)</f>
        <v/>
      </c>
      <c r="D175" s="13">
        <f>IFERROR(__xludf.DUMMYFUNCTION("GOOGLEFINANCE(""NSE:""&amp;A175,""HIGH"")"),1006.6)</f>
        <v/>
      </c>
      <c r="E175" s="13">
        <f>IFERROR(__xludf.DUMMYFUNCTION("GOOGLEFINANCE(""NSE:""&amp;A175,""LOW"")"),955)</f>
        <v/>
      </c>
      <c r="F175" s="13">
        <f>IFERROR(__xludf.DUMMYFUNCTION("GOOGLEFINANCE(""NSE:""&amp;A175,""closeyest"")"),946.9)</f>
        <v/>
      </c>
      <c r="G175" s="14">
        <f>(B175-C175)/B175</f>
        <v/>
      </c>
      <c r="H175" s="13">
        <f>IFERROR(__xludf.DUMMYFUNCTION("GOOGLEFINANCE(""NSE:""&amp;A175,""VOLUME"")"),130189)</f>
        <v/>
      </c>
      <c r="I175" s="13">
        <f>IFERROR(__xludf.DUMMYFUNCTION("AVERAGE(index(GOOGLEFINANCE(""NSE:""&amp;$A175, ""volume"", today()-21, today()-1), , 2))"),"#N/A")</f>
        <v/>
      </c>
      <c r="J175" s="14">
        <f>(H175-I175)/I175</f>
        <v/>
      </c>
      <c r="K175" s="13">
        <f>IFERROR(__xludf.DUMMYFUNCTION("AVERAGE(index(GOOGLEFINANCE(""NSE:""&amp;$A175, ""close"", today()-6, today()-1), , 2))"),"#N/A")</f>
        <v/>
      </c>
      <c r="L175" s="13">
        <f>IFERROR(__xludf.DUMMYFUNCTION("AVERAGE(index(GOOGLEFINANCE(""NSE:""&amp;$A175, ""close"", today()-14, today()-1), , 2))"),"#N/A")</f>
        <v/>
      </c>
      <c r="M175" s="13">
        <f>IFERROR(__xludf.DUMMYFUNCTION("AVERAGE(index(GOOGLEFINANCE(""NSE:""&amp;$A175, ""close"", today()-22, today()-1), , 2))"),"#N/A")</f>
        <v/>
      </c>
      <c r="N175" s="13">
        <f>AG175</f>
        <v/>
      </c>
      <c r="O175" s="13">
        <f>AI175</f>
        <v/>
      </c>
      <c r="P175" s="13">
        <f>W175</f>
        <v/>
      </c>
      <c r="Q175" s="13">
        <f>Y175</f>
        <v/>
      </c>
      <c r="R175" s="15" t="n"/>
      <c r="S175" s="15">
        <f>LEFT(W175,2)&amp;LEFT(Y175,2)</f>
        <v/>
      </c>
      <c r="T175" s="15" t="n"/>
      <c r="U175" s="15">
        <f>IF(K175&lt;L175,1,0)</f>
        <v/>
      </c>
      <c r="V175" s="15">
        <f>IF(H175&gt;I175,1,0)</f>
        <v/>
      </c>
      <c r="W175" s="15">
        <f>IF(SUM(U175:V175)=2,"Anticipatory_Sell","No_Action")</f>
        <v/>
      </c>
      <c r="X175" s="15" t="n"/>
      <c r="Y175" s="15">
        <f>IF(SUM(Z175:AA175)=2,"Confirm_Sell","No_Action")</f>
        <v/>
      </c>
      <c r="Z175" s="15">
        <f>IF(H175&gt;I175,1,0)</f>
        <v/>
      </c>
      <c r="AA175" s="15">
        <f>IF(K175&lt;M175,1,0)</f>
        <v/>
      </c>
      <c r="AB175" s="15" t="n"/>
      <c r="AC175" s="15">
        <f>LEFT(AG175,2)&amp;LEFT(AI175,2)</f>
        <v/>
      </c>
      <c r="AD175" s="15" t="n"/>
      <c r="AE175" s="15">
        <f>IF(K175&gt;L175,1,0)</f>
        <v/>
      </c>
      <c r="AF175" s="16">
        <f>IF(H175&gt;I175,1,0)</f>
        <v/>
      </c>
      <c r="AG175" s="16">
        <f>IF(SUM(AE175:AF175)=2,"Anticipatory_Buy","No_Action")</f>
        <v/>
      </c>
      <c r="AH175" s="15" t="n"/>
      <c r="AI175" s="15">
        <f>IF(SUM(AJ175:AK175)=2,"Confirm_Buy","No_Action")</f>
        <v/>
      </c>
      <c r="AJ175" s="15">
        <f>IF(H175&gt;I175,1,0)</f>
        <v/>
      </c>
      <c r="AK175" s="15">
        <f>IF(K175&gt;M175,1,0)</f>
        <v/>
      </c>
    </row>
    <row r="176" ht="14.5" customHeight="1">
      <c r="A176" s="12" t="inlineStr">
        <is>
          <t>KANSAINER</t>
        </is>
      </c>
      <c r="B176" s="13">
        <f>IFERROR(__xludf.DUMMYFUNCTION("GOOGLEFINANCE(""NSE:""&amp;A176,""PRICE"")"),274.5)</f>
        <v/>
      </c>
      <c r="C176" s="13">
        <f>IFERROR(__xludf.DUMMYFUNCTION("GOOGLEFINANCE(""NSE:""&amp;A176,""PRICEOPEN"")"),277.9)</f>
        <v/>
      </c>
      <c r="D176" s="13">
        <f>IFERROR(__xludf.DUMMYFUNCTION("GOOGLEFINANCE(""NSE:""&amp;A176,""HIGH"")"),279)</f>
        <v/>
      </c>
      <c r="E176" s="13">
        <f>IFERROR(__xludf.DUMMYFUNCTION("GOOGLEFINANCE(""NSE:""&amp;A176,""LOW"")"),271.1)</f>
        <v/>
      </c>
      <c r="F176" s="13">
        <f>IFERROR(__xludf.DUMMYFUNCTION("GOOGLEFINANCE(""NSE:""&amp;A176,""closeyest"")"),277.85)</f>
        <v/>
      </c>
      <c r="G176" s="14">
        <f>(B176-C176)/B176</f>
        <v/>
      </c>
      <c r="H176" s="13">
        <f>IFERROR(__xludf.DUMMYFUNCTION("GOOGLEFINANCE(""NSE:""&amp;A176,""VOLUME"")"),178865)</f>
        <v/>
      </c>
      <c r="I176" s="13">
        <f>IFERROR(__xludf.DUMMYFUNCTION("AVERAGE(index(GOOGLEFINANCE(""NSE:""&amp;$A176, ""volume"", today()-21, today()-1), , 2))"),"#N/A")</f>
        <v/>
      </c>
      <c r="J176" s="14">
        <f>(H176-I176)/I176</f>
        <v/>
      </c>
      <c r="K176" s="13">
        <f>IFERROR(__xludf.DUMMYFUNCTION("AVERAGE(index(GOOGLEFINANCE(""NSE:""&amp;$A176, ""close"", today()-6, today()-1), , 2))"),"#N/A")</f>
        <v/>
      </c>
      <c r="L176" s="13">
        <f>IFERROR(__xludf.DUMMYFUNCTION("AVERAGE(index(GOOGLEFINANCE(""NSE:""&amp;$A176, ""close"", today()-14, today()-1), , 2))"),"#N/A")</f>
        <v/>
      </c>
      <c r="M176" s="13">
        <f>IFERROR(__xludf.DUMMYFUNCTION("AVERAGE(index(GOOGLEFINANCE(""NSE:""&amp;$A176, ""close"", today()-22, today()-1), , 2))"),"#N/A")</f>
        <v/>
      </c>
      <c r="N176" s="13">
        <f>AG176</f>
        <v/>
      </c>
      <c r="O176" s="13">
        <f>AI176</f>
        <v/>
      </c>
      <c r="P176" s="13">
        <f>W176</f>
        <v/>
      </c>
      <c r="Q176" s="13">
        <f>Y176</f>
        <v/>
      </c>
      <c r="R176" s="15" t="n"/>
      <c r="S176" s="15">
        <f>LEFT(W176,2)&amp;LEFT(Y176,2)</f>
        <v/>
      </c>
      <c r="T176" s="15" t="n"/>
      <c r="U176" s="15">
        <f>IF(K176&lt;L176,1,0)</f>
        <v/>
      </c>
      <c r="V176" s="15">
        <f>IF(H176&gt;I176,1,0)</f>
        <v/>
      </c>
      <c r="W176" s="15">
        <f>IF(SUM(U176:V176)=2,"Anticipatory_Sell","No_Action")</f>
        <v/>
      </c>
      <c r="X176" s="15" t="n"/>
      <c r="Y176" s="15">
        <f>IF(SUM(Z176:AA176)=2,"Confirm_Sell","No_Action")</f>
        <v/>
      </c>
      <c r="Z176" s="15">
        <f>IF(H176&gt;I176,1,0)</f>
        <v/>
      </c>
      <c r="AA176" s="15">
        <f>IF(K176&lt;M176,1,0)</f>
        <v/>
      </c>
      <c r="AB176" s="15" t="n"/>
      <c r="AC176" s="15">
        <f>LEFT(AG176,2)&amp;LEFT(AI176,2)</f>
        <v/>
      </c>
      <c r="AD176" s="15" t="n"/>
      <c r="AE176" s="15">
        <f>IF(K176&gt;L176,1,0)</f>
        <v/>
      </c>
      <c r="AF176" s="16">
        <f>IF(H176&gt;I176,1,0)</f>
        <v/>
      </c>
      <c r="AG176" s="16">
        <f>IF(SUM(AE176:AF176)=2,"Anticipatory_Buy","No_Action")</f>
        <v/>
      </c>
      <c r="AH176" s="15" t="n"/>
      <c r="AI176" s="15">
        <f>IF(SUM(AJ176:AK176)=2,"Confirm_Buy","No_Action")</f>
        <v/>
      </c>
      <c r="AJ176" s="15">
        <f>IF(H176&gt;I176,1,0)</f>
        <v/>
      </c>
      <c r="AK176" s="15">
        <f>IF(K176&gt;M176,1,0)</f>
        <v/>
      </c>
    </row>
    <row r="177" ht="14.5" customHeight="1">
      <c r="A177" s="12" t="inlineStr">
        <is>
          <t>KSCL</t>
        </is>
      </c>
      <c r="B177" s="13">
        <f>IFERROR(__xludf.DUMMYFUNCTION("GOOGLEFINANCE(""NSE:""&amp;A177,""PRICE"")"),940.1)</f>
        <v/>
      </c>
      <c r="C177" s="13">
        <f>IFERROR(__xludf.DUMMYFUNCTION("GOOGLEFINANCE(""NSE:""&amp;A177,""PRICEOPEN"")"),946.5)</f>
        <v/>
      </c>
      <c r="D177" s="13">
        <f>IFERROR(__xludf.DUMMYFUNCTION("GOOGLEFINANCE(""NSE:""&amp;A177,""HIGH"")"),954.75)</f>
        <v/>
      </c>
      <c r="E177" s="13">
        <f>IFERROR(__xludf.DUMMYFUNCTION("GOOGLEFINANCE(""NSE:""&amp;A177,""LOW"")"),931.55)</f>
        <v/>
      </c>
      <c r="F177" s="13">
        <f>IFERROR(__xludf.DUMMYFUNCTION("GOOGLEFINANCE(""NSE:""&amp;A177,""closeyest"")"),939.1)</f>
        <v/>
      </c>
      <c r="G177" s="14">
        <f>(B177-C177)/B177</f>
        <v/>
      </c>
      <c r="H177" s="13">
        <f>IFERROR(__xludf.DUMMYFUNCTION("GOOGLEFINANCE(""NSE:""&amp;A177,""VOLUME"")"),62678)</f>
        <v/>
      </c>
      <c r="I177" s="13">
        <f>IFERROR(__xludf.DUMMYFUNCTION("AVERAGE(index(GOOGLEFINANCE(""NSE:""&amp;$A177, ""volume"", today()-21, today()-1), , 2))"),"#N/A")</f>
        <v/>
      </c>
      <c r="J177" s="14">
        <f>(H177-I177)/I177</f>
        <v/>
      </c>
      <c r="K177" s="13">
        <f>IFERROR(__xludf.DUMMYFUNCTION("AVERAGE(index(GOOGLEFINANCE(""NSE:""&amp;$A177, ""close"", today()-6, today()-1), , 2))"),"#N/A")</f>
        <v/>
      </c>
      <c r="L177" s="13">
        <f>IFERROR(__xludf.DUMMYFUNCTION("AVERAGE(index(GOOGLEFINANCE(""NSE:""&amp;$A177, ""close"", today()-14, today()-1), , 2))"),"#N/A")</f>
        <v/>
      </c>
      <c r="M177" s="13">
        <f>IFERROR(__xludf.DUMMYFUNCTION("AVERAGE(index(GOOGLEFINANCE(""NSE:""&amp;$A177, ""close"", today()-22, today()-1), , 2))"),"#N/A")</f>
        <v/>
      </c>
      <c r="N177" s="13">
        <f>AG177</f>
        <v/>
      </c>
      <c r="O177" s="13">
        <f>AI177</f>
        <v/>
      </c>
      <c r="P177" s="13">
        <f>W177</f>
        <v/>
      </c>
      <c r="Q177" s="13">
        <f>Y177</f>
        <v/>
      </c>
      <c r="R177" s="15" t="n"/>
      <c r="S177" s="15">
        <f>LEFT(W177,2)&amp;LEFT(Y177,2)</f>
        <v/>
      </c>
      <c r="T177" s="15" t="n"/>
      <c r="U177" s="15">
        <f>IF(K177&lt;L177,1,0)</f>
        <v/>
      </c>
      <c r="V177" s="15">
        <f>IF(H177&gt;I177,1,0)</f>
        <v/>
      </c>
      <c r="W177" s="15">
        <f>IF(SUM(U177:V177)=2,"Anticipatory_Sell","No_Action")</f>
        <v/>
      </c>
      <c r="X177" s="15" t="n"/>
      <c r="Y177" s="15">
        <f>IF(SUM(Z177:AA177)=2,"Confirm_Sell","No_Action")</f>
        <v/>
      </c>
      <c r="Z177" s="15">
        <f>IF(H177&gt;I177,1,0)</f>
        <v/>
      </c>
      <c r="AA177" s="15">
        <f>IF(K177&lt;M177,1,0)</f>
        <v/>
      </c>
      <c r="AB177" s="15" t="n"/>
      <c r="AC177" s="15">
        <f>LEFT(AG177,2)&amp;LEFT(AI177,2)</f>
        <v/>
      </c>
      <c r="AD177" s="15" t="n"/>
      <c r="AE177" s="15">
        <f>IF(K177&gt;L177,1,0)</f>
        <v/>
      </c>
      <c r="AF177" s="16">
        <f>IF(H177&gt;I177,1,0)</f>
        <v/>
      </c>
      <c r="AG177" s="16">
        <f>IF(SUM(AE177:AF177)=2,"Anticipatory_Buy","No_Action")</f>
        <v/>
      </c>
      <c r="AH177" s="15" t="n"/>
      <c r="AI177" s="15">
        <f>IF(SUM(AJ177:AK177)=2,"Confirm_Buy","No_Action")</f>
        <v/>
      </c>
      <c r="AJ177" s="15">
        <f>IF(H177&gt;I177,1,0)</f>
        <v/>
      </c>
      <c r="AK177" s="15">
        <f>IF(K177&gt;M177,1,0)</f>
        <v/>
      </c>
    </row>
    <row r="178" ht="14.5" customHeight="1">
      <c r="A178" s="12" t="inlineStr">
        <is>
          <t>KAYNES</t>
        </is>
      </c>
      <c r="B178" s="13">
        <f>IFERROR(__xludf.DUMMYFUNCTION("GOOGLEFINANCE(""NSE:""&amp;A178,""PRICE"")"),6300)</f>
        <v/>
      </c>
      <c r="C178" s="13">
        <f>IFERROR(__xludf.DUMMYFUNCTION("GOOGLEFINANCE(""NSE:""&amp;A178,""PRICEOPEN"")"),6250)</f>
        <v/>
      </c>
      <c r="D178" s="13">
        <f>IFERROR(__xludf.DUMMYFUNCTION("GOOGLEFINANCE(""NSE:""&amp;A178,""HIGH"")"),6322.75)</f>
        <v/>
      </c>
      <c r="E178" s="13">
        <f>IFERROR(__xludf.DUMMYFUNCTION("GOOGLEFINANCE(""NSE:""&amp;A178,""LOW"")"),6191)</f>
        <v/>
      </c>
      <c r="F178" s="13">
        <f>IFERROR(__xludf.DUMMYFUNCTION("GOOGLEFINANCE(""NSE:""&amp;A178,""closeyest"")"),6232.7)</f>
        <v/>
      </c>
      <c r="G178" s="14">
        <f>(B178-C178)/B178</f>
        <v/>
      </c>
      <c r="H178" s="13">
        <f>IFERROR(__xludf.DUMMYFUNCTION("GOOGLEFINANCE(""NSE:""&amp;A178,""VOLUME"")"),247257)</f>
        <v/>
      </c>
      <c r="I178" s="13">
        <f>IFERROR(__xludf.DUMMYFUNCTION("AVERAGE(index(GOOGLEFINANCE(""NSE:""&amp;$A178, ""volume"", today()-21, today()-1), , 2))"),"#N/A")</f>
        <v/>
      </c>
      <c r="J178" s="14">
        <f>(H178-I178)/I178</f>
        <v/>
      </c>
      <c r="K178" s="13">
        <f>IFERROR(__xludf.DUMMYFUNCTION("AVERAGE(index(GOOGLEFINANCE(""NSE:""&amp;$A178, ""close"", today()-6, today()-1), , 2))"),"#N/A")</f>
        <v/>
      </c>
      <c r="L178" s="13">
        <f>IFERROR(__xludf.DUMMYFUNCTION("AVERAGE(index(GOOGLEFINANCE(""NSE:""&amp;$A178, ""close"", today()-14, today()-1), , 2))"),"#N/A")</f>
        <v/>
      </c>
      <c r="M178" s="13">
        <f>IFERROR(__xludf.DUMMYFUNCTION("AVERAGE(index(GOOGLEFINANCE(""NSE:""&amp;$A178, ""close"", today()-22, today()-1), , 2))"),"#N/A")</f>
        <v/>
      </c>
      <c r="N178" s="13">
        <f>AG178</f>
        <v/>
      </c>
      <c r="O178" s="13">
        <f>AI178</f>
        <v/>
      </c>
      <c r="P178" s="13">
        <f>W178</f>
        <v/>
      </c>
      <c r="Q178" s="13">
        <f>Y178</f>
        <v/>
      </c>
      <c r="R178" s="15" t="n"/>
      <c r="S178" s="15">
        <f>LEFT(W178,2)&amp;LEFT(Y178,2)</f>
        <v/>
      </c>
      <c r="T178" s="15" t="n"/>
      <c r="U178" s="15">
        <f>IF(K178&lt;L178,1,0)</f>
        <v/>
      </c>
      <c r="V178" s="15">
        <f>IF(H178&gt;I178,1,0)</f>
        <v/>
      </c>
      <c r="W178" s="15">
        <f>IF(SUM(U178:V178)=2,"Anticipatory_Sell","No_Action")</f>
        <v/>
      </c>
      <c r="X178" s="15" t="n"/>
      <c r="Y178" s="15">
        <f>IF(SUM(Z178:AA178)=2,"Confirm_Sell","No_Action")</f>
        <v/>
      </c>
      <c r="Z178" s="15">
        <f>IF(H178&gt;I178,1,0)</f>
        <v/>
      </c>
      <c r="AA178" s="15">
        <f>IF(K178&lt;M178,1,0)</f>
        <v/>
      </c>
      <c r="AB178" s="15" t="n"/>
      <c r="AC178" s="15">
        <f>LEFT(AG178,2)&amp;LEFT(AI178,2)</f>
        <v/>
      </c>
      <c r="AD178" s="15" t="n"/>
      <c r="AE178" s="15">
        <f>IF(K178&gt;L178,1,0)</f>
        <v/>
      </c>
      <c r="AF178" s="16">
        <f>IF(H178&gt;I178,1,0)</f>
        <v/>
      </c>
      <c r="AG178" s="16">
        <f>IF(SUM(AE178:AF178)=2,"Anticipatory_Buy","No_Action")</f>
        <v/>
      </c>
      <c r="AH178" s="15" t="n"/>
      <c r="AI178" s="15">
        <f>IF(SUM(AJ178:AK178)=2,"Confirm_Buy","No_Action")</f>
        <v/>
      </c>
      <c r="AJ178" s="15">
        <f>IF(H178&gt;I178,1,0)</f>
        <v/>
      </c>
      <c r="AK178" s="15">
        <f>IF(K178&gt;M178,1,0)</f>
        <v/>
      </c>
    </row>
    <row r="179" ht="14.5" customHeight="1">
      <c r="A179" s="12" t="inlineStr">
        <is>
          <t>KDDL</t>
        </is>
      </c>
      <c r="B179" s="13">
        <f>IFERROR(__xludf.DUMMYFUNCTION("GOOGLEFINANCE(""NSE:""&amp;A179,""PRICE"")"),2940)</f>
        <v/>
      </c>
      <c r="C179" s="13">
        <f>IFERROR(__xludf.DUMMYFUNCTION("GOOGLEFINANCE(""NSE:""&amp;A179,""PRICEOPEN"")"),2942.2)</f>
        <v/>
      </c>
      <c r="D179" s="13">
        <f>IFERROR(__xludf.DUMMYFUNCTION("GOOGLEFINANCE(""NSE:""&amp;A179,""HIGH"")"),2980)</f>
        <v/>
      </c>
      <c r="E179" s="13">
        <f>IFERROR(__xludf.DUMMYFUNCTION("GOOGLEFINANCE(""NSE:""&amp;A179,""LOW"")"),2895)</f>
        <v/>
      </c>
      <c r="F179" s="13">
        <f>IFERROR(__xludf.DUMMYFUNCTION("GOOGLEFINANCE(""NSE:""&amp;A179,""closeyest"")"),2942.2)</f>
        <v/>
      </c>
      <c r="G179" s="14">
        <f>(B179-C179)/B179</f>
        <v/>
      </c>
      <c r="H179" s="13">
        <f>IFERROR(__xludf.DUMMYFUNCTION("GOOGLEFINANCE(""NSE:""&amp;A179,""VOLUME"")"),12320)</f>
        <v/>
      </c>
      <c r="I179" s="13">
        <f>IFERROR(__xludf.DUMMYFUNCTION("AVERAGE(index(GOOGLEFINANCE(""NSE:""&amp;$A179, ""volume"", today()-21, today()-1), , 2))"),"#N/A")</f>
        <v/>
      </c>
      <c r="J179" s="14">
        <f>(H179-I179)/I179</f>
        <v/>
      </c>
      <c r="K179" s="13">
        <f>IFERROR(__xludf.DUMMYFUNCTION("AVERAGE(index(GOOGLEFINANCE(""NSE:""&amp;$A179, ""close"", today()-6, today()-1), , 2))"),"#N/A")</f>
        <v/>
      </c>
      <c r="L179" s="13">
        <f>IFERROR(__xludf.DUMMYFUNCTION("AVERAGE(index(GOOGLEFINANCE(""NSE:""&amp;$A179, ""close"", today()-14, today()-1), , 2))"),"#N/A")</f>
        <v/>
      </c>
      <c r="M179" s="13">
        <f>IFERROR(__xludf.DUMMYFUNCTION("AVERAGE(index(GOOGLEFINANCE(""NSE:""&amp;$A179, ""close"", today()-22, today()-1), , 2))"),"#N/A")</f>
        <v/>
      </c>
      <c r="N179" s="13">
        <f>AG179</f>
        <v/>
      </c>
      <c r="O179" s="13">
        <f>AI179</f>
        <v/>
      </c>
      <c r="P179" s="13">
        <f>W179</f>
        <v/>
      </c>
      <c r="Q179" s="13">
        <f>Y179</f>
        <v/>
      </c>
      <c r="R179" s="15" t="n"/>
      <c r="S179" s="15">
        <f>LEFT(W179,2)&amp;LEFT(Y179,2)</f>
        <v/>
      </c>
      <c r="T179" s="15" t="n"/>
      <c r="U179" s="15">
        <f>IF(K179&lt;L179,1,0)</f>
        <v/>
      </c>
      <c r="V179" s="15">
        <f>IF(H179&gt;I179,1,0)</f>
        <v/>
      </c>
      <c r="W179" s="15">
        <f>IF(SUM(U179:V179)=2,"Anticipatory_Sell","No_Action")</f>
        <v/>
      </c>
      <c r="X179" s="15" t="n"/>
      <c r="Y179" s="15">
        <f>IF(SUM(Z179:AA179)=2,"Confirm_Sell","No_Action")</f>
        <v/>
      </c>
      <c r="Z179" s="15">
        <f>IF(H179&gt;I179,1,0)</f>
        <v/>
      </c>
      <c r="AA179" s="15">
        <f>IF(K179&lt;M179,1,0)</f>
        <v/>
      </c>
      <c r="AB179" s="15" t="n"/>
      <c r="AC179" s="15">
        <f>LEFT(AG179,2)&amp;LEFT(AI179,2)</f>
        <v/>
      </c>
      <c r="AD179" s="15" t="n"/>
      <c r="AE179" s="15">
        <f>IF(K179&gt;L179,1,0)</f>
        <v/>
      </c>
      <c r="AF179" s="16">
        <f>IF(H179&gt;I179,1,0)</f>
        <v/>
      </c>
      <c r="AG179" s="16">
        <f>IF(SUM(AE179:AF179)=2,"Anticipatory_Buy","No_Action")</f>
        <v/>
      </c>
      <c r="AH179" s="15" t="n"/>
      <c r="AI179" s="15">
        <f>IF(SUM(AJ179:AK179)=2,"Confirm_Buy","No_Action")</f>
        <v/>
      </c>
      <c r="AJ179" s="15">
        <f>IF(H179&gt;I179,1,0)</f>
        <v/>
      </c>
      <c r="AK179" s="15">
        <f>IF(K179&gt;M179,1,0)</f>
        <v/>
      </c>
    </row>
    <row r="180" ht="14.5" customHeight="1">
      <c r="A180" s="12" t="inlineStr">
        <is>
          <t>KEI</t>
        </is>
      </c>
      <c r="B180" s="13">
        <f>IFERROR(__xludf.DUMMYFUNCTION("GOOGLEFINANCE(""NSE:""&amp;A180,""PRICE"")"),4479.9)</f>
        <v/>
      </c>
      <c r="C180" s="13">
        <f>IFERROR(__xludf.DUMMYFUNCTION("GOOGLEFINANCE(""NSE:""&amp;A180,""PRICEOPEN"")"),4510)</f>
        <v/>
      </c>
      <c r="D180" s="13">
        <f>IFERROR(__xludf.DUMMYFUNCTION("GOOGLEFINANCE(""NSE:""&amp;A180,""HIGH"")"),4520)</f>
        <v/>
      </c>
      <c r="E180" s="13">
        <f>IFERROR(__xludf.DUMMYFUNCTION("GOOGLEFINANCE(""NSE:""&amp;A180,""LOW"")"),4471.05)</f>
        <v/>
      </c>
      <c r="F180" s="13">
        <f>IFERROR(__xludf.DUMMYFUNCTION("GOOGLEFINANCE(""NSE:""&amp;A180,""closeyest"")"),4500.35)</f>
        <v/>
      </c>
      <c r="G180" s="14">
        <f>(B180-C180)/B180</f>
        <v/>
      </c>
      <c r="H180" s="13">
        <f>IFERROR(__xludf.DUMMYFUNCTION("GOOGLEFINANCE(""NSE:""&amp;A180,""VOLUME"")"),226946)</f>
        <v/>
      </c>
      <c r="I180" s="13">
        <f>IFERROR(__xludf.DUMMYFUNCTION("AVERAGE(index(GOOGLEFINANCE(""NSE:""&amp;$A180, ""volume"", today()-21, today()-1), , 2))"),"#N/A")</f>
        <v/>
      </c>
      <c r="J180" s="14">
        <f>(H180-I180)/I180</f>
        <v/>
      </c>
      <c r="K180" s="13">
        <f>IFERROR(__xludf.DUMMYFUNCTION("AVERAGE(index(GOOGLEFINANCE(""NSE:""&amp;$A180, ""close"", today()-6, today()-1), , 2))"),"#N/A")</f>
        <v/>
      </c>
      <c r="L180" s="13">
        <f>IFERROR(__xludf.DUMMYFUNCTION("AVERAGE(index(GOOGLEFINANCE(""NSE:""&amp;$A180, ""close"", today()-14, today()-1), , 2))"),"#N/A")</f>
        <v/>
      </c>
      <c r="M180" s="13">
        <f>IFERROR(__xludf.DUMMYFUNCTION("AVERAGE(index(GOOGLEFINANCE(""NSE:""&amp;$A180, ""close"", today()-22, today()-1), , 2))"),"#N/A")</f>
        <v/>
      </c>
      <c r="N180" s="13">
        <f>AG180</f>
        <v/>
      </c>
      <c r="O180" s="13">
        <f>AI180</f>
        <v/>
      </c>
      <c r="P180" s="13">
        <f>W180</f>
        <v/>
      </c>
      <c r="Q180" s="13">
        <f>Y180</f>
        <v/>
      </c>
      <c r="R180" s="15" t="n"/>
      <c r="S180" s="15">
        <f>LEFT(W180,2)&amp;LEFT(Y180,2)</f>
        <v/>
      </c>
      <c r="T180" s="15" t="n"/>
      <c r="U180" s="15">
        <f>IF(K180&lt;L180,1,0)</f>
        <v/>
      </c>
      <c r="V180" s="15">
        <f>IF(H180&gt;I180,1,0)</f>
        <v/>
      </c>
      <c r="W180" s="15">
        <f>IF(SUM(U180:V180)=2,"Anticipatory_Sell","No_Action")</f>
        <v/>
      </c>
      <c r="X180" s="15" t="n"/>
      <c r="Y180" s="15">
        <f>IF(SUM(Z180:AA180)=2,"Confirm_Sell","No_Action")</f>
        <v/>
      </c>
      <c r="Z180" s="15">
        <f>IF(H180&gt;I180,1,0)</f>
        <v/>
      </c>
      <c r="AA180" s="15">
        <f>IF(K180&lt;M180,1,0)</f>
        <v/>
      </c>
      <c r="AB180" s="15" t="n"/>
      <c r="AC180" s="15">
        <f>LEFT(AG180,2)&amp;LEFT(AI180,2)</f>
        <v/>
      </c>
      <c r="AD180" s="15" t="n"/>
      <c r="AE180" s="15">
        <f>IF(K180&gt;L180,1,0)</f>
        <v/>
      </c>
      <c r="AF180" s="16">
        <f>IF(H180&gt;I180,1,0)</f>
        <v/>
      </c>
      <c r="AG180" s="16">
        <f>IF(SUM(AE180:AF180)=2,"Anticipatory_Buy","No_Action")</f>
        <v/>
      </c>
      <c r="AH180" s="15" t="n"/>
      <c r="AI180" s="15">
        <f>IF(SUM(AJ180:AK180)=2,"Confirm_Buy","No_Action")</f>
        <v/>
      </c>
      <c r="AJ180" s="15">
        <f>IF(H180&gt;I180,1,0)</f>
        <v/>
      </c>
      <c r="AK180" s="15">
        <f>IF(K180&gt;M180,1,0)</f>
        <v/>
      </c>
    </row>
    <row r="181" ht="14.5" customHeight="1">
      <c r="A181" s="12" t="inlineStr">
        <is>
          <t>KENNAMET</t>
        </is>
      </c>
      <c r="B181" s="13">
        <f>IFERROR(__xludf.DUMMYFUNCTION("GOOGLEFINANCE(""NSE:""&amp;A181,""PRICE"")"),"#N/A")</f>
        <v/>
      </c>
      <c r="C181" s="13">
        <f>IFERROR(__xludf.DUMMYFUNCTION("GOOGLEFINANCE(""NSE:""&amp;A181,""PRICEOPEN"")"),"#N/A")</f>
        <v/>
      </c>
      <c r="D181" s="13">
        <f>IFERROR(__xludf.DUMMYFUNCTION("GOOGLEFINANCE(""NSE:""&amp;A181,""HIGH"")"),"#N/A")</f>
        <v/>
      </c>
      <c r="E181" s="13">
        <f>IFERROR(__xludf.DUMMYFUNCTION("GOOGLEFINANCE(""NSE:""&amp;A181,""LOW"")"),"#N/A")</f>
        <v/>
      </c>
      <c r="F181" s="13">
        <f>IFERROR(__xludf.DUMMYFUNCTION("GOOGLEFINANCE(""NSE:""&amp;A181,""closeyest"")"),"#N/A")</f>
        <v/>
      </c>
      <c r="G181" s="14">
        <f>(B181-C181)/B181</f>
        <v/>
      </c>
      <c r="H181" s="13">
        <f>IFERROR(__xludf.DUMMYFUNCTION("GOOGLEFINANCE(""NSE:""&amp;A181,""VOLUME"")"),"#N/A")</f>
        <v/>
      </c>
      <c r="I181" s="13">
        <f>IFERROR(__xludf.DUMMYFUNCTION("AVERAGE(index(GOOGLEFINANCE(""NSE:""&amp;$A181, ""volume"", today()-21, today()-1), , 2))"),"#N/A")</f>
        <v/>
      </c>
      <c r="J181" s="14">
        <f>(H181-I181)/I181</f>
        <v/>
      </c>
      <c r="K181" s="13">
        <f>IFERROR(__xludf.DUMMYFUNCTION("AVERAGE(index(GOOGLEFINANCE(""NSE:""&amp;$A181, ""close"", today()-6, today()-1), , 2))"),"#N/A")</f>
        <v/>
      </c>
      <c r="L181" s="13">
        <f>IFERROR(__xludf.DUMMYFUNCTION("AVERAGE(index(GOOGLEFINANCE(""NSE:""&amp;$A181, ""close"", today()-14, today()-1), , 2))"),"#N/A")</f>
        <v/>
      </c>
      <c r="M181" s="13">
        <f>IFERROR(__xludf.DUMMYFUNCTION("AVERAGE(index(GOOGLEFINANCE(""NSE:""&amp;$A181, ""close"", today()-22, today()-1), , 2))"),"#N/A")</f>
        <v/>
      </c>
      <c r="N181" s="13">
        <f>AG181</f>
        <v/>
      </c>
      <c r="O181" s="13">
        <f>AI181</f>
        <v/>
      </c>
      <c r="P181" s="13">
        <f>W181</f>
        <v/>
      </c>
      <c r="Q181" s="13">
        <f>Y181</f>
        <v/>
      </c>
      <c r="R181" s="15" t="n"/>
      <c r="S181" s="15">
        <f>LEFT(W181,2)&amp;LEFT(Y181,2)</f>
        <v/>
      </c>
      <c r="T181" s="15" t="n"/>
      <c r="U181" s="15">
        <f>IF(K181&lt;L181,1,0)</f>
        <v/>
      </c>
      <c r="V181" s="15">
        <f>IF(H181&gt;I181,1,0)</f>
        <v/>
      </c>
      <c r="W181" s="15">
        <f>IF(SUM(U181:V181)=2,"Anticipatory_Sell","No_Action")</f>
        <v/>
      </c>
      <c r="X181" s="15" t="n"/>
      <c r="Y181" s="15">
        <f>IF(SUM(Z181:AA181)=2,"Confirm_Sell","No_Action")</f>
        <v/>
      </c>
      <c r="Z181" s="15">
        <f>IF(H181&gt;I181,1,0)</f>
        <v/>
      </c>
      <c r="AA181" s="15">
        <f>IF(K181&lt;M181,1,0)</f>
        <v/>
      </c>
      <c r="AB181" s="15" t="n"/>
      <c r="AC181" s="15">
        <f>LEFT(AG181,2)&amp;LEFT(AI181,2)</f>
        <v/>
      </c>
      <c r="AD181" s="15" t="n"/>
      <c r="AE181" s="15">
        <f>IF(K181&gt;L181,1,0)</f>
        <v/>
      </c>
      <c r="AF181" s="16">
        <f>IF(H181&gt;I181,1,0)</f>
        <v/>
      </c>
      <c r="AG181" s="16">
        <f>IF(SUM(AE181:AF181)=2,"Anticipatory_Buy","No_Action")</f>
        <v/>
      </c>
      <c r="AH181" s="15" t="n"/>
      <c r="AI181" s="15">
        <f>IF(SUM(AJ181:AK181)=2,"Confirm_Buy","No_Action")</f>
        <v/>
      </c>
      <c r="AJ181" s="15">
        <f>IF(H181&gt;I181,1,0)</f>
        <v/>
      </c>
      <c r="AK181" s="15">
        <f>IF(K181&gt;M181,1,0)</f>
        <v/>
      </c>
    </row>
    <row r="182" ht="14.5" customHeight="1">
      <c r="A182" s="12" t="inlineStr">
        <is>
          <t>KKCL</t>
        </is>
      </c>
      <c r="B182" s="13">
        <f>IFERROR(__xludf.DUMMYFUNCTION("GOOGLEFINANCE(""NSE:""&amp;A182,""PRICE"")"),615)</f>
        <v/>
      </c>
      <c r="C182" s="13">
        <f>IFERROR(__xludf.DUMMYFUNCTION("GOOGLEFINANCE(""NSE:""&amp;A182,""PRICEOPEN"")"),623.8)</f>
        <v/>
      </c>
      <c r="D182" s="13">
        <f>IFERROR(__xludf.DUMMYFUNCTION("GOOGLEFINANCE(""NSE:""&amp;A182,""HIGH"")"),633.7)</f>
        <v/>
      </c>
      <c r="E182" s="13">
        <f>IFERROR(__xludf.DUMMYFUNCTION("GOOGLEFINANCE(""NSE:""&amp;A182,""LOW"")"),609.95)</f>
        <v/>
      </c>
      <c r="F182" s="13">
        <f>IFERROR(__xludf.DUMMYFUNCTION("GOOGLEFINANCE(""NSE:""&amp;A182,""closeyest"")"),616.8)</f>
        <v/>
      </c>
      <c r="G182" s="14">
        <f>(B182-C182)/B182</f>
        <v/>
      </c>
      <c r="H182" s="13">
        <f>IFERROR(__xludf.DUMMYFUNCTION("GOOGLEFINANCE(""NSE:""&amp;A182,""VOLUME"")"),64021)</f>
        <v/>
      </c>
      <c r="I182" s="13">
        <f>IFERROR(__xludf.DUMMYFUNCTION("AVERAGE(index(GOOGLEFINANCE(""NSE:""&amp;$A182, ""volume"", today()-21, today()-1), , 2))"),"#N/A")</f>
        <v/>
      </c>
      <c r="J182" s="14">
        <f>(H182-I182)/I182</f>
        <v/>
      </c>
      <c r="K182" s="13">
        <f>IFERROR(__xludf.DUMMYFUNCTION("AVERAGE(index(GOOGLEFINANCE(""NSE:""&amp;$A182, ""close"", today()-6, today()-1), , 2))"),"#N/A")</f>
        <v/>
      </c>
      <c r="L182" s="13">
        <f>IFERROR(__xludf.DUMMYFUNCTION("AVERAGE(index(GOOGLEFINANCE(""NSE:""&amp;$A182, ""close"", today()-14, today()-1), , 2))"),"#N/A")</f>
        <v/>
      </c>
      <c r="M182" s="13">
        <f>IFERROR(__xludf.DUMMYFUNCTION("AVERAGE(index(GOOGLEFINANCE(""NSE:""&amp;$A182, ""close"", today()-22, today()-1), , 2))"),"#N/A")</f>
        <v/>
      </c>
      <c r="N182" s="13">
        <f>AG182</f>
        <v/>
      </c>
      <c r="O182" s="13">
        <f>AI182</f>
        <v/>
      </c>
      <c r="P182" s="13">
        <f>W182</f>
        <v/>
      </c>
      <c r="Q182" s="13">
        <f>Y182</f>
        <v/>
      </c>
      <c r="R182" s="15" t="n"/>
      <c r="S182" s="15">
        <f>LEFT(W182,2)&amp;LEFT(Y182,2)</f>
        <v/>
      </c>
      <c r="T182" s="15" t="n"/>
      <c r="U182" s="15">
        <f>IF(K182&lt;L182,1,0)</f>
        <v/>
      </c>
      <c r="V182" s="15">
        <f>IF(H182&gt;I182,1,0)</f>
        <v/>
      </c>
      <c r="W182" s="15">
        <f>IF(SUM(U182:V182)=2,"Anticipatory_Sell","No_Action")</f>
        <v/>
      </c>
      <c r="X182" s="15" t="n"/>
      <c r="Y182" s="15">
        <f>IF(SUM(Z182:AA182)=2,"Confirm_Sell","No_Action")</f>
        <v/>
      </c>
      <c r="Z182" s="15">
        <f>IF(H182&gt;I182,1,0)</f>
        <v/>
      </c>
      <c r="AA182" s="15">
        <f>IF(K182&lt;M182,1,0)</f>
        <v/>
      </c>
      <c r="AB182" s="15" t="n"/>
      <c r="AC182" s="15">
        <f>LEFT(AG182,2)&amp;LEFT(AI182,2)</f>
        <v/>
      </c>
      <c r="AD182" s="15" t="n"/>
      <c r="AE182" s="15">
        <f>IF(K182&gt;L182,1,0)</f>
        <v/>
      </c>
      <c r="AF182" s="16">
        <f>IF(H182&gt;I182,1,0)</f>
        <v/>
      </c>
      <c r="AG182" s="16">
        <f>IF(SUM(AE182:AF182)=2,"Anticipatory_Buy","No_Action")</f>
        <v/>
      </c>
      <c r="AH182" s="15" t="n"/>
      <c r="AI182" s="15">
        <f>IF(SUM(AJ182:AK182)=2,"Confirm_Buy","No_Action")</f>
        <v/>
      </c>
      <c r="AJ182" s="15">
        <f>IF(H182&gt;I182,1,0)</f>
        <v/>
      </c>
      <c r="AK182" s="15">
        <f>IF(K182&gt;M182,1,0)</f>
        <v/>
      </c>
    </row>
    <row r="183" ht="14.5" customHeight="1">
      <c r="A183" s="12" t="inlineStr">
        <is>
          <t>KFINTECH</t>
        </is>
      </c>
      <c r="B183" s="13">
        <f>IFERROR(__xludf.DUMMYFUNCTION("GOOGLEFINANCE(""NSE:""&amp;A183,""PRICE"")"),1261.1)</f>
        <v/>
      </c>
      <c r="C183" s="13">
        <f>IFERROR(__xludf.DUMMYFUNCTION("GOOGLEFINANCE(""NSE:""&amp;A183,""PRICEOPEN"")"),1271.4)</f>
        <v/>
      </c>
      <c r="D183" s="13">
        <f>IFERROR(__xludf.DUMMYFUNCTION("GOOGLEFINANCE(""NSE:""&amp;A183,""HIGH"")"),1295.15)</f>
        <v/>
      </c>
      <c r="E183" s="13">
        <f>IFERROR(__xludf.DUMMYFUNCTION("GOOGLEFINANCE(""NSE:""&amp;A183,""LOW"")"),1251.75)</f>
        <v/>
      </c>
      <c r="F183" s="13">
        <f>IFERROR(__xludf.DUMMYFUNCTION("GOOGLEFINANCE(""NSE:""&amp;A183,""closeyest"")"),1271.4)</f>
        <v/>
      </c>
      <c r="G183" s="14">
        <f>(B183-C183)/B183</f>
        <v/>
      </c>
      <c r="H183" s="13">
        <f>IFERROR(__xludf.DUMMYFUNCTION("GOOGLEFINANCE(""NSE:""&amp;A183,""VOLUME"")"),743633)</f>
        <v/>
      </c>
      <c r="I183" s="13">
        <f>IFERROR(__xludf.DUMMYFUNCTION("AVERAGE(index(GOOGLEFINANCE(""NSE:""&amp;$A183, ""volume"", today()-21, today()-1), , 2))"),"#N/A")</f>
        <v/>
      </c>
      <c r="J183" s="14">
        <f>(H183-I183)/I183</f>
        <v/>
      </c>
      <c r="K183" s="13">
        <f>IFERROR(__xludf.DUMMYFUNCTION("AVERAGE(index(GOOGLEFINANCE(""NSE:""&amp;$A183, ""close"", today()-6, today()-1), , 2))"),"#N/A")</f>
        <v/>
      </c>
      <c r="L183" s="13">
        <f>IFERROR(__xludf.DUMMYFUNCTION("AVERAGE(index(GOOGLEFINANCE(""NSE:""&amp;$A183, ""close"", today()-14, today()-1), , 2))"),"#N/A")</f>
        <v/>
      </c>
      <c r="M183" s="13">
        <f>IFERROR(__xludf.DUMMYFUNCTION("AVERAGE(index(GOOGLEFINANCE(""NSE:""&amp;$A183, ""close"", today()-22, today()-1), , 2))"),"#N/A")</f>
        <v/>
      </c>
      <c r="N183" s="13">
        <f>AG183</f>
        <v/>
      </c>
      <c r="O183" s="13">
        <f>AI183</f>
        <v/>
      </c>
      <c r="P183" s="13">
        <f>W183</f>
        <v/>
      </c>
      <c r="Q183" s="13">
        <f>Y183</f>
        <v/>
      </c>
      <c r="R183" s="15" t="n"/>
      <c r="S183" s="15">
        <f>LEFT(W183,2)&amp;LEFT(Y183,2)</f>
        <v/>
      </c>
      <c r="T183" s="15" t="n"/>
      <c r="U183" s="15">
        <f>IF(K183&lt;L183,1,0)</f>
        <v/>
      </c>
      <c r="V183" s="15">
        <f>IF(H183&gt;I183,1,0)</f>
        <v/>
      </c>
      <c r="W183" s="15">
        <f>IF(SUM(U183:V183)=2,"Anticipatory_Sell","No_Action")</f>
        <v/>
      </c>
      <c r="X183" s="15" t="n"/>
      <c r="Y183" s="15">
        <f>IF(SUM(Z183:AA183)=2,"Confirm_Sell","No_Action")</f>
        <v/>
      </c>
      <c r="Z183" s="15">
        <f>IF(H183&gt;I183,1,0)</f>
        <v/>
      </c>
      <c r="AA183" s="15">
        <f>IF(K183&lt;M183,1,0)</f>
        <v/>
      </c>
      <c r="AB183" s="15" t="n"/>
      <c r="AC183" s="15">
        <f>LEFT(AG183,2)&amp;LEFT(AI183,2)</f>
        <v/>
      </c>
      <c r="AD183" s="15" t="n"/>
      <c r="AE183" s="15">
        <f>IF(K183&gt;L183,1,0)</f>
        <v/>
      </c>
      <c r="AF183" s="16">
        <f>IF(H183&gt;I183,1,0)</f>
        <v/>
      </c>
      <c r="AG183" s="16">
        <f>IF(SUM(AE183:AF183)=2,"Anticipatory_Buy","No_Action")</f>
        <v/>
      </c>
      <c r="AH183" s="15" t="n"/>
      <c r="AI183" s="15">
        <f>IF(SUM(AJ183:AK183)=2,"Confirm_Buy","No_Action")</f>
        <v/>
      </c>
      <c r="AJ183" s="15">
        <f>IF(H183&gt;I183,1,0)</f>
        <v/>
      </c>
      <c r="AK183" s="15">
        <f>IF(K183&gt;M183,1,0)</f>
        <v/>
      </c>
    </row>
    <row r="184" ht="14.5" customHeight="1">
      <c r="A184" s="12" t="inlineStr">
        <is>
          <t>KIRIINDUS</t>
        </is>
      </c>
      <c r="B184" s="13">
        <f>IFERROR(__xludf.DUMMYFUNCTION("GOOGLEFINANCE(""NSE:""&amp;A184,""PRICE"")"),602.9)</f>
        <v/>
      </c>
      <c r="C184" s="13">
        <f>IFERROR(__xludf.DUMMYFUNCTION("GOOGLEFINANCE(""NSE:""&amp;A184,""PRICEOPEN"")"),605.3)</f>
        <v/>
      </c>
      <c r="D184" s="13">
        <f>IFERROR(__xludf.DUMMYFUNCTION("GOOGLEFINANCE(""NSE:""&amp;A184,""HIGH"")"),625.85)</f>
        <v/>
      </c>
      <c r="E184" s="13">
        <f>IFERROR(__xludf.DUMMYFUNCTION("GOOGLEFINANCE(""NSE:""&amp;A184,""LOW"")"),597.3)</f>
        <v/>
      </c>
      <c r="F184" s="13">
        <f>IFERROR(__xludf.DUMMYFUNCTION("GOOGLEFINANCE(""NSE:""&amp;A184,""closeyest"")"),604.55)</f>
        <v/>
      </c>
      <c r="G184" s="14">
        <f>(B184-C184)/B184</f>
        <v/>
      </c>
      <c r="H184" s="13">
        <f>IFERROR(__xludf.DUMMYFUNCTION("GOOGLEFINANCE(""NSE:""&amp;A184,""VOLUME"")"),456548)</f>
        <v/>
      </c>
      <c r="I184" s="13">
        <f>IFERROR(__xludf.DUMMYFUNCTION("AVERAGE(index(GOOGLEFINANCE(""NSE:""&amp;$A184, ""volume"", today()-21, today()-1), , 2))"),"#N/A")</f>
        <v/>
      </c>
      <c r="J184" s="14">
        <f>(H184-I184)/I184</f>
        <v/>
      </c>
      <c r="K184" s="13">
        <f>IFERROR(__xludf.DUMMYFUNCTION("AVERAGE(index(GOOGLEFINANCE(""NSE:""&amp;$A184, ""close"", today()-6, today()-1), , 2))"),"#N/A")</f>
        <v/>
      </c>
      <c r="L184" s="13">
        <f>IFERROR(__xludf.DUMMYFUNCTION("AVERAGE(index(GOOGLEFINANCE(""NSE:""&amp;$A184, ""close"", today()-14, today()-1), , 2))"),"#N/A")</f>
        <v/>
      </c>
      <c r="M184" s="13">
        <f>IFERROR(__xludf.DUMMYFUNCTION("AVERAGE(index(GOOGLEFINANCE(""NSE:""&amp;$A184, ""close"", today()-22, today()-1), , 2))"),"#N/A")</f>
        <v/>
      </c>
      <c r="N184" s="13">
        <f>AG184</f>
        <v/>
      </c>
      <c r="O184" s="13">
        <f>AI184</f>
        <v/>
      </c>
      <c r="P184" s="13">
        <f>W184</f>
        <v/>
      </c>
      <c r="Q184" s="13">
        <f>Y184</f>
        <v/>
      </c>
      <c r="R184" s="15" t="n"/>
      <c r="S184" s="15">
        <f>LEFT(W184,2)&amp;LEFT(Y184,2)</f>
        <v/>
      </c>
      <c r="T184" s="15" t="n"/>
      <c r="U184" s="15">
        <f>IF(K184&lt;L184,1,0)</f>
        <v/>
      </c>
      <c r="V184" s="15">
        <f>IF(H184&gt;I184,1,0)</f>
        <v/>
      </c>
      <c r="W184" s="15">
        <f>IF(SUM(U184:V184)=2,"Anticipatory_Sell","No_Action")</f>
        <v/>
      </c>
      <c r="X184" s="15" t="n"/>
      <c r="Y184" s="15">
        <f>IF(SUM(Z184:AA184)=2,"Confirm_Sell","No_Action")</f>
        <v/>
      </c>
      <c r="Z184" s="15">
        <f>IF(H184&gt;I184,1,0)</f>
        <v/>
      </c>
      <c r="AA184" s="15">
        <f>IF(K184&lt;M184,1,0)</f>
        <v/>
      </c>
      <c r="AB184" s="15" t="n"/>
      <c r="AC184" s="15">
        <f>LEFT(AG184,2)&amp;LEFT(AI184,2)</f>
        <v/>
      </c>
      <c r="AD184" s="15" t="n"/>
      <c r="AE184" s="15">
        <f>IF(K184&gt;L184,1,0)</f>
        <v/>
      </c>
      <c r="AF184" s="16">
        <f>IF(H184&gt;I184,1,0)</f>
        <v/>
      </c>
      <c r="AG184" s="16">
        <f>IF(SUM(AE184:AF184)=2,"Anticipatory_Buy","No_Action")</f>
        <v/>
      </c>
      <c r="AH184" s="15" t="n"/>
      <c r="AI184" s="15">
        <f>IF(SUM(AJ184:AK184)=2,"Confirm_Buy","No_Action")</f>
        <v/>
      </c>
      <c r="AJ184" s="15">
        <f>IF(H184&gt;I184,1,0)</f>
        <v/>
      </c>
      <c r="AK184" s="15">
        <f>IF(K184&gt;M184,1,0)</f>
        <v/>
      </c>
    </row>
    <row r="185" ht="14.5" customHeight="1">
      <c r="A185" s="12" t="inlineStr">
        <is>
          <t>KIRLFER</t>
        </is>
      </c>
      <c r="B185" s="13">
        <f>IFERROR(__xludf.DUMMYFUNCTION("GOOGLEFINANCE(""NSE:""&amp;A185,""PRICE"")"),"#N/A")</f>
        <v/>
      </c>
      <c r="C185" s="13">
        <f>IFERROR(__xludf.DUMMYFUNCTION("GOOGLEFINANCE(""NSE:""&amp;A185,""PRICEOPEN"")"),"#N/A")</f>
        <v/>
      </c>
      <c r="D185" s="13">
        <f>IFERROR(__xludf.DUMMYFUNCTION("GOOGLEFINANCE(""NSE:""&amp;A185,""HIGH"")"),"#N/A")</f>
        <v/>
      </c>
      <c r="E185" s="13">
        <f>IFERROR(__xludf.DUMMYFUNCTION("GOOGLEFINANCE(""NSE:""&amp;A185,""LOW"")"),"#N/A")</f>
        <v/>
      </c>
      <c r="F185" s="13">
        <f>IFERROR(__xludf.DUMMYFUNCTION("GOOGLEFINANCE(""NSE:""&amp;A185,""closeyest"")"),"#N/A")</f>
        <v/>
      </c>
      <c r="G185" s="14">
        <f>(B185-C185)/B185</f>
        <v/>
      </c>
      <c r="H185" s="13">
        <f>IFERROR(__xludf.DUMMYFUNCTION("GOOGLEFINANCE(""NSE:""&amp;A185,""VOLUME"")"),"#N/A")</f>
        <v/>
      </c>
      <c r="I185" s="13">
        <f>IFERROR(__xludf.DUMMYFUNCTION("AVERAGE(index(GOOGLEFINANCE(""NSE:""&amp;$A185, ""volume"", today()-21, today()-1), , 2))"),"#N/A")</f>
        <v/>
      </c>
      <c r="J185" s="14">
        <f>(H185-I185)/I185</f>
        <v/>
      </c>
      <c r="K185" s="13">
        <f>IFERROR(__xludf.DUMMYFUNCTION("AVERAGE(index(GOOGLEFINANCE(""NSE:""&amp;$A185, ""close"", today()-6, today()-1), , 2))"),"#N/A")</f>
        <v/>
      </c>
      <c r="L185" s="13">
        <f>IFERROR(__xludf.DUMMYFUNCTION("AVERAGE(index(GOOGLEFINANCE(""NSE:""&amp;$A185, ""close"", today()-14, today()-1), , 2))"),"#N/A")</f>
        <v/>
      </c>
      <c r="M185" s="13">
        <f>IFERROR(__xludf.DUMMYFUNCTION("AVERAGE(index(GOOGLEFINANCE(""NSE:""&amp;$A185, ""close"", today()-22, today()-1), , 2))"),"#N/A")</f>
        <v/>
      </c>
      <c r="N185" s="13">
        <f>AG185</f>
        <v/>
      </c>
      <c r="O185" s="13">
        <f>AI185</f>
        <v/>
      </c>
      <c r="P185" s="13">
        <f>W185</f>
        <v/>
      </c>
      <c r="Q185" s="13">
        <f>Y185</f>
        <v/>
      </c>
      <c r="R185" s="15" t="n"/>
      <c r="S185" s="15">
        <f>LEFT(W185,2)&amp;LEFT(Y185,2)</f>
        <v/>
      </c>
      <c r="T185" s="15" t="n"/>
      <c r="U185" s="15">
        <f>IF(K185&lt;L185,1,0)</f>
        <v/>
      </c>
      <c r="V185" s="15">
        <f>IF(H185&gt;I185,1,0)</f>
        <v/>
      </c>
      <c r="W185" s="15">
        <f>IF(SUM(U185:V185)=2,"Anticipatory_Sell","No_Action")</f>
        <v/>
      </c>
      <c r="X185" s="15" t="n"/>
      <c r="Y185" s="15">
        <f>IF(SUM(Z185:AA185)=2,"Confirm_Sell","No_Action")</f>
        <v/>
      </c>
      <c r="Z185" s="15">
        <f>IF(H185&gt;I185,1,0)</f>
        <v/>
      </c>
      <c r="AA185" s="15">
        <f>IF(K185&lt;M185,1,0)</f>
        <v/>
      </c>
      <c r="AB185" s="15" t="n"/>
      <c r="AC185" s="15">
        <f>LEFT(AG185,2)&amp;LEFT(AI185,2)</f>
        <v/>
      </c>
      <c r="AD185" s="15" t="n"/>
      <c r="AE185" s="15">
        <f>IF(K185&gt;L185,1,0)</f>
        <v/>
      </c>
      <c r="AF185" s="16">
        <f>IF(H185&gt;I185,1,0)</f>
        <v/>
      </c>
      <c r="AG185" s="16">
        <f>IF(SUM(AE185:AF185)=2,"Anticipatory_Buy","No_Action")</f>
        <v/>
      </c>
      <c r="AH185" s="15" t="n"/>
      <c r="AI185" s="15">
        <f>IF(SUM(AJ185:AK185)=2,"Confirm_Buy","No_Action")</f>
        <v/>
      </c>
      <c r="AJ185" s="15">
        <f>IF(H185&gt;I185,1,0)</f>
        <v/>
      </c>
      <c r="AK185" s="15">
        <f>IF(K185&gt;M185,1,0)</f>
        <v/>
      </c>
    </row>
    <row r="186" ht="14.5" customHeight="1">
      <c r="A186" s="12" t="inlineStr">
        <is>
          <t>KIRLPNU</t>
        </is>
      </c>
      <c r="B186" s="13">
        <f>IFERROR(__xludf.DUMMYFUNCTION("GOOGLEFINANCE(""NSE:""&amp;A186,""PRICE"")"),"#N/A")</f>
        <v/>
      </c>
      <c r="C186" s="13">
        <f>IFERROR(__xludf.DUMMYFUNCTION("GOOGLEFINANCE(""NSE:""&amp;A186,""PRICEOPEN"")"),"#N/A")</f>
        <v/>
      </c>
      <c r="D186" s="13">
        <f>IFERROR(__xludf.DUMMYFUNCTION("GOOGLEFINANCE(""NSE:""&amp;A186,""HIGH"")"),"#N/A")</f>
        <v/>
      </c>
      <c r="E186" s="13">
        <f>IFERROR(__xludf.DUMMYFUNCTION("GOOGLEFINANCE(""NSE:""&amp;A186,""LOW"")"),"#N/A")</f>
        <v/>
      </c>
      <c r="F186" s="13">
        <f>IFERROR(__xludf.DUMMYFUNCTION("GOOGLEFINANCE(""NSE:""&amp;A186,""closeyest"")"),"#N/A")</f>
        <v/>
      </c>
      <c r="G186" s="14">
        <f>(B186-C186)/B186</f>
        <v/>
      </c>
      <c r="H186" s="13">
        <f>IFERROR(__xludf.DUMMYFUNCTION("GOOGLEFINANCE(""NSE:""&amp;A186,""VOLUME"")"),"#N/A")</f>
        <v/>
      </c>
      <c r="I186" s="13">
        <f>IFERROR(__xludf.DUMMYFUNCTION("AVERAGE(index(GOOGLEFINANCE(""NSE:""&amp;$A186, ""volume"", today()-21, today()-1), , 2))"),"#N/A")</f>
        <v/>
      </c>
      <c r="J186" s="14">
        <f>(H186-I186)/I186</f>
        <v/>
      </c>
      <c r="K186" s="13">
        <f>IFERROR(__xludf.DUMMYFUNCTION("AVERAGE(index(GOOGLEFINANCE(""NSE:""&amp;$A186, ""close"", today()-6, today()-1), , 2))"),"#N/A")</f>
        <v/>
      </c>
      <c r="L186" s="13">
        <f>IFERROR(__xludf.DUMMYFUNCTION("AVERAGE(index(GOOGLEFINANCE(""NSE:""&amp;$A186, ""close"", today()-14, today()-1), , 2))"),"#N/A")</f>
        <v/>
      </c>
      <c r="M186" s="13">
        <f>IFERROR(__xludf.DUMMYFUNCTION("AVERAGE(index(GOOGLEFINANCE(""NSE:""&amp;$A186, ""close"", today()-22, today()-1), , 2))"),"#N/A")</f>
        <v/>
      </c>
      <c r="N186" s="13">
        <f>AG186</f>
        <v/>
      </c>
      <c r="O186" s="13">
        <f>AI186</f>
        <v/>
      </c>
      <c r="P186" s="13">
        <f>W186</f>
        <v/>
      </c>
      <c r="Q186" s="13">
        <f>Y186</f>
        <v/>
      </c>
      <c r="R186" s="15" t="n"/>
      <c r="S186" s="15">
        <f>LEFT(W186,2)&amp;LEFT(Y186,2)</f>
        <v/>
      </c>
      <c r="T186" s="15" t="n"/>
      <c r="U186" s="15">
        <f>IF(K186&lt;L186,1,0)</f>
        <v/>
      </c>
      <c r="V186" s="15">
        <f>IF(H186&gt;I186,1,0)</f>
        <v/>
      </c>
      <c r="W186" s="15">
        <f>IF(SUM(U186:V186)=2,"Anticipatory_Sell","No_Action")</f>
        <v/>
      </c>
      <c r="X186" s="15" t="n"/>
      <c r="Y186" s="15">
        <f>IF(SUM(Z186:AA186)=2,"Confirm_Sell","No_Action")</f>
        <v/>
      </c>
      <c r="Z186" s="15">
        <f>IF(H186&gt;I186,1,0)</f>
        <v/>
      </c>
      <c r="AA186" s="15">
        <f>IF(K186&lt;M186,1,0)</f>
        <v/>
      </c>
      <c r="AB186" s="15" t="n"/>
      <c r="AC186" s="15">
        <f>LEFT(AG186,2)&amp;LEFT(AI186,2)</f>
        <v/>
      </c>
      <c r="AD186" s="15" t="n"/>
      <c r="AE186" s="15">
        <f>IF(K186&gt;L186,1,0)</f>
        <v/>
      </c>
      <c r="AF186" s="16">
        <f>IF(H186&gt;I186,1,0)</f>
        <v/>
      </c>
      <c r="AG186" s="16">
        <f>IF(SUM(AE186:AF186)=2,"Anticipatory_Buy","No_Action")</f>
        <v/>
      </c>
      <c r="AH186" s="15" t="n"/>
      <c r="AI186" s="15">
        <f>IF(SUM(AJ186:AK186)=2,"Confirm_Buy","No_Action")</f>
        <v/>
      </c>
      <c r="AJ186" s="15">
        <f>IF(H186&gt;I186,1,0)</f>
        <v/>
      </c>
      <c r="AK186" s="15">
        <f>IF(K186&gt;M186,1,0)</f>
        <v/>
      </c>
    </row>
    <row r="187" ht="14.5" customHeight="1">
      <c r="A187" s="12" t="inlineStr">
        <is>
          <t>KMEW</t>
        </is>
      </c>
      <c r="B187" s="13">
        <f>IFERROR(__xludf.DUMMYFUNCTION("GOOGLEFINANCE(""NSE:""&amp;A187,""PRICE"")"),2262)</f>
        <v/>
      </c>
      <c r="C187" s="13">
        <f>IFERROR(__xludf.DUMMYFUNCTION("GOOGLEFINANCE(""NSE:""&amp;A187,""PRICEOPEN"")"),2358.75)</f>
        <v/>
      </c>
      <c r="D187" s="13">
        <f>IFERROR(__xludf.DUMMYFUNCTION("GOOGLEFINANCE(""NSE:""&amp;A187,""HIGH"")"),2369.95)</f>
        <v/>
      </c>
      <c r="E187" s="13">
        <f>IFERROR(__xludf.DUMMYFUNCTION("GOOGLEFINANCE(""NSE:""&amp;A187,""LOW"")"),2250)</f>
        <v/>
      </c>
      <c r="F187" s="13">
        <f>IFERROR(__xludf.DUMMYFUNCTION("GOOGLEFINANCE(""NSE:""&amp;A187,""closeyest"")"),2338.1)</f>
        <v/>
      </c>
      <c r="G187" s="14">
        <f>(B187-C187)/B187</f>
        <v/>
      </c>
      <c r="H187" s="13">
        <f>IFERROR(__xludf.DUMMYFUNCTION("GOOGLEFINANCE(""NSE:""&amp;A187,""VOLUME"")"),28356)</f>
        <v/>
      </c>
      <c r="I187" s="13">
        <f>IFERROR(__xludf.DUMMYFUNCTION("AVERAGE(index(GOOGLEFINANCE(""NSE:""&amp;$A187, ""volume"", today()-21, today()-1), , 2))"),"#N/A")</f>
        <v/>
      </c>
      <c r="J187" s="14">
        <f>(H187-I187)/I187</f>
        <v/>
      </c>
      <c r="K187" s="13">
        <f>IFERROR(__xludf.DUMMYFUNCTION("AVERAGE(index(GOOGLEFINANCE(""NSE:""&amp;$A187, ""close"", today()-6, today()-1), , 2))"),"#N/A")</f>
        <v/>
      </c>
      <c r="L187" s="13">
        <f>IFERROR(__xludf.DUMMYFUNCTION("AVERAGE(index(GOOGLEFINANCE(""NSE:""&amp;$A187, ""close"", today()-14, today()-1), , 2))"),"#N/A")</f>
        <v/>
      </c>
      <c r="M187" s="13">
        <f>IFERROR(__xludf.DUMMYFUNCTION("AVERAGE(index(GOOGLEFINANCE(""NSE:""&amp;$A187, ""close"", today()-22, today()-1), , 2))"),"#N/A")</f>
        <v/>
      </c>
      <c r="N187" s="13">
        <f>AG187</f>
        <v/>
      </c>
      <c r="O187" s="13">
        <f>AI187</f>
        <v/>
      </c>
      <c r="P187" s="13">
        <f>W187</f>
        <v/>
      </c>
      <c r="Q187" s="13">
        <f>Y187</f>
        <v/>
      </c>
      <c r="R187" s="15" t="n"/>
      <c r="S187" s="15">
        <f>LEFT(W187,2)&amp;LEFT(Y187,2)</f>
        <v/>
      </c>
      <c r="T187" s="15" t="n"/>
      <c r="U187" s="15">
        <f>IF(K187&lt;L187,1,0)</f>
        <v/>
      </c>
      <c r="V187" s="15">
        <f>IF(H187&gt;I187,1,0)</f>
        <v/>
      </c>
      <c r="W187" s="15">
        <f>IF(SUM(U187:V187)=2,"Anticipatory_Sell","No_Action")</f>
        <v/>
      </c>
      <c r="X187" s="15" t="n"/>
      <c r="Y187" s="15">
        <f>IF(SUM(Z187:AA187)=2,"Confirm_Sell","No_Action")</f>
        <v/>
      </c>
      <c r="Z187" s="15">
        <f>IF(H187&gt;I187,1,0)</f>
        <v/>
      </c>
      <c r="AA187" s="15">
        <f>IF(K187&lt;M187,1,0)</f>
        <v/>
      </c>
      <c r="AB187" s="15" t="n"/>
      <c r="AC187" s="15">
        <f>LEFT(AG187,2)&amp;LEFT(AI187,2)</f>
        <v/>
      </c>
      <c r="AD187" s="15" t="n"/>
      <c r="AE187" s="15">
        <f>IF(K187&gt;L187,1,0)</f>
        <v/>
      </c>
      <c r="AF187" s="16">
        <f>IF(H187&gt;I187,1,0)</f>
        <v/>
      </c>
      <c r="AG187" s="16">
        <f>IF(SUM(AE187:AF187)=2,"Anticipatory_Buy","No_Action")</f>
        <v/>
      </c>
      <c r="AH187" s="15" t="n"/>
      <c r="AI187" s="15">
        <f>IF(SUM(AJ187:AK187)=2,"Confirm_Buy","No_Action")</f>
        <v/>
      </c>
      <c r="AJ187" s="15">
        <f>IF(H187&gt;I187,1,0)</f>
        <v/>
      </c>
      <c r="AK187" s="15">
        <f>IF(K187&gt;M187,1,0)</f>
        <v/>
      </c>
    </row>
    <row r="188" ht="14.5" customHeight="1">
      <c r="A188" s="12" t="inlineStr">
        <is>
          <t>KNRCON</t>
        </is>
      </c>
      <c r="B188" s="13">
        <f>IFERROR(__xludf.DUMMYFUNCTION("GOOGLEFINANCE(""NSE:""&amp;A188,""PRICE"")"),339)</f>
        <v/>
      </c>
      <c r="C188" s="13">
        <f>IFERROR(__xludf.DUMMYFUNCTION("GOOGLEFINANCE(""NSE:""&amp;A188,""PRICEOPEN"")"),340.4)</f>
        <v/>
      </c>
      <c r="D188" s="13">
        <f>IFERROR(__xludf.DUMMYFUNCTION("GOOGLEFINANCE(""NSE:""&amp;A188,""HIGH"")"),344.55)</f>
        <v/>
      </c>
      <c r="E188" s="13">
        <f>IFERROR(__xludf.DUMMYFUNCTION("GOOGLEFINANCE(""NSE:""&amp;A188,""LOW"")"),337.6)</f>
        <v/>
      </c>
      <c r="F188" s="13">
        <f>IFERROR(__xludf.DUMMYFUNCTION("GOOGLEFINANCE(""NSE:""&amp;A188,""closeyest"")"),338.85)</f>
        <v/>
      </c>
      <c r="G188" s="14">
        <f>(B188-C188)/B188</f>
        <v/>
      </c>
      <c r="H188" s="13">
        <f>IFERROR(__xludf.DUMMYFUNCTION("GOOGLEFINANCE(""NSE:""&amp;A188,""VOLUME"")"),687006)</f>
        <v/>
      </c>
      <c r="I188" s="13">
        <f>IFERROR(__xludf.DUMMYFUNCTION("AVERAGE(index(GOOGLEFINANCE(""NSE:""&amp;$A188, ""volume"", today()-21, today()-1), , 2))"),"#N/A")</f>
        <v/>
      </c>
      <c r="J188" s="14">
        <f>(H188-I188)/I188</f>
        <v/>
      </c>
      <c r="K188" s="13">
        <f>IFERROR(__xludf.DUMMYFUNCTION("AVERAGE(index(GOOGLEFINANCE(""NSE:""&amp;$A188, ""close"", today()-6, today()-1), , 2))"),"#N/A")</f>
        <v/>
      </c>
      <c r="L188" s="13">
        <f>IFERROR(__xludf.DUMMYFUNCTION("AVERAGE(index(GOOGLEFINANCE(""NSE:""&amp;$A188, ""close"", today()-14, today()-1), , 2))"),"#N/A")</f>
        <v/>
      </c>
      <c r="M188" s="13">
        <f>IFERROR(__xludf.DUMMYFUNCTION("AVERAGE(index(GOOGLEFINANCE(""NSE:""&amp;$A188, ""close"", today()-22, today()-1), , 2))"),"#N/A")</f>
        <v/>
      </c>
      <c r="N188" s="13">
        <f>AG188</f>
        <v/>
      </c>
      <c r="O188" s="13">
        <f>AI188</f>
        <v/>
      </c>
      <c r="P188" s="13">
        <f>W188</f>
        <v/>
      </c>
      <c r="Q188" s="13">
        <f>Y188</f>
        <v/>
      </c>
      <c r="R188" s="15" t="n"/>
      <c r="S188" s="15">
        <f>LEFT(W188,2)&amp;LEFT(Y188,2)</f>
        <v/>
      </c>
      <c r="T188" s="15" t="n"/>
      <c r="U188" s="15">
        <f>IF(K188&lt;L188,1,0)</f>
        <v/>
      </c>
      <c r="V188" s="15">
        <f>IF(H188&gt;I188,1,0)</f>
        <v/>
      </c>
      <c r="W188" s="15">
        <f>IF(SUM(U188:V188)=2,"Anticipatory_Sell","No_Action")</f>
        <v/>
      </c>
      <c r="X188" s="15" t="n"/>
      <c r="Y188" s="15">
        <f>IF(SUM(Z188:AA188)=2,"Confirm_Sell","No_Action")</f>
        <v/>
      </c>
      <c r="Z188" s="15">
        <f>IF(H188&gt;I188,1,0)</f>
        <v/>
      </c>
      <c r="AA188" s="15">
        <f>IF(K188&lt;M188,1,0)</f>
        <v/>
      </c>
      <c r="AB188" s="15" t="n"/>
      <c r="AC188" s="15">
        <f>LEFT(AG188,2)&amp;LEFT(AI188,2)</f>
        <v/>
      </c>
      <c r="AD188" s="15" t="n"/>
      <c r="AE188" s="15">
        <f>IF(K188&gt;L188,1,0)</f>
        <v/>
      </c>
      <c r="AF188" s="16">
        <f>IF(H188&gt;I188,1,0)</f>
        <v/>
      </c>
      <c r="AG188" s="16">
        <f>IF(SUM(AE188:AF188)=2,"Anticipatory_Buy","No_Action")</f>
        <v/>
      </c>
      <c r="AH188" s="15" t="n"/>
      <c r="AI188" s="15">
        <f>IF(SUM(AJ188:AK188)=2,"Confirm_Buy","No_Action")</f>
        <v/>
      </c>
      <c r="AJ188" s="15">
        <f>IF(H188&gt;I188,1,0)</f>
        <v/>
      </c>
      <c r="AK188" s="15">
        <f>IF(K188&gt;M188,1,0)</f>
        <v/>
      </c>
    </row>
    <row r="189" ht="14.5" customHeight="1">
      <c r="A189" s="12" t="inlineStr">
        <is>
          <t>KOTAKBANK</t>
        </is>
      </c>
      <c r="B189" s="13">
        <f>IFERROR(__xludf.DUMMYFUNCTION("GOOGLEFINANCE(""NSE:""&amp;A189,""PRICE"")"),1786.95)</f>
        <v/>
      </c>
      <c r="C189" s="13">
        <f>IFERROR(__xludf.DUMMYFUNCTION("GOOGLEFINANCE(""NSE:""&amp;A189,""PRICEOPEN"")"),1768.1)</f>
        <v/>
      </c>
      <c r="D189" s="13">
        <f>IFERROR(__xludf.DUMMYFUNCTION("GOOGLEFINANCE(""NSE:""&amp;A189,""HIGH"")"),1804.95)</f>
        <v/>
      </c>
      <c r="E189" s="13">
        <f>IFERROR(__xludf.DUMMYFUNCTION("GOOGLEFINANCE(""NSE:""&amp;A189,""LOW"")"),1768.1)</f>
        <v/>
      </c>
      <c r="F189" s="13">
        <f>IFERROR(__xludf.DUMMYFUNCTION("GOOGLEFINANCE(""NSE:""&amp;A189,""closeyest"")"),1776.95)</f>
        <v/>
      </c>
      <c r="G189" s="14">
        <f>(B189-C189)/B189</f>
        <v/>
      </c>
      <c r="H189" s="13">
        <f>IFERROR(__xludf.DUMMYFUNCTION("GOOGLEFINANCE(""NSE:""&amp;A189,""VOLUME"")"),2554023)</f>
        <v/>
      </c>
      <c r="I189" s="13">
        <f>IFERROR(__xludf.DUMMYFUNCTION("AVERAGE(index(GOOGLEFINANCE(""NSE:""&amp;$A189, ""volume"", today()-21, today()-1), , 2))"),"#N/A")</f>
        <v/>
      </c>
      <c r="J189" s="14">
        <f>(H189-I189)/I189</f>
        <v/>
      </c>
      <c r="K189" s="13">
        <f>IFERROR(__xludf.DUMMYFUNCTION("AVERAGE(index(GOOGLEFINANCE(""NSE:""&amp;$A189, ""close"", today()-6, today()-1), , 2))"),"#N/A")</f>
        <v/>
      </c>
      <c r="L189" s="13">
        <f>IFERROR(__xludf.DUMMYFUNCTION("AVERAGE(index(GOOGLEFINANCE(""NSE:""&amp;$A189, ""close"", today()-14, today()-1), , 2))"),"#N/A")</f>
        <v/>
      </c>
      <c r="M189" s="13">
        <f>IFERROR(__xludf.DUMMYFUNCTION("AVERAGE(index(GOOGLEFINANCE(""NSE:""&amp;$A189, ""close"", today()-22, today()-1), , 2))"),"#N/A")</f>
        <v/>
      </c>
      <c r="N189" s="13">
        <f>AG189</f>
        <v/>
      </c>
      <c r="O189" s="13">
        <f>AI189</f>
        <v/>
      </c>
      <c r="P189" s="13">
        <f>W189</f>
        <v/>
      </c>
      <c r="Q189" s="13">
        <f>Y189</f>
        <v/>
      </c>
      <c r="R189" s="15" t="n"/>
      <c r="S189" s="15">
        <f>LEFT(W189,2)&amp;LEFT(Y189,2)</f>
        <v/>
      </c>
      <c r="T189" s="15" t="n"/>
      <c r="U189" s="15">
        <f>IF(K189&lt;L189,1,0)</f>
        <v/>
      </c>
      <c r="V189" s="15">
        <f>IF(H189&gt;I189,1,0)</f>
        <v/>
      </c>
      <c r="W189" s="15">
        <f>IF(SUM(U189:V189)=2,"Anticipatory_Sell","No_Action")</f>
        <v/>
      </c>
      <c r="X189" s="15" t="n"/>
      <c r="Y189" s="15">
        <f>IF(SUM(Z189:AA189)=2,"Confirm_Sell","No_Action")</f>
        <v/>
      </c>
      <c r="Z189" s="15">
        <f>IF(H189&gt;I189,1,0)</f>
        <v/>
      </c>
      <c r="AA189" s="15">
        <f>IF(K189&lt;M189,1,0)</f>
        <v/>
      </c>
      <c r="AB189" s="15" t="n"/>
      <c r="AC189" s="15">
        <f>LEFT(AG189,2)&amp;LEFT(AI189,2)</f>
        <v/>
      </c>
      <c r="AD189" s="15" t="n"/>
      <c r="AE189" s="15">
        <f>IF(K189&gt;L189,1,0)</f>
        <v/>
      </c>
      <c r="AF189" s="16">
        <f>IF(H189&gt;I189,1,0)</f>
        <v/>
      </c>
      <c r="AG189" s="16">
        <f>IF(SUM(AE189:AF189)=2,"Anticipatory_Buy","No_Action")</f>
        <v/>
      </c>
      <c r="AH189" s="15" t="n"/>
      <c r="AI189" s="15">
        <f>IF(SUM(AJ189:AK189)=2,"Confirm_Buy","No_Action")</f>
        <v/>
      </c>
      <c r="AJ189" s="15">
        <f>IF(H189&gt;I189,1,0)</f>
        <v/>
      </c>
      <c r="AK189" s="15">
        <f>IF(K189&gt;M189,1,0)</f>
        <v/>
      </c>
    </row>
    <row r="190" ht="14.5" customHeight="1">
      <c r="A190" s="12" t="inlineStr">
        <is>
          <t>KOVAI</t>
        </is>
      </c>
      <c r="B190" s="13">
        <f>IFERROR(__xludf.DUMMYFUNCTION("GOOGLEFINANCE(""NSE:""&amp;A190,""PRICE"")"),"#N/A")</f>
        <v/>
      </c>
      <c r="C190" s="13">
        <f>IFERROR(__xludf.DUMMYFUNCTION("GOOGLEFINANCE(""NSE:""&amp;A190,""PRICEOPEN"")"),"#N/A")</f>
        <v/>
      </c>
      <c r="D190" s="13">
        <f>IFERROR(__xludf.DUMMYFUNCTION("GOOGLEFINANCE(""NSE:""&amp;A190,""HIGH"")"),"#N/A")</f>
        <v/>
      </c>
      <c r="E190" s="13">
        <f>IFERROR(__xludf.DUMMYFUNCTION("GOOGLEFINANCE(""NSE:""&amp;A190,""LOW"")"),"#N/A")</f>
        <v/>
      </c>
      <c r="F190" s="13">
        <f>IFERROR(__xludf.DUMMYFUNCTION("GOOGLEFINANCE(""NSE:""&amp;A190,""closeyest"")"),"#N/A")</f>
        <v/>
      </c>
      <c r="G190" s="14">
        <f>(B190-C190)/B190</f>
        <v/>
      </c>
      <c r="H190" s="13">
        <f>IFERROR(__xludf.DUMMYFUNCTION("GOOGLEFINANCE(""NSE:""&amp;A190,""VOLUME"")"),"#N/A")</f>
        <v/>
      </c>
      <c r="I190" s="13">
        <f>IFERROR(__xludf.DUMMYFUNCTION("AVERAGE(index(GOOGLEFINANCE(""NSE:""&amp;$A190, ""volume"", today()-21, today()-1), , 2))"),"#N/A")</f>
        <v/>
      </c>
      <c r="J190" s="14">
        <f>(H190-I190)/I190</f>
        <v/>
      </c>
      <c r="K190" s="13">
        <f>IFERROR(__xludf.DUMMYFUNCTION("AVERAGE(index(GOOGLEFINANCE(""NSE:""&amp;$A190, ""close"", today()-6, today()-1), , 2))"),"#N/A")</f>
        <v/>
      </c>
      <c r="L190" s="13">
        <f>IFERROR(__xludf.DUMMYFUNCTION("AVERAGE(index(GOOGLEFINANCE(""NSE:""&amp;$A190, ""close"", today()-14, today()-1), , 2))"),"#N/A")</f>
        <v/>
      </c>
      <c r="M190" s="13">
        <f>IFERROR(__xludf.DUMMYFUNCTION("AVERAGE(index(GOOGLEFINANCE(""NSE:""&amp;$A190, ""close"", today()-22, today()-1), , 2))"),"#N/A")</f>
        <v/>
      </c>
      <c r="N190" s="13">
        <f>AG190</f>
        <v/>
      </c>
      <c r="O190" s="13">
        <f>AI190</f>
        <v/>
      </c>
      <c r="P190" s="13">
        <f>W190</f>
        <v/>
      </c>
      <c r="Q190" s="13">
        <f>Y190</f>
        <v/>
      </c>
      <c r="R190" s="15" t="n"/>
      <c r="S190" s="15">
        <f>LEFT(W190,2)&amp;LEFT(Y190,2)</f>
        <v/>
      </c>
      <c r="T190" s="15" t="n"/>
      <c r="U190" s="15">
        <f>IF(K190&lt;L190,1,0)</f>
        <v/>
      </c>
      <c r="V190" s="15">
        <f>IF(H190&gt;I190,1,0)</f>
        <v/>
      </c>
      <c r="W190" s="15">
        <f>IF(SUM(U190:V190)=2,"Anticipatory_Sell","No_Action")</f>
        <v/>
      </c>
      <c r="X190" s="15" t="n"/>
      <c r="Y190" s="15">
        <f>IF(SUM(Z190:AA190)=2,"Confirm_Sell","No_Action")</f>
        <v/>
      </c>
      <c r="Z190" s="15">
        <f>IF(H190&gt;I190,1,0)</f>
        <v/>
      </c>
      <c r="AA190" s="15">
        <f>IF(K190&lt;M190,1,0)</f>
        <v/>
      </c>
      <c r="AB190" s="15" t="n"/>
      <c r="AC190" s="15">
        <f>LEFT(AG190,2)&amp;LEFT(AI190,2)</f>
        <v/>
      </c>
      <c r="AD190" s="15" t="n"/>
      <c r="AE190" s="15">
        <f>IF(K190&gt;L190,1,0)</f>
        <v/>
      </c>
      <c r="AF190" s="16">
        <f>IF(H190&gt;I190,1,0)</f>
        <v/>
      </c>
      <c r="AG190" s="16">
        <f>IF(SUM(AE190:AF190)=2,"Anticipatory_Buy","No_Action")</f>
        <v/>
      </c>
      <c r="AH190" s="15" t="n"/>
      <c r="AI190" s="15">
        <f>IF(SUM(AJ190:AK190)=2,"Confirm_Buy","No_Action")</f>
        <v/>
      </c>
      <c r="AJ190" s="15">
        <f>IF(H190&gt;I190,1,0)</f>
        <v/>
      </c>
      <c r="AK190" s="15">
        <f>IF(K190&gt;M190,1,0)</f>
        <v/>
      </c>
    </row>
    <row r="191" ht="14.5" customHeight="1">
      <c r="A191" s="12" t="inlineStr">
        <is>
          <t>KRBL</t>
        </is>
      </c>
      <c r="B191" s="13">
        <f>IFERROR(__xludf.DUMMYFUNCTION("GOOGLEFINANCE(""NSE:""&amp;A191,""PRICE"")"),312)</f>
        <v/>
      </c>
      <c r="C191" s="13">
        <f>IFERROR(__xludf.DUMMYFUNCTION("GOOGLEFINANCE(""NSE:""&amp;A191,""PRICEOPEN"")"),314.25)</f>
        <v/>
      </c>
      <c r="D191" s="13">
        <f>IFERROR(__xludf.DUMMYFUNCTION("GOOGLEFINANCE(""NSE:""&amp;A191,""HIGH"")"),318.8)</f>
        <v/>
      </c>
      <c r="E191" s="13">
        <f>IFERROR(__xludf.DUMMYFUNCTION("GOOGLEFINANCE(""NSE:""&amp;A191,""LOW"")"),310.2)</f>
        <v/>
      </c>
      <c r="F191" s="13">
        <f>IFERROR(__xludf.DUMMYFUNCTION("GOOGLEFINANCE(""NSE:""&amp;A191,""closeyest"")"),314.25)</f>
        <v/>
      </c>
      <c r="G191" s="14">
        <f>(B191-C191)/B191</f>
        <v/>
      </c>
      <c r="H191" s="13">
        <f>IFERROR(__xludf.DUMMYFUNCTION("GOOGLEFINANCE(""NSE:""&amp;A191,""VOLUME"")"),289868)</f>
        <v/>
      </c>
      <c r="I191" s="13">
        <f>IFERROR(__xludf.DUMMYFUNCTION("AVERAGE(index(GOOGLEFINANCE(""NSE:""&amp;$A191, ""volume"", today()-21, today()-1), , 2))"),"#N/A")</f>
        <v/>
      </c>
      <c r="J191" s="14">
        <f>(H191-I191)/I191</f>
        <v/>
      </c>
      <c r="K191" s="13">
        <f>IFERROR(__xludf.DUMMYFUNCTION("AVERAGE(index(GOOGLEFINANCE(""NSE:""&amp;$A191, ""close"", today()-6, today()-1), , 2))"),"#N/A")</f>
        <v/>
      </c>
      <c r="L191" s="13">
        <f>IFERROR(__xludf.DUMMYFUNCTION("AVERAGE(index(GOOGLEFINANCE(""NSE:""&amp;$A191, ""close"", today()-14, today()-1), , 2))"),"#N/A")</f>
        <v/>
      </c>
      <c r="M191" s="13">
        <f>IFERROR(__xludf.DUMMYFUNCTION("AVERAGE(index(GOOGLEFINANCE(""NSE:""&amp;$A191, ""close"", today()-22, today()-1), , 2))"),"#N/A")</f>
        <v/>
      </c>
      <c r="N191" s="13">
        <f>AG191</f>
        <v/>
      </c>
      <c r="O191" s="13">
        <f>AI191</f>
        <v/>
      </c>
      <c r="P191" s="13">
        <f>W191</f>
        <v/>
      </c>
      <c r="Q191" s="13">
        <f>Y191</f>
        <v/>
      </c>
      <c r="R191" s="15" t="n"/>
      <c r="S191" s="15">
        <f>LEFT(W191,2)&amp;LEFT(Y191,2)</f>
        <v/>
      </c>
      <c r="T191" s="15" t="n"/>
      <c r="U191" s="15">
        <f>IF(K191&lt;L191,1,0)</f>
        <v/>
      </c>
      <c r="V191" s="15">
        <f>IF(H191&gt;I191,1,0)</f>
        <v/>
      </c>
      <c r="W191" s="15">
        <f>IF(SUM(U191:V191)=2,"Anticipatory_Sell","No_Action")</f>
        <v/>
      </c>
      <c r="X191" s="15" t="n"/>
      <c r="Y191" s="15">
        <f>IF(SUM(Z191:AA191)=2,"Confirm_Sell","No_Action")</f>
        <v/>
      </c>
      <c r="Z191" s="15">
        <f>IF(H191&gt;I191,1,0)</f>
        <v/>
      </c>
      <c r="AA191" s="15">
        <f>IF(K191&lt;M191,1,0)</f>
        <v/>
      </c>
      <c r="AB191" s="15" t="n"/>
      <c r="AC191" s="15">
        <f>LEFT(AG191,2)&amp;LEFT(AI191,2)</f>
        <v/>
      </c>
      <c r="AD191" s="15" t="n"/>
      <c r="AE191" s="15">
        <f>IF(K191&gt;L191,1,0)</f>
        <v/>
      </c>
      <c r="AF191" s="16">
        <f>IF(H191&gt;I191,1,0)</f>
        <v/>
      </c>
      <c r="AG191" s="16">
        <f>IF(SUM(AE191:AF191)=2,"Anticipatory_Buy","No_Action")</f>
        <v/>
      </c>
      <c r="AH191" s="15" t="n"/>
      <c r="AI191" s="15">
        <f>IF(SUM(AJ191:AK191)=2,"Confirm_Buy","No_Action")</f>
        <v/>
      </c>
      <c r="AJ191" s="15">
        <f>IF(H191&gt;I191,1,0)</f>
        <v/>
      </c>
      <c r="AK191" s="15">
        <f>IF(K191&gt;M191,1,0)</f>
        <v/>
      </c>
    </row>
    <row r="192" ht="14.5" customHeight="1">
      <c r="A192" s="12" t="inlineStr">
        <is>
          <t>KIMS</t>
        </is>
      </c>
      <c r="B192" s="13">
        <f>IFERROR(__xludf.DUMMYFUNCTION("GOOGLEFINANCE(""NSE:""&amp;A192,""PRICE"")"),621)</f>
        <v/>
      </c>
      <c r="C192" s="13">
        <f>IFERROR(__xludf.DUMMYFUNCTION("GOOGLEFINANCE(""NSE:""&amp;A192,""PRICEOPEN"")"),614.7)</f>
        <v/>
      </c>
      <c r="D192" s="13">
        <f>IFERROR(__xludf.DUMMYFUNCTION("GOOGLEFINANCE(""NSE:""&amp;A192,""HIGH"")"),624.4)</f>
        <v/>
      </c>
      <c r="E192" s="13">
        <f>IFERROR(__xludf.DUMMYFUNCTION("GOOGLEFINANCE(""NSE:""&amp;A192,""LOW"")"),607.5)</f>
        <v/>
      </c>
      <c r="F192" s="13">
        <f>IFERROR(__xludf.DUMMYFUNCTION("GOOGLEFINANCE(""NSE:""&amp;A192,""closeyest"")"),611.4)</f>
        <v/>
      </c>
      <c r="G192" s="14">
        <f>(B192-C192)/B192</f>
        <v/>
      </c>
      <c r="H192" s="13">
        <f>IFERROR(__xludf.DUMMYFUNCTION("GOOGLEFINANCE(""NSE:""&amp;A192,""VOLUME"")"),630840)</f>
        <v/>
      </c>
      <c r="I192" s="13">
        <f>IFERROR(__xludf.DUMMYFUNCTION("AVERAGE(index(GOOGLEFINANCE(""NSE:""&amp;$A192, ""volume"", today()-21, today()-1), , 2))"),"#N/A")</f>
        <v/>
      </c>
      <c r="J192" s="14">
        <f>(H192-I192)/I192</f>
        <v/>
      </c>
      <c r="K192" s="13">
        <f>IFERROR(__xludf.DUMMYFUNCTION("AVERAGE(index(GOOGLEFINANCE(""NSE:""&amp;$A192, ""close"", today()-6, today()-1), , 2))"),"#N/A")</f>
        <v/>
      </c>
      <c r="L192" s="13">
        <f>IFERROR(__xludf.DUMMYFUNCTION("AVERAGE(index(GOOGLEFINANCE(""NSE:""&amp;$A192, ""close"", today()-14, today()-1), , 2))"),"#N/A")</f>
        <v/>
      </c>
      <c r="M192" s="13">
        <f>IFERROR(__xludf.DUMMYFUNCTION("AVERAGE(index(GOOGLEFINANCE(""NSE:""&amp;$A192, ""close"", today()-22, today()-1), , 2))"),"#N/A")</f>
        <v/>
      </c>
      <c r="N192" s="13">
        <f>AG192</f>
        <v/>
      </c>
      <c r="O192" s="13">
        <f>AI192</f>
        <v/>
      </c>
      <c r="P192" s="13">
        <f>W192</f>
        <v/>
      </c>
      <c r="Q192" s="13">
        <f>Y192</f>
        <v/>
      </c>
      <c r="R192" s="15" t="n"/>
      <c r="S192" s="15">
        <f>LEFT(W192,2)&amp;LEFT(Y192,2)</f>
        <v/>
      </c>
      <c r="T192" s="15" t="n"/>
      <c r="U192" s="15">
        <f>IF(K192&lt;L192,1,0)</f>
        <v/>
      </c>
      <c r="V192" s="15">
        <f>IF(H192&gt;I192,1,0)</f>
        <v/>
      </c>
      <c r="W192" s="15">
        <f>IF(SUM(U192:V192)=2,"Anticipatory_Sell","No_Action")</f>
        <v/>
      </c>
      <c r="X192" s="15" t="n"/>
      <c r="Y192" s="15">
        <f>IF(SUM(Z192:AA192)=2,"Confirm_Sell","No_Action")</f>
        <v/>
      </c>
      <c r="Z192" s="15">
        <f>IF(H192&gt;I192,1,0)</f>
        <v/>
      </c>
      <c r="AA192" s="15">
        <f>IF(K192&lt;M192,1,0)</f>
        <v/>
      </c>
      <c r="AB192" s="15" t="n"/>
      <c r="AC192" s="15">
        <f>LEFT(AG192,2)&amp;LEFT(AI192,2)</f>
        <v/>
      </c>
      <c r="AD192" s="15" t="n"/>
      <c r="AE192" s="15">
        <f>IF(K192&gt;L192,1,0)</f>
        <v/>
      </c>
      <c r="AF192" s="16">
        <f>IF(H192&gt;I192,1,0)</f>
        <v/>
      </c>
      <c r="AG192" s="16">
        <f>IF(SUM(AE192:AF192)=2,"Anticipatory_Buy","No_Action")</f>
        <v/>
      </c>
      <c r="AH192" s="15" t="n"/>
      <c r="AI192" s="15">
        <f>IF(SUM(AJ192:AK192)=2,"Confirm_Buy","No_Action")</f>
        <v/>
      </c>
      <c r="AJ192" s="15">
        <f>IF(H192&gt;I192,1,0)</f>
        <v/>
      </c>
      <c r="AK192" s="15">
        <f>IF(K192&gt;M192,1,0)</f>
        <v/>
      </c>
    </row>
    <row r="193" ht="14.5" customHeight="1">
      <c r="A193" s="12" t="inlineStr">
        <is>
          <t>KSB</t>
        </is>
      </c>
      <c r="B193" s="13">
        <f>IFERROR(__xludf.DUMMYFUNCTION("GOOGLEFINANCE(""NSE:""&amp;A193,""PRICE"")"),836)</f>
        <v/>
      </c>
      <c r="C193" s="13">
        <f>IFERROR(__xludf.DUMMYFUNCTION("GOOGLEFINANCE(""NSE:""&amp;A193,""PRICEOPEN"")"),832.5)</f>
        <v/>
      </c>
      <c r="D193" s="13">
        <f>IFERROR(__xludf.DUMMYFUNCTION("GOOGLEFINANCE(""NSE:""&amp;A193,""HIGH"")"),842.8)</f>
        <v/>
      </c>
      <c r="E193" s="13">
        <f>IFERROR(__xludf.DUMMYFUNCTION("GOOGLEFINANCE(""NSE:""&amp;A193,""LOW"")"),831.45)</f>
        <v/>
      </c>
      <c r="F193" s="13">
        <f>IFERROR(__xludf.DUMMYFUNCTION("GOOGLEFINANCE(""NSE:""&amp;A193,""closeyest"")"),834.75)</f>
        <v/>
      </c>
      <c r="G193" s="14">
        <f>(B193-C193)/B193</f>
        <v/>
      </c>
      <c r="H193" s="13">
        <f>IFERROR(__xludf.DUMMYFUNCTION("GOOGLEFINANCE(""NSE:""&amp;A193,""VOLUME"")"),31278)</f>
        <v/>
      </c>
      <c r="I193" s="13">
        <f>IFERROR(__xludf.DUMMYFUNCTION("AVERAGE(index(GOOGLEFINANCE(""NSE:""&amp;$A193, ""volume"", today()-21, today()-1), , 2))"),"#N/A")</f>
        <v/>
      </c>
      <c r="J193" s="14">
        <f>(H193-I193)/I193</f>
        <v/>
      </c>
      <c r="K193" s="13">
        <f>IFERROR(__xludf.DUMMYFUNCTION("AVERAGE(index(GOOGLEFINANCE(""NSE:""&amp;$A193, ""close"", today()-6, today()-1), , 2))"),"#N/A")</f>
        <v/>
      </c>
      <c r="L193" s="13">
        <f>IFERROR(__xludf.DUMMYFUNCTION("AVERAGE(index(GOOGLEFINANCE(""NSE:""&amp;$A193, ""close"", today()-14, today()-1), , 2))"),"#N/A")</f>
        <v/>
      </c>
      <c r="M193" s="13">
        <f>IFERROR(__xludf.DUMMYFUNCTION("AVERAGE(index(GOOGLEFINANCE(""NSE:""&amp;$A193, ""close"", today()-22, today()-1), , 2))"),"#N/A")</f>
        <v/>
      </c>
      <c r="N193" s="13">
        <f>AG193</f>
        <v/>
      </c>
      <c r="O193" s="13">
        <f>AI193</f>
        <v/>
      </c>
      <c r="P193" s="13">
        <f>W193</f>
        <v/>
      </c>
      <c r="Q193" s="13">
        <f>Y193</f>
        <v/>
      </c>
      <c r="R193" s="15" t="n"/>
      <c r="S193" s="15">
        <f>LEFT(W193,2)&amp;LEFT(Y193,2)</f>
        <v/>
      </c>
      <c r="T193" s="15" t="n"/>
      <c r="U193" s="15">
        <f>IF(K193&lt;L193,1,0)</f>
        <v/>
      </c>
      <c r="V193" s="15">
        <f>IF(H193&gt;I193,1,0)</f>
        <v/>
      </c>
      <c r="W193" s="15">
        <f>IF(SUM(U193:V193)=2,"Anticipatory_Sell","No_Action")</f>
        <v/>
      </c>
      <c r="X193" s="15" t="n"/>
      <c r="Y193" s="15">
        <f>IF(SUM(Z193:AA193)=2,"Confirm_Sell","No_Action")</f>
        <v/>
      </c>
      <c r="Z193" s="15">
        <f>IF(H193&gt;I193,1,0)</f>
        <v/>
      </c>
      <c r="AA193" s="15">
        <f>IF(K193&lt;M193,1,0)</f>
        <v/>
      </c>
      <c r="AB193" s="15" t="n"/>
      <c r="AC193" s="15">
        <f>LEFT(AG193,2)&amp;LEFT(AI193,2)</f>
        <v/>
      </c>
      <c r="AD193" s="15" t="n"/>
      <c r="AE193" s="15">
        <f>IF(K193&gt;L193,1,0)</f>
        <v/>
      </c>
      <c r="AF193" s="16">
        <f>IF(H193&gt;I193,1,0)</f>
        <v/>
      </c>
      <c r="AG193" s="16">
        <f>IF(SUM(AE193:AF193)=2,"Anticipatory_Buy","No_Action")</f>
        <v/>
      </c>
      <c r="AH193" s="15" t="n"/>
      <c r="AI193" s="15">
        <f>IF(SUM(AJ193:AK193)=2,"Confirm_Buy","No_Action")</f>
        <v/>
      </c>
      <c r="AJ193" s="15">
        <f>IF(H193&gt;I193,1,0)</f>
        <v/>
      </c>
      <c r="AK193" s="15">
        <f>IF(K193&gt;M193,1,0)</f>
        <v/>
      </c>
    </row>
    <row r="194" ht="14.5" customHeight="1">
      <c r="A194" s="12" t="inlineStr">
        <is>
          <t>LTFOODS</t>
        </is>
      </c>
      <c r="B194" s="13">
        <f>IFERROR(__xludf.DUMMYFUNCTION("GOOGLEFINANCE(""NSE:""&amp;A194,""PRICE"")"),439.4)</f>
        <v/>
      </c>
      <c r="C194" s="13">
        <f>IFERROR(__xludf.DUMMYFUNCTION("GOOGLEFINANCE(""NSE:""&amp;A194,""PRICEOPEN"")"),429.45)</f>
        <v/>
      </c>
      <c r="D194" s="13">
        <f>IFERROR(__xludf.DUMMYFUNCTION("GOOGLEFINANCE(""NSE:""&amp;A194,""HIGH"")"),442.8)</f>
        <v/>
      </c>
      <c r="E194" s="13">
        <f>IFERROR(__xludf.DUMMYFUNCTION("GOOGLEFINANCE(""NSE:""&amp;A194,""LOW"")"),428)</f>
        <v/>
      </c>
      <c r="F194" s="13">
        <f>IFERROR(__xludf.DUMMYFUNCTION("GOOGLEFINANCE(""NSE:""&amp;A194,""closeyest"")"),428.05)</f>
        <v/>
      </c>
      <c r="G194" s="14">
        <f>(B194-C194)/B194</f>
        <v/>
      </c>
      <c r="H194" s="13">
        <f>IFERROR(__xludf.DUMMYFUNCTION("GOOGLEFINANCE(""NSE:""&amp;A194,""VOLUME"")"),766165)</f>
        <v/>
      </c>
      <c r="I194" s="13">
        <f>IFERROR(__xludf.DUMMYFUNCTION("AVERAGE(index(GOOGLEFINANCE(""NSE:""&amp;$A194, ""volume"", today()-21, today()-1), , 2))"),"#N/A")</f>
        <v/>
      </c>
      <c r="J194" s="14">
        <f>(H194-I194)/I194</f>
        <v/>
      </c>
      <c r="K194" s="13">
        <f>IFERROR(__xludf.DUMMYFUNCTION("AVERAGE(index(GOOGLEFINANCE(""NSE:""&amp;$A194, ""close"", today()-6, today()-1), , 2))"),"#N/A")</f>
        <v/>
      </c>
      <c r="L194" s="13">
        <f>IFERROR(__xludf.DUMMYFUNCTION("AVERAGE(index(GOOGLEFINANCE(""NSE:""&amp;$A194, ""close"", today()-14, today()-1), , 2))"),"#N/A")</f>
        <v/>
      </c>
      <c r="M194" s="13">
        <f>IFERROR(__xludf.DUMMYFUNCTION("AVERAGE(index(GOOGLEFINANCE(""NSE:""&amp;$A194, ""close"", today()-22, today()-1), , 2))"),"#N/A")</f>
        <v/>
      </c>
      <c r="N194" s="13">
        <f>AG194</f>
        <v/>
      </c>
      <c r="O194" s="13">
        <f>AI194</f>
        <v/>
      </c>
      <c r="P194" s="13">
        <f>W194</f>
        <v/>
      </c>
      <c r="Q194" s="13">
        <f>Y194</f>
        <v/>
      </c>
      <c r="R194" s="15" t="n"/>
      <c r="S194" s="15">
        <f>LEFT(W194,2)&amp;LEFT(Y194,2)</f>
        <v/>
      </c>
      <c r="T194" s="15" t="n"/>
      <c r="U194" s="15">
        <f>IF(K194&lt;L194,1,0)</f>
        <v/>
      </c>
      <c r="V194" s="15">
        <f>IF(H194&gt;I194,1,0)</f>
        <v/>
      </c>
      <c r="W194" s="15">
        <f>IF(SUM(U194:V194)=2,"Anticipatory_Sell","No_Action")</f>
        <v/>
      </c>
      <c r="X194" s="15" t="n"/>
      <c r="Y194" s="15">
        <f>IF(SUM(Z194:AA194)=2,"Confirm_Sell","No_Action")</f>
        <v/>
      </c>
      <c r="Z194" s="15">
        <f>IF(H194&gt;I194,1,0)</f>
        <v/>
      </c>
      <c r="AA194" s="15">
        <f>IF(K194&lt;M194,1,0)</f>
        <v/>
      </c>
      <c r="AB194" s="15" t="n"/>
      <c r="AC194" s="15">
        <f>LEFT(AG194,2)&amp;LEFT(AI194,2)</f>
        <v/>
      </c>
      <c r="AD194" s="15" t="n"/>
      <c r="AE194" s="15">
        <f>IF(K194&gt;L194,1,0)</f>
        <v/>
      </c>
      <c r="AF194" s="16">
        <f>IF(H194&gt;I194,1,0)</f>
        <v/>
      </c>
      <c r="AG194" s="16">
        <f>IF(SUM(AE194:AF194)=2,"Anticipatory_Buy","No_Action")</f>
        <v/>
      </c>
      <c r="AH194" s="15" t="n"/>
      <c r="AI194" s="15">
        <f>IF(SUM(AJ194:AK194)=2,"Confirm_Buy","No_Action")</f>
        <v/>
      </c>
      <c r="AJ194" s="15">
        <f>IF(H194&gt;I194,1,0)</f>
        <v/>
      </c>
      <c r="AK194" s="15">
        <f>IF(K194&gt;M194,1,0)</f>
        <v/>
      </c>
    </row>
    <row r="195" ht="14.5" customHeight="1">
      <c r="A195" s="12" t="inlineStr">
        <is>
          <t>LTF</t>
        </is>
      </c>
      <c r="B195" s="13">
        <f>IFERROR(__xludf.DUMMYFUNCTION("GOOGLEFINANCE(""NSE:""&amp;A195,""PRICE"")"),148.1)</f>
        <v/>
      </c>
      <c r="C195" s="13">
        <f>IFERROR(__xludf.DUMMYFUNCTION("GOOGLEFINANCE(""NSE:""&amp;A195,""PRICEOPEN"")"),148.5)</f>
        <v/>
      </c>
      <c r="D195" s="13">
        <f>IFERROR(__xludf.DUMMYFUNCTION("GOOGLEFINANCE(""NSE:""&amp;A195,""HIGH"")"),150.34)</f>
        <v/>
      </c>
      <c r="E195" s="13">
        <f>IFERROR(__xludf.DUMMYFUNCTION("GOOGLEFINANCE(""NSE:""&amp;A195,""LOW"")"),147.6)</f>
        <v/>
      </c>
      <c r="F195" s="13">
        <f>IFERROR(__xludf.DUMMYFUNCTION("GOOGLEFINANCE(""NSE:""&amp;A195,""closeyest"")"),148.81)</f>
        <v/>
      </c>
      <c r="G195" s="14">
        <f>(B195-C195)/B195</f>
        <v/>
      </c>
      <c r="H195" s="13">
        <f>IFERROR(__xludf.DUMMYFUNCTION("GOOGLEFINANCE(""NSE:""&amp;A195,""VOLUME"")"),3736158)</f>
        <v/>
      </c>
      <c r="I195" s="13">
        <f>IFERROR(__xludf.DUMMYFUNCTION("AVERAGE(index(GOOGLEFINANCE(""NSE:""&amp;$A195, ""volume"", today()-21, today()-1), , 2))"),"#N/A")</f>
        <v/>
      </c>
      <c r="J195" s="14">
        <f>(H195-I195)/I195</f>
        <v/>
      </c>
      <c r="K195" s="13">
        <f>IFERROR(__xludf.DUMMYFUNCTION("AVERAGE(index(GOOGLEFINANCE(""NSE:""&amp;$A195, ""close"", today()-6, today()-1), , 2))"),"#N/A")</f>
        <v/>
      </c>
      <c r="L195" s="13">
        <f>IFERROR(__xludf.DUMMYFUNCTION("AVERAGE(index(GOOGLEFINANCE(""NSE:""&amp;$A195, ""close"", today()-14, today()-1), , 2))"),"#N/A")</f>
        <v/>
      </c>
      <c r="M195" s="13">
        <f>IFERROR(__xludf.DUMMYFUNCTION("AVERAGE(index(GOOGLEFINANCE(""NSE:""&amp;$A195, ""close"", today()-22, today()-1), , 2))"),"#N/A")</f>
        <v/>
      </c>
      <c r="N195" s="13">
        <f>AG195</f>
        <v/>
      </c>
      <c r="O195" s="13">
        <f>AI195</f>
        <v/>
      </c>
      <c r="P195" s="13">
        <f>W195</f>
        <v/>
      </c>
      <c r="Q195" s="13">
        <f>Y195</f>
        <v/>
      </c>
      <c r="R195" s="15" t="n"/>
      <c r="S195" s="15">
        <f>LEFT(W195,2)&amp;LEFT(Y195,2)</f>
        <v/>
      </c>
      <c r="T195" s="15" t="n"/>
      <c r="U195" s="15">
        <f>IF(K195&lt;L195,1,0)</f>
        <v/>
      </c>
      <c r="V195" s="15">
        <f>IF(H195&gt;I195,1,0)</f>
        <v/>
      </c>
      <c r="W195" s="15">
        <f>IF(SUM(U195:V195)=2,"Anticipatory_Sell","No_Action")</f>
        <v/>
      </c>
      <c r="X195" s="15" t="n"/>
      <c r="Y195" s="15">
        <f>IF(SUM(Z195:AA195)=2,"Confirm_Sell","No_Action")</f>
        <v/>
      </c>
      <c r="Z195" s="15">
        <f>IF(H195&gt;I195,1,0)</f>
        <v/>
      </c>
      <c r="AA195" s="15">
        <f>IF(K195&lt;M195,1,0)</f>
        <v/>
      </c>
      <c r="AB195" s="15" t="n"/>
      <c r="AC195" s="15">
        <f>LEFT(AG195,2)&amp;LEFT(AI195,2)</f>
        <v/>
      </c>
      <c r="AD195" s="15" t="n"/>
      <c r="AE195" s="15">
        <f>IF(K195&gt;L195,1,0)</f>
        <v/>
      </c>
      <c r="AF195" s="16">
        <f>IF(H195&gt;I195,1,0)</f>
        <v/>
      </c>
      <c r="AG195" s="16">
        <f>IF(SUM(AE195:AF195)=2,"Anticipatory_Buy","No_Action")</f>
        <v/>
      </c>
      <c r="AH195" s="15" t="n"/>
      <c r="AI195" s="15">
        <f>IF(SUM(AJ195:AK195)=2,"Confirm_Buy","No_Action")</f>
        <v/>
      </c>
      <c r="AJ195" s="15">
        <f>IF(H195&gt;I195,1,0)</f>
        <v/>
      </c>
      <c r="AK195" s="15">
        <f>IF(K195&gt;M195,1,0)</f>
        <v/>
      </c>
    </row>
    <row r="196" ht="14.5" customHeight="1">
      <c r="A196" s="12" t="inlineStr">
        <is>
          <t>LT</t>
        </is>
      </c>
      <c r="B196" s="13">
        <f>IFERROR(__xludf.DUMMYFUNCTION("GOOGLEFINANCE(""NSE:""&amp;A196,""PRICE"")"),3954.75)</f>
        <v/>
      </c>
      <c r="C196" s="13">
        <f>IFERROR(__xludf.DUMMYFUNCTION("GOOGLEFINANCE(""NSE:""&amp;A196,""PRICEOPEN"")"),3867.5)</f>
        <v/>
      </c>
      <c r="D196" s="13">
        <f>IFERROR(__xludf.DUMMYFUNCTION("GOOGLEFINANCE(""NSE:""&amp;A196,""HIGH"")"),3959)</f>
        <v/>
      </c>
      <c r="E196" s="13">
        <f>IFERROR(__xludf.DUMMYFUNCTION("GOOGLEFINANCE(""NSE:""&amp;A196,""LOW"")"),3867.5)</f>
        <v/>
      </c>
      <c r="F196" s="13">
        <f>IFERROR(__xludf.DUMMYFUNCTION("GOOGLEFINANCE(""NSE:""&amp;A196,""closeyest"")"),3866.7)</f>
        <v/>
      </c>
      <c r="G196" s="14">
        <f>(B196-C196)/B196</f>
        <v/>
      </c>
      <c r="H196" s="13">
        <f>IFERROR(__xludf.DUMMYFUNCTION("GOOGLEFINANCE(""NSE:""&amp;A196,""VOLUME"")"),3332753)</f>
        <v/>
      </c>
      <c r="I196" s="13">
        <f>IFERROR(__xludf.DUMMYFUNCTION("AVERAGE(index(GOOGLEFINANCE(""NSE:""&amp;$A196, ""volume"", today()-21, today()-1), , 2))"),"#N/A")</f>
        <v/>
      </c>
      <c r="J196" s="14">
        <f>(H196-I196)/I196</f>
        <v/>
      </c>
      <c r="K196" s="13">
        <f>IFERROR(__xludf.DUMMYFUNCTION("AVERAGE(index(GOOGLEFINANCE(""NSE:""&amp;$A196, ""close"", today()-6, today()-1), , 2))"),"#N/A")</f>
        <v/>
      </c>
      <c r="L196" s="13">
        <f>IFERROR(__xludf.DUMMYFUNCTION("AVERAGE(index(GOOGLEFINANCE(""NSE:""&amp;$A196, ""close"", today()-14, today()-1), , 2))"),"#N/A")</f>
        <v/>
      </c>
      <c r="M196" s="13">
        <f>IFERROR(__xludf.DUMMYFUNCTION("AVERAGE(index(GOOGLEFINANCE(""NSE:""&amp;$A196, ""close"", today()-22, today()-1), , 2))"),"#N/A")</f>
        <v/>
      </c>
      <c r="N196" s="13">
        <f>AG196</f>
        <v/>
      </c>
      <c r="O196" s="13">
        <f>AI196</f>
        <v/>
      </c>
      <c r="P196" s="13">
        <f>W196</f>
        <v/>
      </c>
      <c r="Q196" s="13">
        <f>Y196</f>
        <v/>
      </c>
      <c r="R196" s="15" t="n"/>
      <c r="S196" s="15">
        <f>LEFT(W196,2)&amp;LEFT(Y196,2)</f>
        <v/>
      </c>
      <c r="T196" s="15" t="n"/>
      <c r="U196" s="15">
        <f>IF(K196&lt;L196,1,0)</f>
        <v/>
      </c>
      <c r="V196" s="15">
        <f>IF(H196&gt;I196,1,0)</f>
        <v/>
      </c>
      <c r="W196" s="15">
        <f>IF(SUM(U196:V196)=2,"Anticipatory_Sell","No_Action")</f>
        <v/>
      </c>
      <c r="X196" s="15" t="n"/>
      <c r="Y196" s="15">
        <f>IF(SUM(Z196:AA196)=2,"Confirm_Sell","No_Action")</f>
        <v/>
      </c>
      <c r="Z196" s="15">
        <f>IF(H196&gt;I196,1,0)</f>
        <v/>
      </c>
      <c r="AA196" s="15">
        <f>IF(K196&lt;M196,1,0)</f>
        <v/>
      </c>
      <c r="AB196" s="15" t="n"/>
      <c r="AC196" s="15">
        <f>LEFT(AG196,2)&amp;LEFT(AI196,2)</f>
        <v/>
      </c>
      <c r="AD196" s="15" t="n"/>
      <c r="AE196" s="15">
        <f>IF(K196&gt;L196,1,0)</f>
        <v/>
      </c>
      <c r="AF196" s="16">
        <f>IF(H196&gt;I196,1,0)</f>
        <v/>
      </c>
      <c r="AG196" s="16">
        <f>IF(SUM(AE196:AF196)=2,"Anticipatory_Buy","No_Action")</f>
        <v/>
      </c>
      <c r="AH196" s="15" t="n"/>
      <c r="AI196" s="15">
        <f>IF(SUM(AJ196:AK196)=2,"Confirm_Buy","No_Action")</f>
        <v/>
      </c>
      <c r="AJ196" s="15">
        <f>IF(H196&gt;I196,1,0)</f>
        <v/>
      </c>
      <c r="AK196" s="15">
        <f>IF(K196&gt;M196,1,0)</f>
        <v/>
      </c>
    </row>
    <row r="197" ht="14.5" customHeight="1">
      <c r="A197" s="12" t="inlineStr">
        <is>
          <t>LATENTVIEW</t>
        </is>
      </c>
      <c r="B197" s="13">
        <f>IFERROR(__xludf.DUMMYFUNCTION("GOOGLEFINANCE(""NSE:""&amp;A197,""PRICE"")"),483)</f>
        <v/>
      </c>
      <c r="C197" s="13">
        <f>IFERROR(__xludf.DUMMYFUNCTION("GOOGLEFINANCE(""NSE:""&amp;A197,""PRICEOPEN"")"),472.1)</f>
        <v/>
      </c>
      <c r="D197" s="13">
        <f>IFERROR(__xludf.DUMMYFUNCTION("GOOGLEFINANCE(""NSE:""&amp;A197,""HIGH"")"),490)</f>
        <v/>
      </c>
      <c r="E197" s="13">
        <f>IFERROR(__xludf.DUMMYFUNCTION("GOOGLEFINANCE(""NSE:""&amp;A197,""LOW"")"),467)</f>
        <v/>
      </c>
      <c r="F197" s="13">
        <f>IFERROR(__xludf.DUMMYFUNCTION("GOOGLEFINANCE(""NSE:""&amp;A197,""closeyest"")"),471.8)</f>
        <v/>
      </c>
      <c r="G197" s="14">
        <f>(B197-C197)/B197</f>
        <v/>
      </c>
      <c r="H197" s="13">
        <f>IFERROR(__xludf.DUMMYFUNCTION("GOOGLEFINANCE(""NSE:""&amp;A197,""VOLUME"")"),674758)</f>
        <v/>
      </c>
      <c r="I197" s="13">
        <f>IFERROR(__xludf.DUMMYFUNCTION("AVERAGE(index(GOOGLEFINANCE(""NSE:""&amp;$A197, ""volume"", today()-21, today()-1), , 2))"),"#N/A")</f>
        <v/>
      </c>
      <c r="J197" s="14">
        <f>(H197-I197)/I197</f>
        <v/>
      </c>
      <c r="K197" s="13">
        <f>IFERROR(__xludf.DUMMYFUNCTION("AVERAGE(index(GOOGLEFINANCE(""NSE:""&amp;$A197, ""close"", today()-6, today()-1), , 2))"),"#N/A")</f>
        <v/>
      </c>
      <c r="L197" s="13">
        <f>IFERROR(__xludf.DUMMYFUNCTION("AVERAGE(index(GOOGLEFINANCE(""NSE:""&amp;$A197, ""close"", today()-14, today()-1), , 2))"),"#N/A")</f>
        <v/>
      </c>
      <c r="M197" s="13">
        <f>IFERROR(__xludf.DUMMYFUNCTION("AVERAGE(index(GOOGLEFINANCE(""NSE:""&amp;$A197, ""close"", today()-22, today()-1), , 2))"),"#N/A")</f>
        <v/>
      </c>
      <c r="N197" s="13">
        <f>AG197</f>
        <v/>
      </c>
      <c r="O197" s="13">
        <f>AI197</f>
        <v/>
      </c>
      <c r="P197" s="13">
        <f>W197</f>
        <v/>
      </c>
      <c r="Q197" s="13">
        <f>Y197</f>
        <v/>
      </c>
      <c r="R197" s="15" t="n"/>
      <c r="S197" s="15">
        <f>LEFT(W197,2)&amp;LEFT(Y197,2)</f>
        <v/>
      </c>
      <c r="T197" s="15" t="n"/>
      <c r="U197" s="15">
        <f>IF(K197&lt;L197,1,0)</f>
        <v/>
      </c>
      <c r="V197" s="15">
        <f>IF(H197&gt;I197,1,0)</f>
        <v/>
      </c>
      <c r="W197" s="15">
        <f>IF(SUM(U197:V197)=2,"Anticipatory_Sell","No_Action")</f>
        <v/>
      </c>
      <c r="X197" s="15" t="n"/>
      <c r="Y197" s="15">
        <f>IF(SUM(Z197:AA197)=2,"Confirm_Sell","No_Action")</f>
        <v/>
      </c>
      <c r="Z197" s="15">
        <f>IF(H197&gt;I197,1,0)</f>
        <v/>
      </c>
      <c r="AA197" s="15">
        <f>IF(K197&lt;M197,1,0)</f>
        <v/>
      </c>
      <c r="AB197" s="15" t="n"/>
      <c r="AC197" s="15">
        <f>LEFT(AG197,2)&amp;LEFT(AI197,2)</f>
        <v/>
      </c>
      <c r="AD197" s="15" t="n"/>
      <c r="AE197" s="15">
        <f>IF(K197&gt;L197,1,0)</f>
        <v/>
      </c>
      <c r="AF197" s="16">
        <f>IF(H197&gt;I197,1,0)</f>
        <v/>
      </c>
      <c r="AG197" s="16">
        <f>IF(SUM(AE197:AF197)=2,"Anticipatory_Buy","No_Action")</f>
        <v/>
      </c>
      <c r="AH197" s="15" t="n"/>
      <c r="AI197" s="15">
        <f>IF(SUM(AJ197:AK197)=2,"Confirm_Buy","No_Action")</f>
        <v/>
      </c>
      <c r="AJ197" s="15">
        <f>IF(H197&gt;I197,1,0)</f>
        <v/>
      </c>
      <c r="AK197" s="15">
        <f>IF(K197&gt;M197,1,0)</f>
        <v/>
      </c>
    </row>
    <row r="198" ht="14.5" customHeight="1">
      <c r="A198" s="12" t="inlineStr">
        <is>
          <t>LEMONTREE</t>
        </is>
      </c>
      <c r="B198" s="13">
        <f>IFERROR(__xludf.DUMMYFUNCTION("GOOGLEFINANCE(""NSE:""&amp;A198,""PRICE"")"),141.64)</f>
        <v/>
      </c>
      <c r="C198" s="13">
        <f>IFERROR(__xludf.DUMMYFUNCTION("GOOGLEFINANCE(""NSE:""&amp;A198,""PRICEOPEN"")"),138.55)</f>
        <v/>
      </c>
      <c r="D198" s="13">
        <f>IFERROR(__xludf.DUMMYFUNCTION("GOOGLEFINANCE(""NSE:""&amp;A198,""HIGH"")"),144.1)</f>
        <v/>
      </c>
      <c r="E198" s="13">
        <f>IFERROR(__xludf.DUMMYFUNCTION("GOOGLEFINANCE(""NSE:""&amp;A198,""LOW"")"),138.05)</f>
        <v/>
      </c>
      <c r="F198" s="13">
        <f>IFERROR(__xludf.DUMMYFUNCTION("GOOGLEFINANCE(""NSE:""&amp;A198,""closeyest"")"),137.82)</f>
        <v/>
      </c>
      <c r="G198" s="14">
        <f>(B198-C198)/B198</f>
        <v/>
      </c>
      <c r="H198" s="13">
        <f>IFERROR(__xludf.DUMMYFUNCTION("GOOGLEFINANCE(""NSE:""&amp;A198,""VOLUME"")"),10959490)</f>
        <v/>
      </c>
      <c r="I198" s="13">
        <f>IFERROR(__xludf.DUMMYFUNCTION("AVERAGE(index(GOOGLEFINANCE(""NSE:""&amp;$A198, ""volume"", today()-21, today()-1), , 2))"),"#N/A")</f>
        <v/>
      </c>
      <c r="J198" s="14">
        <f>(H198-I198)/I198</f>
        <v/>
      </c>
      <c r="K198" s="13">
        <f>IFERROR(__xludf.DUMMYFUNCTION("AVERAGE(index(GOOGLEFINANCE(""NSE:""&amp;$A198, ""close"", today()-6, today()-1), , 2))"),"#N/A")</f>
        <v/>
      </c>
      <c r="L198" s="13">
        <f>IFERROR(__xludf.DUMMYFUNCTION("AVERAGE(index(GOOGLEFINANCE(""NSE:""&amp;$A198, ""close"", today()-14, today()-1), , 2))"),"#N/A")</f>
        <v/>
      </c>
      <c r="M198" s="13">
        <f>IFERROR(__xludf.DUMMYFUNCTION("AVERAGE(index(GOOGLEFINANCE(""NSE:""&amp;$A198, ""close"", today()-22, today()-1), , 2))"),"#N/A")</f>
        <v/>
      </c>
      <c r="N198" s="13">
        <f>AG198</f>
        <v/>
      </c>
      <c r="O198" s="13">
        <f>AI198</f>
        <v/>
      </c>
      <c r="P198" s="13">
        <f>W198</f>
        <v/>
      </c>
      <c r="Q198" s="13">
        <f>Y198</f>
        <v/>
      </c>
      <c r="R198" s="15" t="n"/>
      <c r="S198" s="15">
        <f>LEFT(W198,2)&amp;LEFT(Y198,2)</f>
        <v/>
      </c>
      <c r="T198" s="15" t="n"/>
      <c r="U198" s="15">
        <f>IF(K198&lt;L198,1,0)</f>
        <v/>
      </c>
      <c r="V198" s="15">
        <f>IF(H198&gt;I198,1,0)</f>
        <v/>
      </c>
      <c r="W198" s="15">
        <f>IF(SUM(U198:V198)=2,"Anticipatory_Sell","No_Action")</f>
        <v/>
      </c>
      <c r="X198" s="15" t="n"/>
      <c r="Y198" s="15">
        <f>IF(SUM(Z198:AA198)=2,"Confirm_Sell","No_Action")</f>
        <v/>
      </c>
      <c r="Z198" s="15">
        <f>IF(H198&gt;I198,1,0)</f>
        <v/>
      </c>
      <c r="AA198" s="15">
        <f>IF(K198&lt;M198,1,0)</f>
        <v/>
      </c>
      <c r="AB198" s="15" t="n"/>
      <c r="AC198" s="15">
        <f>LEFT(AG198,2)&amp;LEFT(AI198,2)</f>
        <v/>
      </c>
      <c r="AD198" s="15" t="n"/>
      <c r="AE198" s="15">
        <f>IF(K198&gt;L198,1,0)</f>
        <v/>
      </c>
      <c r="AF198" s="16">
        <f>IF(H198&gt;I198,1,0)</f>
        <v/>
      </c>
      <c r="AG198" s="16">
        <f>IF(SUM(AE198:AF198)=2,"Anticipatory_Buy","No_Action")</f>
        <v/>
      </c>
      <c r="AH198" s="15" t="n"/>
      <c r="AI198" s="15">
        <f>IF(SUM(AJ198:AK198)=2,"Confirm_Buy","No_Action")</f>
        <v/>
      </c>
      <c r="AJ198" s="15">
        <f>IF(H198&gt;I198,1,0)</f>
        <v/>
      </c>
      <c r="AK198" s="15">
        <f>IF(K198&gt;M198,1,0)</f>
        <v/>
      </c>
    </row>
    <row r="199" ht="14.5" customHeight="1">
      <c r="A199" s="12" t="inlineStr">
        <is>
          <t>LICHSGFIN</t>
        </is>
      </c>
      <c r="B199" s="13">
        <f>IFERROR(__xludf.DUMMYFUNCTION("GOOGLEFINANCE(""NSE:""&amp;A199,""PRICE"")"),630.45)</f>
        <v/>
      </c>
      <c r="C199" s="13">
        <f>IFERROR(__xludf.DUMMYFUNCTION("GOOGLEFINANCE(""NSE:""&amp;A199,""PRICEOPEN"")"),641.25)</f>
        <v/>
      </c>
      <c r="D199" s="13">
        <f>IFERROR(__xludf.DUMMYFUNCTION("GOOGLEFINANCE(""NSE:""&amp;A199,""HIGH"")"),643.9)</f>
        <v/>
      </c>
      <c r="E199" s="13">
        <f>IFERROR(__xludf.DUMMYFUNCTION("GOOGLEFINANCE(""NSE:""&amp;A199,""LOW"")"),628.95)</f>
        <v/>
      </c>
      <c r="F199" s="13">
        <f>IFERROR(__xludf.DUMMYFUNCTION("GOOGLEFINANCE(""NSE:""&amp;A199,""closeyest"")"),641.25)</f>
        <v/>
      </c>
      <c r="G199" s="14">
        <f>(B199-C199)/B199</f>
        <v/>
      </c>
      <c r="H199" s="13">
        <f>IFERROR(__xludf.DUMMYFUNCTION("GOOGLEFINANCE(""NSE:""&amp;A199,""VOLUME"")"),824080)</f>
        <v/>
      </c>
      <c r="I199" s="13">
        <f>IFERROR(__xludf.DUMMYFUNCTION("AVERAGE(index(GOOGLEFINANCE(""NSE:""&amp;$A199, ""volume"", today()-21, today()-1), , 2))"),"#N/A")</f>
        <v/>
      </c>
      <c r="J199" s="14">
        <f>(H199-I199)/I199</f>
        <v/>
      </c>
      <c r="K199" s="13">
        <f>IFERROR(__xludf.DUMMYFUNCTION("AVERAGE(index(GOOGLEFINANCE(""NSE:""&amp;$A199, ""close"", today()-6, today()-1), , 2))"),"#N/A")</f>
        <v/>
      </c>
      <c r="L199" s="13">
        <f>IFERROR(__xludf.DUMMYFUNCTION("AVERAGE(index(GOOGLEFINANCE(""NSE:""&amp;$A199, ""close"", today()-14, today()-1), , 2))"),"#N/A")</f>
        <v/>
      </c>
      <c r="M199" s="13">
        <f>IFERROR(__xludf.DUMMYFUNCTION("AVERAGE(index(GOOGLEFINANCE(""NSE:""&amp;$A199, ""close"", today()-22, today()-1), , 2))"),"#N/A")</f>
        <v/>
      </c>
      <c r="N199" s="13">
        <f>AG199</f>
        <v/>
      </c>
      <c r="O199" s="13">
        <f>AI199</f>
        <v/>
      </c>
      <c r="P199" s="13">
        <f>W199</f>
        <v/>
      </c>
      <c r="Q199" s="13">
        <f>Y199</f>
        <v/>
      </c>
      <c r="R199" s="15" t="n"/>
      <c r="S199" s="15">
        <f>LEFT(W199,2)&amp;LEFT(Y199,2)</f>
        <v/>
      </c>
      <c r="T199" s="15" t="n"/>
      <c r="U199" s="15">
        <f>IF(K199&lt;L199,1,0)</f>
        <v/>
      </c>
      <c r="V199" s="15">
        <f>IF(H199&gt;I199,1,0)</f>
        <v/>
      </c>
      <c r="W199" s="15">
        <f>IF(SUM(U199:V199)=2,"Anticipatory_Sell","No_Action")</f>
        <v/>
      </c>
      <c r="X199" s="15" t="n"/>
      <c r="Y199" s="15">
        <f>IF(SUM(Z199:AA199)=2,"Confirm_Sell","No_Action")</f>
        <v/>
      </c>
      <c r="Z199" s="15">
        <f>IF(H199&gt;I199,1,0)</f>
        <v/>
      </c>
      <c r="AA199" s="15">
        <f>IF(K199&lt;M199,1,0)</f>
        <v/>
      </c>
      <c r="AB199" s="15" t="n"/>
      <c r="AC199" s="15">
        <f>LEFT(AG199,2)&amp;LEFT(AI199,2)</f>
        <v/>
      </c>
      <c r="AD199" s="15" t="n"/>
      <c r="AE199" s="15">
        <f>IF(K199&gt;L199,1,0)</f>
        <v/>
      </c>
      <c r="AF199" s="16">
        <f>IF(H199&gt;I199,1,0)</f>
        <v/>
      </c>
      <c r="AG199" s="16">
        <f>IF(SUM(AE199:AF199)=2,"Anticipatory_Buy","No_Action")</f>
        <v/>
      </c>
      <c r="AH199" s="15" t="n"/>
      <c r="AI199" s="15">
        <f>IF(SUM(AJ199:AK199)=2,"Confirm_Buy","No_Action")</f>
        <v/>
      </c>
      <c r="AJ199" s="15">
        <f>IF(H199&gt;I199,1,0)</f>
        <v/>
      </c>
      <c r="AK199" s="15">
        <f>IF(K199&gt;M199,1,0)</f>
        <v/>
      </c>
    </row>
    <row r="200" ht="14.5" customHeight="1">
      <c r="A200" s="12" t="inlineStr">
        <is>
          <t>LIKHITHA</t>
        </is>
      </c>
      <c r="B200" s="13">
        <f>IFERROR(__xludf.DUMMYFUNCTION("GOOGLEFINANCE(""NSE:""&amp;A200,""PRICE"")"),391.6)</f>
        <v/>
      </c>
      <c r="C200" s="13">
        <f>IFERROR(__xludf.DUMMYFUNCTION("GOOGLEFINANCE(""NSE:""&amp;A200,""PRICEOPEN"")"),399.05)</f>
        <v/>
      </c>
      <c r="D200" s="13">
        <f>IFERROR(__xludf.DUMMYFUNCTION("GOOGLEFINANCE(""NSE:""&amp;A200,""HIGH"")"),399.05)</f>
        <v/>
      </c>
      <c r="E200" s="13">
        <f>IFERROR(__xludf.DUMMYFUNCTION("GOOGLEFINANCE(""NSE:""&amp;A200,""LOW"")"),386.1)</f>
        <v/>
      </c>
      <c r="F200" s="13">
        <f>IFERROR(__xludf.DUMMYFUNCTION("GOOGLEFINANCE(""NSE:""&amp;A200,""closeyest"")"),400.7)</f>
        <v/>
      </c>
      <c r="G200" s="14">
        <f>(B200-C200)/B200</f>
        <v/>
      </c>
      <c r="H200" s="13">
        <f>IFERROR(__xludf.DUMMYFUNCTION("GOOGLEFINANCE(""NSE:""&amp;A200,""VOLUME"")"),134690)</f>
        <v/>
      </c>
      <c r="I200" s="13">
        <f>IFERROR(__xludf.DUMMYFUNCTION("AVERAGE(index(GOOGLEFINANCE(""NSE:""&amp;$A200, ""volume"", today()-21, today()-1), , 2))"),"#N/A")</f>
        <v/>
      </c>
      <c r="J200" s="14">
        <f>(H200-I200)/I200</f>
        <v/>
      </c>
      <c r="K200" s="13">
        <f>IFERROR(__xludf.DUMMYFUNCTION("AVERAGE(index(GOOGLEFINANCE(""NSE:""&amp;$A200, ""close"", today()-6, today()-1), , 2))"),"#N/A")</f>
        <v/>
      </c>
      <c r="L200" s="13">
        <f>IFERROR(__xludf.DUMMYFUNCTION("AVERAGE(index(GOOGLEFINANCE(""NSE:""&amp;$A200, ""close"", today()-14, today()-1), , 2))"),"#N/A")</f>
        <v/>
      </c>
      <c r="M200" s="13">
        <f>IFERROR(__xludf.DUMMYFUNCTION("AVERAGE(index(GOOGLEFINANCE(""NSE:""&amp;$A200, ""close"", today()-22, today()-1), , 2))"),"#N/A")</f>
        <v/>
      </c>
      <c r="N200" s="13">
        <f>AG200</f>
        <v/>
      </c>
      <c r="O200" s="13">
        <f>AI200</f>
        <v/>
      </c>
      <c r="P200" s="13">
        <f>W200</f>
        <v/>
      </c>
      <c r="Q200" s="13">
        <f>Y200</f>
        <v/>
      </c>
      <c r="R200" s="15" t="n"/>
      <c r="S200" s="15">
        <f>LEFT(W200,2)&amp;LEFT(Y200,2)</f>
        <v/>
      </c>
      <c r="T200" s="15" t="n"/>
      <c r="U200" s="15">
        <f>IF(K200&lt;L200,1,0)</f>
        <v/>
      </c>
      <c r="V200" s="15">
        <f>IF(H200&gt;I200,1,0)</f>
        <v/>
      </c>
      <c r="W200" s="15">
        <f>IF(SUM(U200:V200)=2,"Anticipatory_Sell","No_Action")</f>
        <v/>
      </c>
      <c r="X200" s="15" t="n"/>
      <c r="Y200" s="15">
        <f>IF(SUM(Z200:AA200)=2,"Confirm_Sell","No_Action")</f>
        <v/>
      </c>
      <c r="Z200" s="15">
        <f>IF(H200&gt;I200,1,0)</f>
        <v/>
      </c>
      <c r="AA200" s="15">
        <f>IF(K200&lt;M200,1,0)</f>
        <v/>
      </c>
      <c r="AB200" s="15" t="n"/>
      <c r="AC200" s="15">
        <f>LEFT(AG200,2)&amp;LEFT(AI200,2)</f>
        <v/>
      </c>
      <c r="AD200" s="15" t="n"/>
      <c r="AE200" s="15">
        <f>IF(K200&gt;L200,1,0)</f>
        <v/>
      </c>
      <c r="AF200" s="16">
        <f>IF(H200&gt;I200,1,0)</f>
        <v/>
      </c>
      <c r="AG200" s="16">
        <f>IF(SUM(AE200:AF200)=2,"Anticipatory_Buy","No_Action")</f>
        <v/>
      </c>
      <c r="AH200" s="15" t="n"/>
      <c r="AI200" s="15">
        <f>IF(SUM(AJ200:AK200)=2,"Confirm_Buy","No_Action")</f>
        <v/>
      </c>
      <c r="AJ200" s="15">
        <f>IF(H200&gt;I200,1,0)</f>
        <v/>
      </c>
      <c r="AK200" s="15">
        <f>IF(K200&gt;M200,1,0)</f>
        <v/>
      </c>
    </row>
    <row r="201" ht="14.5" customHeight="1">
      <c r="A201" s="12" t="inlineStr">
        <is>
          <t>LINCOLN</t>
        </is>
      </c>
      <c r="B201" s="13">
        <f>IFERROR(__xludf.DUMMYFUNCTION("GOOGLEFINANCE(""NSE:""&amp;A201,""PRICE"")"),957)</f>
        <v/>
      </c>
      <c r="C201" s="13">
        <f>IFERROR(__xludf.DUMMYFUNCTION("GOOGLEFINANCE(""NSE:""&amp;A201,""PRICEOPEN"")"),929.95)</f>
        <v/>
      </c>
      <c r="D201" s="13">
        <f>IFERROR(__xludf.DUMMYFUNCTION("GOOGLEFINANCE(""NSE:""&amp;A201,""HIGH"")"),979.5)</f>
        <v/>
      </c>
      <c r="E201" s="13">
        <f>IFERROR(__xludf.DUMMYFUNCTION("GOOGLEFINANCE(""NSE:""&amp;A201,""LOW"")"),921.15)</f>
        <v/>
      </c>
      <c r="F201" s="13">
        <f>IFERROR(__xludf.DUMMYFUNCTION("GOOGLEFINANCE(""NSE:""&amp;A201,""closeyest"")"),919.35)</f>
        <v/>
      </c>
      <c r="G201" s="14">
        <f>(B201-C201)/B201</f>
        <v/>
      </c>
      <c r="H201" s="13">
        <f>IFERROR(__xludf.DUMMYFUNCTION("GOOGLEFINANCE(""NSE:""&amp;A201,""VOLUME"")"),460555)</f>
        <v/>
      </c>
      <c r="I201" s="13">
        <f>IFERROR(__xludf.DUMMYFUNCTION("AVERAGE(index(GOOGLEFINANCE(""NSE:""&amp;$A201, ""volume"", today()-21, today()-1), , 2))"),"#N/A")</f>
        <v/>
      </c>
      <c r="J201" s="14">
        <f>(H201-I201)/I201</f>
        <v/>
      </c>
      <c r="K201" s="13">
        <f>IFERROR(__xludf.DUMMYFUNCTION("AVERAGE(index(GOOGLEFINANCE(""NSE:""&amp;$A201, ""close"", today()-6, today()-1), , 2))"),"#N/A")</f>
        <v/>
      </c>
      <c r="L201" s="13">
        <f>IFERROR(__xludf.DUMMYFUNCTION("AVERAGE(index(GOOGLEFINANCE(""NSE:""&amp;$A201, ""close"", today()-14, today()-1), , 2))"),"#N/A")</f>
        <v/>
      </c>
      <c r="M201" s="13">
        <f>IFERROR(__xludf.DUMMYFUNCTION("AVERAGE(index(GOOGLEFINANCE(""NSE:""&amp;$A201, ""close"", today()-22, today()-1), , 2))"),"#N/A")</f>
        <v/>
      </c>
      <c r="N201" s="13">
        <f>AG201</f>
        <v/>
      </c>
      <c r="O201" s="13">
        <f>AI201</f>
        <v/>
      </c>
      <c r="P201" s="13">
        <f>W201</f>
        <v/>
      </c>
      <c r="Q201" s="13">
        <f>Y201</f>
        <v/>
      </c>
      <c r="R201" s="15" t="n"/>
      <c r="S201" s="15">
        <f>LEFT(W201,2)&amp;LEFT(Y201,2)</f>
        <v/>
      </c>
      <c r="T201" s="15" t="n"/>
      <c r="U201" s="15">
        <f>IF(K201&lt;L201,1,0)</f>
        <v/>
      </c>
      <c r="V201" s="15">
        <f>IF(H201&gt;I201,1,0)</f>
        <v/>
      </c>
      <c r="W201" s="15">
        <f>IF(SUM(U201:V201)=2,"Anticipatory_Sell","No_Action")</f>
        <v/>
      </c>
      <c r="X201" s="15" t="n"/>
      <c r="Y201" s="15">
        <f>IF(SUM(Z201:AA201)=2,"Confirm_Sell","No_Action")</f>
        <v/>
      </c>
      <c r="Z201" s="15">
        <f>IF(H201&gt;I201,1,0)</f>
        <v/>
      </c>
      <c r="AA201" s="15">
        <f>IF(K201&lt;M201,1,0)</f>
        <v/>
      </c>
      <c r="AB201" s="15" t="n"/>
      <c r="AC201" s="15">
        <f>LEFT(AG201,2)&amp;LEFT(AI201,2)</f>
        <v/>
      </c>
      <c r="AD201" s="15" t="n"/>
      <c r="AE201" s="15">
        <f>IF(K201&gt;L201,1,0)</f>
        <v/>
      </c>
      <c r="AF201" s="16">
        <f>IF(H201&gt;I201,1,0)</f>
        <v/>
      </c>
      <c r="AG201" s="16">
        <f>IF(SUM(AE201:AF201)=2,"Anticipatory_Buy","No_Action")</f>
        <v/>
      </c>
      <c r="AH201" s="15" t="n"/>
      <c r="AI201" s="15">
        <f>IF(SUM(AJ201:AK201)=2,"Confirm_Buy","No_Action")</f>
        <v/>
      </c>
      <c r="AJ201" s="15">
        <f>IF(H201&gt;I201,1,0)</f>
        <v/>
      </c>
      <c r="AK201" s="15">
        <f>IF(K201&gt;M201,1,0)</f>
        <v/>
      </c>
    </row>
    <row r="202" ht="14.5" customHeight="1">
      <c r="A202" s="12" t="inlineStr">
        <is>
          <t>LUPIN</t>
        </is>
      </c>
      <c r="B202" s="13">
        <f>IFERROR(__xludf.DUMMYFUNCTION("GOOGLEFINANCE(""NSE:""&amp;A202,""PRICE"")"),2110)</f>
        <v/>
      </c>
      <c r="C202" s="13">
        <f>IFERROR(__xludf.DUMMYFUNCTION("GOOGLEFINANCE(""NSE:""&amp;A202,""PRICEOPEN"")"),2136)</f>
        <v/>
      </c>
      <c r="D202" s="13">
        <f>IFERROR(__xludf.DUMMYFUNCTION("GOOGLEFINANCE(""NSE:""&amp;A202,""HIGH"")"),2142)</f>
        <v/>
      </c>
      <c r="E202" s="13">
        <f>IFERROR(__xludf.DUMMYFUNCTION("GOOGLEFINANCE(""NSE:""&amp;A202,""LOW"")"),2097.45)</f>
        <v/>
      </c>
      <c r="F202" s="13">
        <f>IFERROR(__xludf.DUMMYFUNCTION("GOOGLEFINANCE(""NSE:""&amp;A202,""closeyest"")"),2133.55)</f>
        <v/>
      </c>
      <c r="G202" s="14">
        <f>(B202-C202)/B202</f>
        <v/>
      </c>
      <c r="H202" s="13">
        <f>IFERROR(__xludf.DUMMYFUNCTION("GOOGLEFINANCE(""NSE:""&amp;A202,""VOLUME"")"),599944)</f>
        <v/>
      </c>
      <c r="I202" s="13">
        <f>IFERROR(__xludf.DUMMYFUNCTION("AVERAGE(index(GOOGLEFINANCE(""NSE:""&amp;$A202, ""volume"", today()-21, today()-1), , 2))"),"#N/A")</f>
        <v/>
      </c>
      <c r="J202" s="14">
        <f>(H202-I202)/I202</f>
        <v/>
      </c>
      <c r="K202" s="13">
        <f>IFERROR(__xludf.DUMMYFUNCTION("AVERAGE(index(GOOGLEFINANCE(""NSE:""&amp;$A202, ""close"", today()-6, today()-1), , 2))"),"#N/A")</f>
        <v/>
      </c>
      <c r="L202" s="13">
        <f>IFERROR(__xludf.DUMMYFUNCTION("AVERAGE(index(GOOGLEFINANCE(""NSE:""&amp;$A202, ""close"", today()-14, today()-1), , 2))"),"#N/A")</f>
        <v/>
      </c>
      <c r="M202" s="13">
        <f>IFERROR(__xludf.DUMMYFUNCTION("AVERAGE(index(GOOGLEFINANCE(""NSE:""&amp;$A202, ""close"", today()-22, today()-1), , 2))"),"#N/A")</f>
        <v/>
      </c>
      <c r="N202" s="13">
        <f>AG202</f>
        <v/>
      </c>
      <c r="O202" s="13">
        <f>AI202</f>
        <v/>
      </c>
      <c r="P202" s="13">
        <f>W202</f>
        <v/>
      </c>
      <c r="Q202" s="13">
        <f>Y202</f>
        <v/>
      </c>
      <c r="R202" s="15" t="n"/>
      <c r="S202" s="15">
        <f>LEFT(W202,2)&amp;LEFT(Y202,2)</f>
        <v/>
      </c>
      <c r="T202" s="15" t="n"/>
      <c r="U202" s="15">
        <f>IF(K202&lt;L202,1,0)</f>
        <v/>
      </c>
      <c r="V202" s="15">
        <f>IF(H202&gt;I202,1,0)</f>
        <v/>
      </c>
      <c r="W202" s="15">
        <f>IF(SUM(U202:V202)=2,"Anticipatory_Sell","No_Action")</f>
        <v/>
      </c>
      <c r="X202" s="15" t="n"/>
      <c r="Y202" s="15">
        <f>IF(SUM(Z202:AA202)=2,"Confirm_Sell","No_Action")</f>
        <v/>
      </c>
      <c r="Z202" s="15">
        <f>IF(H202&gt;I202,1,0)</f>
        <v/>
      </c>
      <c r="AA202" s="15">
        <f>IF(K202&lt;M202,1,0)</f>
        <v/>
      </c>
      <c r="AB202" s="15" t="n"/>
      <c r="AC202" s="15">
        <f>LEFT(AG202,2)&amp;LEFT(AI202,2)</f>
        <v/>
      </c>
      <c r="AD202" s="15" t="n"/>
      <c r="AE202" s="15">
        <f>IF(K202&gt;L202,1,0)</f>
        <v/>
      </c>
      <c r="AF202" s="16">
        <f>IF(H202&gt;I202,1,0)</f>
        <v/>
      </c>
      <c r="AG202" s="16">
        <f>IF(SUM(AE202:AF202)=2,"Anticipatory_Buy","No_Action")</f>
        <v/>
      </c>
      <c r="AH202" s="15" t="n"/>
      <c r="AI202" s="15">
        <f>IF(SUM(AJ202:AK202)=2,"Confirm_Buy","No_Action")</f>
        <v/>
      </c>
      <c r="AJ202" s="15">
        <f>IF(H202&gt;I202,1,0)</f>
        <v/>
      </c>
      <c r="AK202" s="15">
        <f>IF(K202&gt;M202,1,0)</f>
        <v/>
      </c>
    </row>
    <row r="203" ht="14.5" customHeight="1">
      <c r="A203" s="12" t="inlineStr">
        <is>
          <t>M&amp;M</t>
        </is>
      </c>
      <c r="B203" s="13">
        <f>IFERROR(__xludf.DUMMYFUNCTION("GOOGLEFINANCE(""NSE:""&amp;A203,""PRICE"")"),3048)</f>
        <v/>
      </c>
      <c r="C203" s="13">
        <f>IFERROR(__xludf.DUMMYFUNCTION("GOOGLEFINANCE(""NSE:""&amp;A203,""PRICEOPEN"")"),3063.4)</f>
        <v/>
      </c>
      <c r="D203" s="13">
        <f>IFERROR(__xludf.DUMMYFUNCTION("GOOGLEFINANCE(""NSE:""&amp;A203,""HIGH"")"),3073)</f>
        <v/>
      </c>
      <c r="E203" s="13">
        <f>IFERROR(__xludf.DUMMYFUNCTION("GOOGLEFINANCE(""NSE:""&amp;A203,""LOW"")"),3040)</f>
        <v/>
      </c>
      <c r="F203" s="13">
        <f>IFERROR(__xludf.DUMMYFUNCTION("GOOGLEFINANCE(""NSE:""&amp;A203,""closeyest"")"),3073)</f>
        <v/>
      </c>
      <c r="G203" s="14">
        <f>(B203-C203)/B203</f>
        <v/>
      </c>
      <c r="H203" s="13">
        <f>IFERROR(__xludf.DUMMYFUNCTION("GOOGLEFINANCE(""NSE:""&amp;A203,""VOLUME"")"),1879542)</f>
        <v/>
      </c>
      <c r="I203" s="13">
        <f>IFERROR(__xludf.DUMMYFUNCTION("AVERAGE(index(GOOGLEFINANCE(""NSE:""&amp;$A203, ""volume"", today()-21, today()-1), , 2))"),"#N/A")</f>
        <v/>
      </c>
      <c r="J203" s="14">
        <f>(H203-I203)/I203</f>
        <v/>
      </c>
      <c r="K203" s="13">
        <f>IFERROR(__xludf.DUMMYFUNCTION("AVERAGE(index(GOOGLEFINANCE(""NSE:""&amp;$A203, ""close"", today()-6, today()-1), , 2))"),"#N/A")</f>
        <v/>
      </c>
      <c r="L203" s="13">
        <f>IFERROR(__xludf.DUMMYFUNCTION("AVERAGE(index(GOOGLEFINANCE(""NSE:""&amp;$A203, ""close"", today()-14, today()-1), , 2))"),"#N/A")</f>
        <v/>
      </c>
      <c r="M203" s="13">
        <f>IFERROR(__xludf.DUMMYFUNCTION("AVERAGE(index(GOOGLEFINANCE(""NSE:""&amp;$A203, ""close"", today()-22, today()-1), , 2))"),"#N/A")</f>
        <v/>
      </c>
      <c r="N203" s="13">
        <f>AG203</f>
        <v/>
      </c>
      <c r="O203" s="13">
        <f>AI203</f>
        <v/>
      </c>
      <c r="P203" s="13">
        <f>W203</f>
        <v/>
      </c>
      <c r="Q203" s="13">
        <f>Y203</f>
        <v/>
      </c>
      <c r="R203" s="15" t="n"/>
      <c r="S203" s="15">
        <f>LEFT(W203,2)&amp;LEFT(Y203,2)</f>
        <v/>
      </c>
      <c r="T203" s="15" t="n"/>
      <c r="U203" s="15">
        <f>IF(K203&lt;L203,1,0)</f>
        <v/>
      </c>
      <c r="V203" s="15">
        <f>IF(H203&gt;I203,1,0)</f>
        <v/>
      </c>
      <c r="W203" s="15">
        <f>IF(SUM(U203:V203)=2,"Anticipatory_Sell","No_Action")</f>
        <v/>
      </c>
      <c r="X203" s="15" t="n"/>
      <c r="Y203" s="15">
        <f>IF(SUM(Z203:AA203)=2,"Confirm_Sell","No_Action")</f>
        <v/>
      </c>
      <c r="Z203" s="15">
        <f>IF(H203&gt;I203,1,0)</f>
        <v/>
      </c>
      <c r="AA203" s="15">
        <f>IF(K203&lt;M203,1,0)</f>
        <v/>
      </c>
      <c r="AB203" s="15" t="n"/>
      <c r="AC203" s="15">
        <f>LEFT(AG203,2)&amp;LEFT(AI203,2)</f>
        <v/>
      </c>
      <c r="AD203" s="15" t="n"/>
      <c r="AE203" s="15">
        <f>IF(K203&gt;L203,1,0)</f>
        <v/>
      </c>
      <c r="AF203" s="16">
        <f>IF(H203&gt;I203,1,0)</f>
        <v/>
      </c>
      <c r="AG203" s="16">
        <f>IF(SUM(AE203:AF203)=2,"Anticipatory_Buy","No_Action")</f>
        <v/>
      </c>
      <c r="AH203" s="15" t="n"/>
      <c r="AI203" s="15">
        <f>IF(SUM(AJ203:AK203)=2,"Confirm_Buy","No_Action")</f>
        <v/>
      </c>
      <c r="AJ203" s="15">
        <f>IF(H203&gt;I203,1,0)</f>
        <v/>
      </c>
      <c r="AK203" s="15">
        <f>IF(K203&gt;M203,1,0)</f>
        <v/>
      </c>
    </row>
    <row r="204" ht="14.5" customHeight="1">
      <c r="A204" s="12" t="inlineStr">
        <is>
          <t>MMFL</t>
        </is>
      </c>
      <c r="B204" s="13">
        <f>IFERROR(__xludf.DUMMYFUNCTION("GOOGLEFINANCE(""NSE:""&amp;A204,""PRICE"")"),532)</f>
        <v/>
      </c>
      <c r="C204" s="13">
        <f>IFERROR(__xludf.DUMMYFUNCTION("GOOGLEFINANCE(""NSE:""&amp;A204,""PRICEOPEN"")"),540)</f>
        <v/>
      </c>
      <c r="D204" s="13">
        <f>IFERROR(__xludf.DUMMYFUNCTION("GOOGLEFINANCE(""NSE:""&amp;A204,""HIGH"")"),544.75)</f>
        <v/>
      </c>
      <c r="E204" s="13">
        <f>IFERROR(__xludf.DUMMYFUNCTION("GOOGLEFINANCE(""NSE:""&amp;A204,""LOW"")"),531.25)</f>
        <v/>
      </c>
      <c r="F204" s="13">
        <f>IFERROR(__xludf.DUMMYFUNCTION("GOOGLEFINANCE(""NSE:""&amp;A204,""closeyest"")"),542.35)</f>
        <v/>
      </c>
      <c r="G204" s="14">
        <f>(B204-C204)/B204</f>
        <v/>
      </c>
      <c r="H204" s="13">
        <f>IFERROR(__xludf.DUMMYFUNCTION("GOOGLEFINANCE(""NSE:""&amp;A204,""VOLUME"")"),31872)</f>
        <v/>
      </c>
      <c r="I204" s="13">
        <f>IFERROR(__xludf.DUMMYFUNCTION("AVERAGE(index(GOOGLEFINANCE(""NSE:""&amp;$A204, ""volume"", today()-21, today()-1), , 2))"),"#N/A")</f>
        <v/>
      </c>
      <c r="J204" s="14">
        <f>(H204-I204)/I204</f>
        <v/>
      </c>
      <c r="K204" s="13">
        <f>IFERROR(__xludf.DUMMYFUNCTION("AVERAGE(index(GOOGLEFINANCE(""NSE:""&amp;$A204, ""close"", today()-6, today()-1), , 2))"),"#N/A")</f>
        <v/>
      </c>
      <c r="L204" s="13">
        <f>IFERROR(__xludf.DUMMYFUNCTION("AVERAGE(index(GOOGLEFINANCE(""NSE:""&amp;$A204, ""close"", today()-14, today()-1), , 2))"),"#N/A")</f>
        <v/>
      </c>
      <c r="M204" s="13">
        <f>IFERROR(__xludf.DUMMYFUNCTION("AVERAGE(index(GOOGLEFINANCE(""NSE:""&amp;$A204, ""close"", today()-22, today()-1), , 2))"),"#N/A")</f>
        <v/>
      </c>
      <c r="N204" s="13">
        <f>AG204</f>
        <v/>
      </c>
      <c r="O204" s="13">
        <f>AI204</f>
        <v/>
      </c>
      <c r="P204" s="13">
        <f>W204</f>
        <v/>
      </c>
      <c r="Q204" s="13">
        <f>Y204</f>
        <v/>
      </c>
      <c r="R204" s="15" t="n"/>
      <c r="S204" s="15">
        <f>LEFT(W204,2)&amp;LEFT(Y204,2)</f>
        <v/>
      </c>
      <c r="T204" s="15" t="n"/>
      <c r="U204" s="15">
        <f>IF(K204&lt;L204,1,0)</f>
        <v/>
      </c>
      <c r="V204" s="15">
        <f>IF(H204&gt;I204,1,0)</f>
        <v/>
      </c>
      <c r="W204" s="15">
        <f>IF(SUM(U204:V204)=2,"Anticipatory_Sell","No_Action")</f>
        <v/>
      </c>
      <c r="X204" s="15" t="n"/>
      <c r="Y204" s="15">
        <f>IF(SUM(Z204:AA204)=2,"Confirm_Sell","No_Action")</f>
        <v/>
      </c>
      <c r="Z204" s="15">
        <f>IF(H204&gt;I204,1,0)</f>
        <v/>
      </c>
      <c r="AA204" s="15">
        <f>IF(K204&lt;M204,1,0)</f>
        <v/>
      </c>
      <c r="AB204" s="15" t="n"/>
      <c r="AC204" s="15">
        <f>LEFT(AG204,2)&amp;LEFT(AI204,2)</f>
        <v/>
      </c>
      <c r="AD204" s="15" t="n"/>
      <c r="AE204" s="15">
        <f>IF(K204&gt;L204,1,0)</f>
        <v/>
      </c>
      <c r="AF204" s="16">
        <f>IF(H204&gt;I204,1,0)</f>
        <v/>
      </c>
      <c r="AG204" s="16">
        <f>IF(SUM(AE204:AF204)=2,"Anticipatory_Buy","No_Action")</f>
        <v/>
      </c>
      <c r="AH204" s="15" t="n"/>
      <c r="AI204" s="15">
        <f>IF(SUM(AJ204:AK204)=2,"Confirm_Buy","No_Action")</f>
        <v/>
      </c>
      <c r="AJ204" s="15">
        <f>IF(H204&gt;I204,1,0)</f>
        <v/>
      </c>
      <c r="AK204" s="15">
        <f>IF(K204&gt;M204,1,0)</f>
        <v/>
      </c>
    </row>
    <row r="205" ht="14.5" customHeight="1">
      <c r="A205" s="12" t="inlineStr">
        <is>
          <t>MAHSEAMLES</t>
        </is>
      </c>
      <c r="B205" s="13">
        <f>IFERROR(__xludf.DUMMYFUNCTION("GOOGLEFINANCE(""NSE:""&amp;A205,""PRICE"")"),758)</f>
        <v/>
      </c>
      <c r="C205" s="13">
        <f>IFERROR(__xludf.DUMMYFUNCTION("GOOGLEFINANCE(""NSE:""&amp;A205,""PRICEOPEN"")"),762)</f>
        <v/>
      </c>
      <c r="D205" s="13">
        <f>IFERROR(__xludf.DUMMYFUNCTION("GOOGLEFINANCE(""NSE:""&amp;A205,""HIGH"")"),765.45)</f>
        <v/>
      </c>
      <c r="E205" s="13">
        <f>IFERROR(__xludf.DUMMYFUNCTION("GOOGLEFINANCE(""NSE:""&amp;A205,""LOW"")"),745.3)</f>
        <v/>
      </c>
      <c r="F205" s="13">
        <f>IFERROR(__xludf.DUMMYFUNCTION("GOOGLEFINANCE(""NSE:""&amp;A205,""closeyest"")"),768.1)</f>
        <v/>
      </c>
      <c r="G205" s="14">
        <f>(B205-C205)/B205</f>
        <v/>
      </c>
      <c r="H205" s="13">
        <f>IFERROR(__xludf.DUMMYFUNCTION("GOOGLEFINANCE(""NSE:""&amp;A205,""VOLUME"")"),864130)</f>
        <v/>
      </c>
      <c r="I205" s="13">
        <f>IFERROR(__xludf.DUMMYFUNCTION("AVERAGE(index(GOOGLEFINANCE(""NSE:""&amp;$A205, ""volume"", today()-21, today()-1), , 2))"),"#N/A")</f>
        <v/>
      </c>
      <c r="J205" s="14">
        <f>(H205-I205)/I205</f>
        <v/>
      </c>
      <c r="K205" s="13">
        <f>IFERROR(__xludf.DUMMYFUNCTION("AVERAGE(index(GOOGLEFINANCE(""NSE:""&amp;$A205, ""close"", today()-6, today()-1), , 2))"),"#N/A")</f>
        <v/>
      </c>
      <c r="L205" s="13">
        <f>IFERROR(__xludf.DUMMYFUNCTION("AVERAGE(index(GOOGLEFINANCE(""NSE:""&amp;$A205, ""close"", today()-14, today()-1), , 2))"),"#N/A")</f>
        <v/>
      </c>
      <c r="M205" s="13">
        <f>IFERROR(__xludf.DUMMYFUNCTION("AVERAGE(index(GOOGLEFINANCE(""NSE:""&amp;$A205, ""close"", today()-22, today()-1), , 2))"),"#N/A")</f>
        <v/>
      </c>
      <c r="N205" s="13">
        <f>AG205</f>
        <v/>
      </c>
      <c r="O205" s="13">
        <f>AI205</f>
        <v/>
      </c>
      <c r="P205" s="13">
        <f>W205</f>
        <v/>
      </c>
      <c r="Q205" s="13">
        <f>Y205</f>
        <v/>
      </c>
      <c r="R205" s="15" t="n"/>
      <c r="S205" s="15">
        <f>LEFT(W205,2)&amp;LEFT(Y205,2)</f>
        <v/>
      </c>
      <c r="T205" s="15" t="n"/>
      <c r="U205" s="15">
        <f>IF(K205&lt;L205,1,0)</f>
        <v/>
      </c>
      <c r="V205" s="15">
        <f>IF(H205&gt;I205,1,0)</f>
        <v/>
      </c>
      <c r="W205" s="15">
        <f>IF(SUM(U205:V205)=2,"Anticipatory_Sell","No_Action")</f>
        <v/>
      </c>
      <c r="X205" s="15" t="n"/>
      <c r="Y205" s="15">
        <f>IF(SUM(Z205:AA205)=2,"Confirm_Sell","No_Action")</f>
        <v/>
      </c>
      <c r="Z205" s="15">
        <f>IF(H205&gt;I205,1,0)</f>
        <v/>
      </c>
      <c r="AA205" s="15">
        <f>IF(K205&lt;M205,1,0)</f>
        <v/>
      </c>
      <c r="AB205" s="15" t="n"/>
      <c r="AC205" s="15">
        <f>LEFT(AG205,2)&amp;LEFT(AI205,2)</f>
        <v/>
      </c>
      <c r="AD205" s="15" t="n"/>
      <c r="AE205" s="15">
        <f>IF(K205&gt;L205,1,0)</f>
        <v/>
      </c>
      <c r="AF205" s="16">
        <f>IF(H205&gt;I205,1,0)</f>
        <v/>
      </c>
      <c r="AG205" s="16">
        <f>IF(SUM(AE205:AF205)=2,"Anticipatory_Buy","No_Action")</f>
        <v/>
      </c>
      <c r="AH205" s="15" t="n"/>
      <c r="AI205" s="15">
        <f>IF(SUM(AJ205:AK205)=2,"Confirm_Buy","No_Action")</f>
        <v/>
      </c>
      <c r="AJ205" s="15">
        <f>IF(H205&gt;I205,1,0)</f>
        <v/>
      </c>
      <c r="AK205" s="15">
        <f>IF(K205&gt;M205,1,0)</f>
        <v/>
      </c>
    </row>
    <row r="206" ht="14.5" customHeight="1">
      <c r="A206" s="12" t="inlineStr">
        <is>
          <t>MAITHANALL</t>
        </is>
      </c>
      <c r="B206" s="13">
        <f>IFERROR(__xludf.DUMMYFUNCTION("GOOGLEFINANCE(""NSE:""&amp;A206,""PRICE"")"),1205)</f>
        <v/>
      </c>
      <c r="C206" s="13">
        <f>IFERROR(__xludf.DUMMYFUNCTION("GOOGLEFINANCE(""NSE:""&amp;A206,""PRICEOPEN"")"),1197)</f>
        <v/>
      </c>
      <c r="D206" s="13">
        <f>IFERROR(__xludf.DUMMYFUNCTION("GOOGLEFINANCE(""NSE:""&amp;A206,""HIGH"")"),1220.8)</f>
        <v/>
      </c>
      <c r="E206" s="13">
        <f>IFERROR(__xludf.DUMMYFUNCTION("GOOGLEFINANCE(""NSE:""&amp;A206,""LOW"")"),1190)</f>
        <v/>
      </c>
      <c r="F206" s="13">
        <f>IFERROR(__xludf.DUMMYFUNCTION("GOOGLEFINANCE(""NSE:""&amp;A206,""closeyest"")"),1187)</f>
        <v/>
      </c>
      <c r="G206" s="14">
        <f>(B206-C206)/B206</f>
        <v/>
      </c>
      <c r="H206" s="13">
        <f>IFERROR(__xludf.DUMMYFUNCTION("GOOGLEFINANCE(""NSE:""&amp;A206,""VOLUME"")"),80910)</f>
        <v/>
      </c>
      <c r="I206" s="13">
        <f>IFERROR(__xludf.DUMMYFUNCTION("AVERAGE(index(GOOGLEFINANCE(""NSE:""&amp;$A206, ""volume"", today()-21, today()-1), , 2))"),"#N/A")</f>
        <v/>
      </c>
      <c r="J206" s="14">
        <f>(H206-I206)/I206</f>
        <v/>
      </c>
      <c r="K206" s="13">
        <f>IFERROR(__xludf.DUMMYFUNCTION("AVERAGE(index(GOOGLEFINANCE(""NSE:""&amp;$A206, ""close"", today()-6, today()-1), , 2))"),"#N/A")</f>
        <v/>
      </c>
      <c r="L206" s="13">
        <f>IFERROR(__xludf.DUMMYFUNCTION("AVERAGE(index(GOOGLEFINANCE(""NSE:""&amp;$A206, ""close"", today()-14, today()-1), , 2))"),"#N/A")</f>
        <v/>
      </c>
      <c r="M206" s="13">
        <f>IFERROR(__xludf.DUMMYFUNCTION("AVERAGE(index(GOOGLEFINANCE(""NSE:""&amp;$A206, ""close"", today()-22, today()-1), , 2))"),"#N/A")</f>
        <v/>
      </c>
      <c r="N206" s="13">
        <f>AG206</f>
        <v/>
      </c>
      <c r="O206" s="13">
        <f>AI206</f>
        <v/>
      </c>
      <c r="P206" s="13">
        <f>W206</f>
        <v/>
      </c>
      <c r="Q206" s="13">
        <f>Y206</f>
        <v/>
      </c>
      <c r="R206" s="15" t="n"/>
      <c r="S206" s="15">
        <f>LEFT(W206,2)&amp;LEFT(Y206,2)</f>
        <v/>
      </c>
      <c r="T206" s="15" t="n"/>
      <c r="U206" s="15">
        <f>IF(K206&lt;L206,1,0)</f>
        <v/>
      </c>
      <c r="V206" s="15">
        <f>IF(H206&gt;I206,1,0)</f>
        <v/>
      </c>
      <c r="W206" s="15">
        <f>IF(SUM(U206:V206)=2,"Anticipatory_Sell","No_Action")</f>
        <v/>
      </c>
      <c r="X206" s="15" t="n"/>
      <c r="Y206" s="15">
        <f>IF(SUM(Z206:AA206)=2,"Confirm_Sell","No_Action")</f>
        <v/>
      </c>
      <c r="Z206" s="15">
        <f>IF(H206&gt;I206,1,0)</f>
        <v/>
      </c>
      <c r="AA206" s="15">
        <f>IF(K206&lt;M206,1,0)</f>
        <v/>
      </c>
      <c r="AB206" s="15" t="n"/>
      <c r="AC206" s="15">
        <f>LEFT(AG206,2)&amp;LEFT(AI206,2)</f>
        <v/>
      </c>
      <c r="AD206" s="15" t="n"/>
      <c r="AE206" s="15">
        <f>IF(K206&gt;L206,1,0)</f>
        <v/>
      </c>
      <c r="AF206" s="16">
        <f>IF(H206&gt;I206,1,0)</f>
        <v/>
      </c>
      <c r="AG206" s="16">
        <f>IF(SUM(AE206:AF206)=2,"Anticipatory_Buy","No_Action")</f>
        <v/>
      </c>
      <c r="AH206" s="15" t="n"/>
      <c r="AI206" s="15">
        <f>IF(SUM(AJ206:AK206)=2,"Confirm_Buy","No_Action")</f>
        <v/>
      </c>
      <c r="AJ206" s="15">
        <f>IF(H206&gt;I206,1,0)</f>
        <v/>
      </c>
      <c r="AK206" s="15">
        <f>IF(K206&gt;M206,1,0)</f>
        <v/>
      </c>
    </row>
    <row r="207" ht="14.5" customHeight="1">
      <c r="A207" s="12" t="inlineStr">
        <is>
          <t>MANINFRA</t>
        </is>
      </c>
      <c r="B207" s="13">
        <f>IFERROR(__xludf.DUMMYFUNCTION("GOOGLEFINANCE(""NSE:""&amp;A207,""PRICE"")"),241.9)</f>
        <v/>
      </c>
      <c r="C207" s="13">
        <f>IFERROR(__xludf.DUMMYFUNCTION("GOOGLEFINANCE(""NSE:""&amp;A207,""PRICEOPEN"")"),245.76)</f>
        <v/>
      </c>
      <c r="D207" s="13">
        <f>IFERROR(__xludf.DUMMYFUNCTION("GOOGLEFINANCE(""NSE:""&amp;A207,""HIGH"")"),249.4)</f>
        <v/>
      </c>
      <c r="E207" s="13">
        <f>IFERROR(__xludf.DUMMYFUNCTION("GOOGLEFINANCE(""NSE:""&amp;A207,""LOW"")"),239.21)</f>
        <v/>
      </c>
      <c r="F207" s="13">
        <f>IFERROR(__xludf.DUMMYFUNCTION("GOOGLEFINANCE(""NSE:""&amp;A207,""closeyest"")"),243.51)</f>
        <v/>
      </c>
      <c r="G207" s="14">
        <f>(B207-C207)/B207</f>
        <v/>
      </c>
      <c r="H207" s="13">
        <f>IFERROR(__xludf.DUMMYFUNCTION("GOOGLEFINANCE(""NSE:""&amp;A207,""VOLUME"")"),1654142)</f>
        <v/>
      </c>
      <c r="I207" s="13">
        <f>IFERROR(__xludf.DUMMYFUNCTION("AVERAGE(index(GOOGLEFINANCE(""NSE:""&amp;$A207, ""volume"", today()-21, today()-1), , 2))"),"#N/A")</f>
        <v/>
      </c>
      <c r="J207" s="14">
        <f>(H207-I207)/I207</f>
        <v/>
      </c>
      <c r="K207" s="13">
        <f>IFERROR(__xludf.DUMMYFUNCTION("AVERAGE(index(GOOGLEFINANCE(""NSE:""&amp;$A207, ""close"", today()-6, today()-1), , 2))"),"#N/A")</f>
        <v/>
      </c>
      <c r="L207" s="13">
        <f>IFERROR(__xludf.DUMMYFUNCTION("AVERAGE(index(GOOGLEFINANCE(""NSE:""&amp;$A207, ""close"", today()-14, today()-1), , 2))"),"#N/A")</f>
        <v/>
      </c>
      <c r="M207" s="13">
        <f>IFERROR(__xludf.DUMMYFUNCTION("AVERAGE(index(GOOGLEFINANCE(""NSE:""&amp;$A207, ""close"", today()-22, today()-1), , 2))"),"#N/A")</f>
        <v/>
      </c>
      <c r="N207" s="13">
        <f>AG207</f>
        <v/>
      </c>
      <c r="O207" s="13">
        <f>AI207</f>
        <v/>
      </c>
      <c r="P207" s="13">
        <f>W207</f>
        <v/>
      </c>
      <c r="Q207" s="13">
        <f>Y207</f>
        <v/>
      </c>
      <c r="R207" s="15" t="n"/>
      <c r="S207" s="15">
        <f>LEFT(W207,2)&amp;LEFT(Y207,2)</f>
        <v/>
      </c>
      <c r="T207" s="15" t="n"/>
      <c r="U207" s="15">
        <f>IF(K207&lt;L207,1,0)</f>
        <v/>
      </c>
      <c r="V207" s="15">
        <f>IF(H207&gt;I207,1,0)</f>
        <v/>
      </c>
      <c r="W207" s="15">
        <f>IF(SUM(U207:V207)=2,"Anticipatory_Sell","No_Action")</f>
        <v/>
      </c>
      <c r="X207" s="15" t="n"/>
      <c r="Y207" s="15">
        <f>IF(SUM(Z207:AA207)=2,"Confirm_Sell","No_Action")</f>
        <v/>
      </c>
      <c r="Z207" s="15">
        <f>IF(H207&gt;I207,1,0)</f>
        <v/>
      </c>
      <c r="AA207" s="15">
        <f>IF(K207&lt;M207,1,0)</f>
        <v/>
      </c>
      <c r="AB207" s="15" t="n"/>
      <c r="AC207" s="15">
        <f>LEFT(AG207,2)&amp;LEFT(AI207,2)</f>
        <v/>
      </c>
      <c r="AD207" s="15" t="n"/>
      <c r="AE207" s="15">
        <f>IF(K207&gt;L207,1,0)</f>
        <v/>
      </c>
      <c r="AF207" s="16">
        <f>IF(H207&gt;I207,1,0)</f>
        <v/>
      </c>
      <c r="AG207" s="16">
        <f>IF(SUM(AE207:AF207)=2,"Anticipatory_Buy","No_Action")</f>
        <v/>
      </c>
      <c r="AH207" s="15" t="n"/>
      <c r="AI207" s="15">
        <f>IF(SUM(AJ207:AK207)=2,"Confirm_Buy","No_Action")</f>
        <v/>
      </c>
      <c r="AJ207" s="15">
        <f>IF(H207&gt;I207,1,0)</f>
        <v/>
      </c>
      <c r="AK207" s="15">
        <f>IF(K207&gt;M207,1,0)</f>
        <v/>
      </c>
    </row>
    <row r="208" ht="14.5" customHeight="1">
      <c r="A208" s="12" t="inlineStr">
        <is>
          <t>MANAPPURAM</t>
        </is>
      </c>
      <c r="B208" s="13">
        <f>IFERROR(__xludf.DUMMYFUNCTION("GOOGLEFINANCE(""NSE:""&amp;A208,""PRICE"")"),172)</f>
        <v/>
      </c>
      <c r="C208" s="13">
        <f>IFERROR(__xludf.DUMMYFUNCTION("GOOGLEFINANCE(""NSE:""&amp;A208,""PRICEOPEN"")"),167.84)</f>
        <v/>
      </c>
      <c r="D208" s="13">
        <f>IFERROR(__xludf.DUMMYFUNCTION("GOOGLEFINANCE(""NSE:""&amp;A208,""HIGH"")"),172.82)</f>
        <v/>
      </c>
      <c r="E208" s="13">
        <f>IFERROR(__xludf.DUMMYFUNCTION("GOOGLEFINANCE(""NSE:""&amp;A208,""LOW"")"),167.06)</f>
        <v/>
      </c>
      <c r="F208" s="13">
        <f>IFERROR(__xludf.DUMMYFUNCTION("GOOGLEFINANCE(""NSE:""&amp;A208,""closeyest"")"),167.85)</f>
        <v/>
      </c>
      <c r="G208" s="14">
        <f>(B208-C208)/B208</f>
        <v/>
      </c>
      <c r="H208" s="13">
        <f>IFERROR(__xludf.DUMMYFUNCTION("GOOGLEFINANCE(""NSE:""&amp;A208,""VOLUME"")"),8864865)</f>
        <v/>
      </c>
      <c r="I208" s="13">
        <f>IFERROR(__xludf.DUMMYFUNCTION("AVERAGE(index(GOOGLEFINANCE(""NSE:""&amp;$A208, ""volume"", today()-21, today()-1), , 2))"),"#N/A")</f>
        <v/>
      </c>
      <c r="J208" s="14">
        <f>(H208-I208)/I208</f>
        <v/>
      </c>
      <c r="K208" s="13">
        <f>IFERROR(__xludf.DUMMYFUNCTION("AVERAGE(index(GOOGLEFINANCE(""NSE:""&amp;$A208, ""close"", today()-6, today()-1), , 2))"),"#N/A")</f>
        <v/>
      </c>
      <c r="L208" s="13">
        <f>IFERROR(__xludf.DUMMYFUNCTION("AVERAGE(index(GOOGLEFINANCE(""NSE:""&amp;$A208, ""close"", today()-14, today()-1), , 2))"),"#N/A")</f>
        <v/>
      </c>
      <c r="M208" s="13">
        <f>IFERROR(__xludf.DUMMYFUNCTION("AVERAGE(index(GOOGLEFINANCE(""NSE:""&amp;$A208, ""close"", today()-22, today()-1), , 2))"),"#N/A")</f>
        <v/>
      </c>
      <c r="N208" s="13">
        <f>AG208</f>
        <v/>
      </c>
      <c r="O208" s="13">
        <f>AI208</f>
        <v/>
      </c>
      <c r="P208" s="13">
        <f>W208</f>
        <v/>
      </c>
      <c r="Q208" s="13">
        <f>Y208</f>
        <v/>
      </c>
      <c r="R208" s="15" t="n"/>
      <c r="S208" s="15">
        <f>LEFT(W208,2)&amp;LEFT(Y208,2)</f>
        <v/>
      </c>
      <c r="T208" s="15" t="n"/>
      <c r="U208" s="15">
        <f>IF(K208&lt;L208,1,0)</f>
        <v/>
      </c>
      <c r="V208" s="15">
        <f>IF(H208&gt;I208,1,0)</f>
        <v/>
      </c>
      <c r="W208" s="15">
        <f>IF(SUM(U208:V208)=2,"Anticipatory_Sell","No_Action")</f>
        <v/>
      </c>
      <c r="X208" s="15" t="n"/>
      <c r="Y208" s="15">
        <f>IF(SUM(Z208:AA208)=2,"Confirm_Sell","No_Action")</f>
        <v/>
      </c>
      <c r="Z208" s="15">
        <f>IF(H208&gt;I208,1,0)</f>
        <v/>
      </c>
      <c r="AA208" s="15">
        <f>IF(K208&lt;M208,1,0)</f>
        <v/>
      </c>
      <c r="AB208" s="15" t="n"/>
      <c r="AC208" s="15">
        <f>LEFT(AG208,2)&amp;LEFT(AI208,2)</f>
        <v/>
      </c>
      <c r="AD208" s="15" t="n"/>
      <c r="AE208" s="15">
        <f>IF(K208&gt;L208,1,0)</f>
        <v/>
      </c>
      <c r="AF208" s="16">
        <f>IF(H208&gt;I208,1,0)</f>
        <v/>
      </c>
      <c r="AG208" s="16">
        <f>IF(SUM(AE208:AF208)=2,"Anticipatory_Buy","No_Action")</f>
        <v/>
      </c>
      <c r="AH208" s="15" t="n"/>
      <c r="AI208" s="15">
        <f>IF(SUM(AJ208:AK208)=2,"Confirm_Buy","No_Action")</f>
        <v/>
      </c>
      <c r="AJ208" s="15">
        <f>IF(H208&gt;I208,1,0)</f>
        <v/>
      </c>
      <c r="AK208" s="15">
        <f>IF(K208&gt;M208,1,0)</f>
        <v/>
      </c>
    </row>
    <row r="209" ht="14.5" customHeight="1">
      <c r="A209" s="12" t="inlineStr">
        <is>
          <t>MARATHON</t>
        </is>
      </c>
      <c r="B209" s="13">
        <f>IFERROR(__xludf.DUMMYFUNCTION("GOOGLEFINANCE(""NSE:""&amp;A209,""PRICE"")"),630)</f>
        <v/>
      </c>
      <c r="C209" s="13">
        <f>IFERROR(__xludf.DUMMYFUNCTION("GOOGLEFINANCE(""NSE:""&amp;A209,""PRICEOPEN"")"),638.45)</f>
        <v/>
      </c>
      <c r="D209" s="13">
        <f>IFERROR(__xludf.DUMMYFUNCTION("GOOGLEFINANCE(""NSE:""&amp;A209,""HIGH"")"),638.65)</f>
        <v/>
      </c>
      <c r="E209" s="13">
        <f>IFERROR(__xludf.DUMMYFUNCTION("GOOGLEFINANCE(""NSE:""&amp;A209,""LOW"")"),617)</f>
        <v/>
      </c>
      <c r="F209" s="13">
        <f>IFERROR(__xludf.DUMMYFUNCTION("GOOGLEFINANCE(""NSE:""&amp;A209,""closeyest"")"),636.05)</f>
        <v/>
      </c>
      <c r="G209" s="14">
        <f>(B209-C209)/B209</f>
        <v/>
      </c>
      <c r="H209" s="13">
        <f>IFERROR(__xludf.DUMMYFUNCTION("GOOGLEFINANCE(""NSE:""&amp;A209,""VOLUME"")"),51379)</f>
        <v/>
      </c>
      <c r="I209" s="13">
        <f>IFERROR(__xludf.DUMMYFUNCTION("AVERAGE(index(GOOGLEFINANCE(""NSE:""&amp;$A209, ""volume"", today()-21, today()-1), , 2))"),"#N/A")</f>
        <v/>
      </c>
      <c r="J209" s="14">
        <f>(H209-I209)/I209</f>
        <v/>
      </c>
      <c r="K209" s="13">
        <f>IFERROR(__xludf.DUMMYFUNCTION("AVERAGE(index(GOOGLEFINANCE(""NSE:""&amp;$A209, ""close"", today()-6, today()-1), , 2))"),"#N/A")</f>
        <v/>
      </c>
      <c r="L209" s="13">
        <f>IFERROR(__xludf.DUMMYFUNCTION("AVERAGE(index(GOOGLEFINANCE(""NSE:""&amp;$A209, ""close"", today()-14, today()-1), , 2))"),"#N/A")</f>
        <v/>
      </c>
      <c r="M209" s="13">
        <f>IFERROR(__xludf.DUMMYFUNCTION("AVERAGE(index(GOOGLEFINANCE(""NSE:""&amp;$A209, ""close"", today()-22, today()-1), , 2))"),"#N/A")</f>
        <v/>
      </c>
      <c r="N209" s="13">
        <f>AG209</f>
        <v/>
      </c>
      <c r="O209" s="13">
        <f>AI209</f>
        <v/>
      </c>
      <c r="P209" s="13">
        <f>W209</f>
        <v/>
      </c>
      <c r="Q209" s="13">
        <f>Y209</f>
        <v/>
      </c>
      <c r="R209" s="15" t="n"/>
      <c r="S209" s="15">
        <f>LEFT(W209,2)&amp;LEFT(Y209,2)</f>
        <v/>
      </c>
      <c r="T209" s="15" t="n"/>
      <c r="U209" s="15">
        <f>IF(K209&lt;L209,1,0)</f>
        <v/>
      </c>
      <c r="V209" s="15">
        <f>IF(H209&gt;I209,1,0)</f>
        <v/>
      </c>
      <c r="W209" s="15">
        <f>IF(SUM(U209:V209)=2,"Anticipatory_Sell","No_Action")</f>
        <v/>
      </c>
      <c r="X209" s="15" t="n"/>
      <c r="Y209" s="15">
        <f>IF(SUM(Z209:AA209)=2,"Confirm_Sell","No_Action")</f>
        <v/>
      </c>
      <c r="Z209" s="15">
        <f>IF(H209&gt;I209,1,0)</f>
        <v/>
      </c>
      <c r="AA209" s="15">
        <f>IF(K209&lt;M209,1,0)</f>
        <v/>
      </c>
      <c r="AB209" s="15" t="n"/>
      <c r="AC209" s="15">
        <f>LEFT(AG209,2)&amp;LEFT(AI209,2)</f>
        <v/>
      </c>
      <c r="AD209" s="15" t="n"/>
      <c r="AE209" s="15">
        <f>IF(K209&gt;L209,1,0)</f>
        <v/>
      </c>
      <c r="AF209" s="16">
        <f>IF(H209&gt;I209,1,0)</f>
        <v/>
      </c>
      <c r="AG209" s="16">
        <f>IF(SUM(AE209:AF209)=2,"Anticipatory_Buy","No_Action")</f>
        <v/>
      </c>
      <c r="AH209" s="15" t="n"/>
      <c r="AI209" s="15">
        <f>IF(SUM(AJ209:AK209)=2,"Confirm_Buy","No_Action")</f>
        <v/>
      </c>
      <c r="AJ209" s="15">
        <f>IF(H209&gt;I209,1,0)</f>
        <v/>
      </c>
      <c r="AK209" s="15">
        <f>IF(K209&gt;M209,1,0)</f>
        <v/>
      </c>
    </row>
    <row r="210" ht="14.5" customHeight="1">
      <c r="A210" s="12" t="inlineStr">
        <is>
          <t>MARICO</t>
        </is>
      </c>
      <c r="B210" s="13">
        <f>IFERROR(__xludf.DUMMYFUNCTION("GOOGLEFINANCE(""NSE:""&amp;A210,""PRICE"")"),610.35)</f>
        <v/>
      </c>
      <c r="C210" s="13">
        <f>IFERROR(__xludf.DUMMYFUNCTION("GOOGLEFINANCE(""NSE:""&amp;A210,""PRICEOPEN"")"),621.1)</f>
        <v/>
      </c>
      <c r="D210" s="13">
        <f>IFERROR(__xludf.DUMMYFUNCTION("GOOGLEFINANCE(""NSE:""&amp;A210,""HIGH"")"),628.35)</f>
        <v/>
      </c>
      <c r="E210" s="13">
        <f>IFERROR(__xludf.DUMMYFUNCTION("GOOGLEFINANCE(""NSE:""&amp;A210,""LOW"")"),600.55)</f>
        <v/>
      </c>
      <c r="F210" s="13">
        <f>IFERROR(__xludf.DUMMYFUNCTION("GOOGLEFINANCE(""NSE:""&amp;A210,""closeyest"")"),633.65)</f>
        <v/>
      </c>
      <c r="G210" s="14">
        <f>(B210-C210)/B210</f>
        <v/>
      </c>
      <c r="H210" s="13">
        <f>IFERROR(__xludf.DUMMYFUNCTION("GOOGLEFINANCE(""NSE:""&amp;A210,""VOLUME"")"),4029912)</f>
        <v/>
      </c>
      <c r="I210" s="13">
        <f>IFERROR(__xludf.DUMMYFUNCTION("AVERAGE(index(GOOGLEFINANCE(""NSE:""&amp;$A210, ""volume"", today()-21, today()-1), , 2))"),"#N/A")</f>
        <v/>
      </c>
      <c r="J210" s="14">
        <f>(H210-I210)/I210</f>
        <v/>
      </c>
      <c r="K210" s="13">
        <f>IFERROR(__xludf.DUMMYFUNCTION("AVERAGE(index(GOOGLEFINANCE(""NSE:""&amp;$A210, ""close"", today()-6, today()-1), , 2))"),"#N/A")</f>
        <v/>
      </c>
      <c r="L210" s="13">
        <f>IFERROR(__xludf.DUMMYFUNCTION("AVERAGE(index(GOOGLEFINANCE(""NSE:""&amp;$A210, ""close"", today()-14, today()-1), , 2))"),"#N/A")</f>
        <v/>
      </c>
      <c r="M210" s="13">
        <f>IFERROR(__xludf.DUMMYFUNCTION("AVERAGE(index(GOOGLEFINANCE(""NSE:""&amp;$A210, ""close"", today()-22, today()-1), , 2))"),"#N/A")</f>
        <v/>
      </c>
      <c r="N210" s="13">
        <f>AG210</f>
        <v/>
      </c>
      <c r="O210" s="13">
        <f>AI210</f>
        <v/>
      </c>
      <c r="P210" s="13">
        <f>W210</f>
        <v/>
      </c>
      <c r="Q210" s="13">
        <f>Y210</f>
        <v/>
      </c>
      <c r="R210" s="15" t="n"/>
      <c r="S210" s="15">
        <f>LEFT(W210,2)&amp;LEFT(Y210,2)</f>
        <v/>
      </c>
      <c r="T210" s="15" t="n"/>
      <c r="U210" s="15">
        <f>IF(K210&lt;L210,1,0)</f>
        <v/>
      </c>
      <c r="V210" s="15">
        <f>IF(H210&gt;I210,1,0)</f>
        <v/>
      </c>
      <c r="W210" s="15">
        <f>IF(SUM(U210:V210)=2,"Anticipatory_Sell","No_Action")</f>
        <v/>
      </c>
      <c r="X210" s="15" t="n"/>
      <c r="Y210" s="15">
        <f>IF(SUM(Z210:AA210)=2,"Confirm_Sell","No_Action")</f>
        <v/>
      </c>
      <c r="Z210" s="15">
        <f>IF(H210&gt;I210,1,0)</f>
        <v/>
      </c>
      <c r="AA210" s="15">
        <f>IF(K210&lt;M210,1,0)</f>
        <v/>
      </c>
      <c r="AB210" s="15" t="n"/>
      <c r="AC210" s="15">
        <f>LEFT(AG210,2)&amp;LEFT(AI210,2)</f>
        <v/>
      </c>
      <c r="AD210" s="15" t="n"/>
      <c r="AE210" s="15">
        <f>IF(K210&gt;L210,1,0)</f>
        <v/>
      </c>
      <c r="AF210" s="16">
        <f>IF(H210&gt;I210,1,0)</f>
        <v/>
      </c>
      <c r="AG210" s="16">
        <f>IF(SUM(AE210:AF210)=2,"Anticipatory_Buy","No_Action")</f>
        <v/>
      </c>
      <c r="AH210" s="15" t="n"/>
      <c r="AI210" s="15">
        <f>IF(SUM(AJ210:AK210)=2,"Confirm_Buy","No_Action")</f>
        <v/>
      </c>
      <c r="AJ210" s="15">
        <f>IF(H210&gt;I210,1,0)</f>
        <v/>
      </c>
      <c r="AK210" s="15">
        <f>IF(K210&gt;M210,1,0)</f>
        <v/>
      </c>
    </row>
    <row r="211" ht="14.5" customHeight="1">
      <c r="A211" s="12" t="inlineStr">
        <is>
          <t>MATRIMONY</t>
        </is>
      </c>
      <c r="B211" s="13">
        <f>IFERROR(__xludf.DUMMYFUNCTION("GOOGLEFINANCE(""NSE:""&amp;A211,""PRICE"")"),697)</f>
        <v/>
      </c>
      <c r="C211" s="13">
        <f>IFERROR(__xludf.DUMMYFUNCTION("GOOGLEFINANCE(""NSE:""&amp;A211,""PRICEOPEN"")"),643.6)</f>
        <v/>
      </c>
      <c r="D211" s="13">
        <f>IFERROR(__xludf.DUMMYFUNCTION("GOOGLEFINANCE(""NSE:""&amp;A211,""HIGH"")"),710)</f>
        <v/>
      </c>
      <c r="E211" s="13">
        <f>IFERROR(__xludf.DUMMYFUNCTION("GOOGLEFINANCE(""NSE:""&amp;A211,""LOW"")"),643.6)</f>
        <v/>
      </c>
      <c r="F211" s="13">
        <f>IFERROR(__xludf.DUMMYFUNCTION("GOOGLEFINANCE(""NSE:""&amp;A211,""closeyest"")"),642.85)</f>
        <v/>
      </c>
      <c r="G211" s="14">
        <f>(B211-C211)/B211</f>
        <v/>
      </c>
      <c r="H211" s="13">
        <f>IFERROR(__xludf.DUMMYFUNCTION("GOOGLEFINANCE(""NSE:""&amp;A211,""VOLUME"")"),100809)</f>
        <v/>
      </c>
      <c r="I211" s="13">
        <f>IFERROR(__xludf.DUMMYFUNCTION("AVERAGE(index(GOOGLEFINANCE(""NSE:""&amp;$A211, ""volume"", today()-21, today()-1), , 2))"),"#N/A")</f>
        <v/>
      </c>
      <c r="J211" s="14">
        <f>(H211-I211)/I211</f>
        <v/>
      </c>
      <c r="K211" s="13">
        <f>IFERROR(__xludf.DUMMYFUNCTION("AVERAGE(index(GOOGLEFINANCE(""NSE:""&amp;$A211, ""close"", today()-6, today()-1), , 2))"),"#N/A")</f>
        <v/>
      </c>
      <c r="L211" s="13">
        <f>IFERROR(__xludf.DUMMYFUNCTION("AVERAGE(index(GOOGLEFINANCE(""NSE:""&amp;$A211, ""close"", today()-14, today()-1), , 2))"),"#N/A")</f>
        <v/>
      </c>
      <c r="M211" s="13">
        <f>IFERROR(__xludf.DUMMYFUNCTION("AVERAGE(index(GOOGLEFINANCE(""NSE:""&amp;$A211, ""close"", today()-22, today()-1), , 2))"),"#N/A")</f>
        <v/>
      </c>
      <c r="N211" s="13">
        <f>AG211</f>
        <v/>
      </c>
      <c r="O211" s="13">
        <f>AI211</f>
        <v/>
      </c>
      <c r="P211" s="13">
        <f>W211</f>
        <v/>
      </c>
      <c r="Q211" s="13">
        <f>Y211</f>
        <v/>
      </c>
      <c r="R211" s="15" t="n"/>
      <c r="S211" s="15">
        <f>LEFT(W211,2)&amp;LEFT(Y211,2)</f>
        <v/>
      </c>
      <c r="T211" s="15" t="n"/>
      <c r="U211" s="15">
        <f>IF(K211&lt;L211,1,0)</f>
        <v/>
      </c>
      <c r="V211" s="15">
        <f>IF(H211&gt;I211,1,0)</f>
        <v/>
      </c>
      <c r="W211" s="15">
        <f>IF(SUM(U211:V211)=2,"Anticipatory_Sell","No_Action")</f>
        <v/>
      </c>
      <c r="X211" s="15" t="n"/>
      <c r="Y211" s="15">
        <f>IF(SUM(Z211:AA211)=2,"Confirm_Sell","No_Action")</f>
        <v/>
      </c>
      <c r="Z211" s="15">
        <f>IF(H211&gt;I211,1,0)</f>
        <v/>
      </c>
      <c r="AA211" s="15">
        <f>IF(K211&lt;M211,1,0)</f>
        <v/>
      </c>
      <c r="AB211" s="15" t="n"/>
      <c r="AC211" s="15">
        <f>LEFT(AG211,2)&amp;LEFT(AI211,2)</f>
        <v/>
      </c>
      <c r="AD211" s="15" t="n"/>
      <c r="AE211" s="15">
        <f>IF(K211&gt;L211,1,0)</f>
        <v/>
      </c>
      <c r="AF211" s="16">
        <f>IF(H211&gt;I211,1,0)</f>
        <v/>
      </c>
      <c r="AG211" s="16">
        <f>IF(SUM(AE211:AF211)=2,"Anticipatory_Buy","No_Action")</f>
        <v/>
      </c>
      <c r="AH211" s="15" t="n"/>
      <c r="AI211" s="15">
        <f>IF(SUM(AJ211:AK211)=2,"Confirm_Buy","No_Action")</f>
        <v/>
      </c>
      <c r="AJ211" s="15">
        <f>IF(H211&gt;I211,1,0)</f>
        <v/>
      </c>
      <c r="AK211" s="15">
        <f>IF(K211&gt;M211,1,0)</f>
        <v/>
      </c>
    </row>
    <row r="212" ht="14.5" customHeight="1">
      <c r="A212" s="12" t="inlineStr">
        <is>
          <t>MAXHEALTH</t>
        </is>
      </c>
      <c r="B212" s="13">
        <f>IFERROR(__xludf.DUMMYFUNCTION("GOOGLEFINANCE(""NSE:""&amp;A212,""PRICE"")"),1119.5)</f>
        <v/>
      </c>
      <c r="C212" s="13">
        <f>IFERROR(__xludf.DUMMYFUNCTION("GOOGLEFINANCE(""NSE:""&amp;A212,""PRICEOPEN"")"),1062.05)</f>
        <v/>
      </c>
      <c r="D212" s="13">
        <f>IFERROR(__xludf.DUMMYFUNCTION("GOOGLEFINANCE(""NSE:""&amp;A212,""HIGH"")"),1122.45)</f>
        <v/>
      </c>
      <c r="E212" s="13">
        <f>IFERROR(__xludf.DUMMYFUNCTION("GOOGLEFINANCE(""NSE:""&amp;A212,""LOW"")"),1062.05)</f>
        <v/>
      </c>
      <c r="F212" s="13">
        <f>IFERROR(__xludf.DUMMYFUNCTION("GOOGLEFINANCE(""NSE:""&amp;A212,""closeyest"")"),1096.15)</f>
        <v/>
      </c>
      <c r="G212" s="14">
        <f>(B212-C212)/B212</f>
        <v/>
      </c>
      <c r="H212" s="13">
        <f>IFERROR(__xludf.DUMMYFUNCTION("GOOGLEFINANCE(""NSE:""&amp;A212,""VOLUME"")"),1499766)</f>
        <v/>
      </c>
      <c r="I212" s="13">
        <f>IFERROR(__xludf.DUMMYFUNCTION("AVERAGE(index(GOOGLEFINANCE(""NSE:""&amp;$A212, ""volume"", today()-21, today()-1), , 2))"),"#N/A")</f>
        <v/>
      </c>
      <c r="J212" s="14">
        <f>(H212-I212)/I212</f>
        <v/>
      </c>
      <c r="K212" s="13">
        <f>IFERROR(__xludf.DUMMYFUNCTION("AVERAGE(index(GOOGLEFINANCE(""NSE:""&amp;$A212, ""close"", today()-6, today()-1), , 2))"),"#N/A")</f>
        <v/>
      </c>
      <c r="L212" s="13">
        <f>IFERROR(__xludf.DUMMYFUNCTION("AVERAGE(index(GOOGLEFINANCE(""NSE:""&amp;$A212, ""close"", today()-14, today()-1), , 2))"),"#N/A")</f>
        <v/>
      </c>
      <c r="M212" s="13">
        <f>IFERROR(__xludf.DUMMYFUNCTION("AVERAGE(index(GOOGLEFINANCE(""NSE:""&amp;$A212, ""close"", today()-22, today()-1), , 2))"),"#N/A")</f>
        <v/>
      </c>
      <c r="N212" s="13">
        <f>AG212</f>
        <v/>
      </c>
      <c r="O212" s="13">
        <f>AI212</f>
        <v/>
      </c>
      <c r="P212" s="13">
        <f>W212</f>
        <v/>
      </c>
      <c r="Q212" s="13">
        <f>Y212</f>
        <v/>
      </c>
      <c r="R212" s="15" t="n"/>
      <c r="S212" s="15">
        <f>LEFT(W212,2)&amp;LEFT(Y212,2)</f>
        <v/>
      </c>
      <c r="T212" s="15" t="n"/>
      <c r="U212" s="15">
        <f>IF(K212&lt;L212,1,0)</f>
        <v/>
      </c>
      <c r="V212" s="15">
        <f>IF(H212&gt;I212,1,0)</f>
        <v/>
      </c>
      <c r="W212" s="15">
        <f>IF(SUM(U212:V212)=2,"Anticipatory_Sell","No_Action")</f>
        <v/>
      </c>
      <c r="X212" s="15" t="n"/>
      <c r="Y212" s="15">
        <f>IF(SUM(Z212:AA212)=2,"Confirm_Sell","No_Action")</f>
        <v/>
      </c>
      <c r="Z212" s="15">
        <f>IF(H212&gt;I212,1,0)</f>
        <v/>
      </c>
      <c r="AA212" s="15">
        <f>IF(K212&lt;M212,1,0)</f>
        <v/>
      </c>
      <c r="AB212" s="15" t="n"/>
      <c r="AC212" s="15">
        <f>LEFT(AG212,2)&amp;LEFT(AI212,2)</f>
        <v/>
      </c>
      <c r="AD212" s="15" t="n"/>
      <c r="AE212" s="15">
        <f>IF(K212&gt;L212,1,0)</f>
        <v/>
      </c>
      <c r="AF212" s="16">
        <f>IF(H212&gt;I212,1,0)</f>
        <v/>
      </c>
      <c r="AG212" s="16">
        <f>IF(SUM(AE212:AF212)=2,"Anticipatory_Buy","No_Action")</f>
        <v/>
      </c>
      <c r="AH212" s="15" t="n"/>
      <c r="AI212" s="15">
        <f>IF(SUM(AJ212:AK212)=2,"Confirm_Buy","No_Action")</f>
        <v/>
      </c>
      <c r="AJ212" s="15">
        <f>IF(H212&gt;I212,1,0)</f>
        <v/>
      </c>
      <c r="AK212" s="15">
        <f>IF(K212&gt;M212,1,0)</f>
        <v/>
      </c>
    </row>
    <row r="213" ht="14.5" customHeight="1">
      <c r="A213" s="12" t="inlineStr">
        <is>
          <t>MAYURUNIQ</t>
        </is>
      </c>
      <c r="B213" s="13">
        <f>IFERROR(__xludf.DUMMYFUNCTION("GOOGLEFINANCE(""NSE:""&amp;A213,""PRICE"")"),576.35)</f>
        <v/>
      </c>
      <c r="C213" s="13">
        <f>IFERROR(__xludf.DUMMYFUNCTION("GOOGLEFINANCE(""NSE:""&amp;A213,""PRICEOPEN"")"),580)</f>
        <v/>
      </c>
      <c r="D213" s="13">
        <f>IFERROR(__xludf.DUMMYFUNCTION("GOOGLEFINANCE(""NSE:""&amp;A213,""HIGH"")"),582.5)</f>
        <v/>
      </c>
      <c r="E213" s="13">
        <f>IFERROR(__xludf.DUMMYFUNCTION("GOOGLEFINANCE(""NSE:""&amp;A213,""LOW"")"),570.85)</f>
        <v/>
      </c>
      <c r="F213" s="13">
        <f>IFERROR(__xludf.DUMMYFUNCTION("GOOGLEFINANCE(""NSE:""&amp;A213,""closeyest"")"),580)</f>
        <v/>
      </c>
      <c r="G213" s="14">
        <f>(B213-C213)/B213</f>
        <v/>
      </c>
      <c r="H213" s="13">
        <f>IFERROR(__xludf.DUMMYFUNCTION("GOOGLEFINANCE(""NSE:""&amp;A213,""VOLUME"")"),75576)</f>
        <v/>
      </c>
      <c r="I213" s="13">
        <f>IFERROR(__xludf.DUMMYFUNCTION("AVERAGE(index(GOOGLEFINANCE(""NSE:""&amp;$A213, ""volume"", today()-21, today()-1), , 2))"),"#N/A")</f>
        <v/>
      </c>
      <c r="J213" s="14">
        <f>(H213-I213)/I213</f>
        <v/>
      </c>
      <c r="K213" s="13">
        <f>IFERROR(__xludf.DUMMYFUNCTION("AVERAGE(index(GOOGLEFINANCE(""NSE:""&amp;$A213, ""close"", today()-6, today()-1), , 2))"),"#N/A")</f>
        <v/>
      </c>
      <c r="L213" s="13">
        <f>IFERROR(__xludf.DUMMYFUNCTION("AVERAGE(index(GOOGLEFINANCE(""NSE:""&amp;$A213, ""close"", today()-14, today()-1), , 2))"),"#N/A")</f>
        <v/>
      </c>
      <c r="M213" s="13">
        <f>IFERROR(__xludf.DUMMYFUNCTION("AVERAGE(index(GOOGLEFINANCE(""NSE:""&amp;$A213, ""close"", today()-22, today()-1), , 2))"),"#N/A")</f>
        <v/>
      </c>
      <c r="N213" s="13">
        <f>AG213</f>
        <v/>
      </c>
      <c r="O213" s="13">
        <f>AI213</f>
        <v/>
      </c>
      <c r="P213" s="13">
        <f>W213</f>
        <v/>
      </c>
      <c r="Q213" s="13">
        <f>Y213</f>
        <v/>
      </c>
      <c r="R213" s="15" t="n"/>
      <c r="S213" s="15">
        <f>LEFT(W213,2)&amp;LEFT(Y213,2)</f>
        <v/>
      </c>
      <c r="T213" s="15" t="n"/>
      <c r="U213" s="15">
        <f>IF(K213&lt;L213,1,0)</f>
        <v/>
      </c>
      <c r="V213" s="15">
        <f>IF(H213&gt;I213,1,0)</f>
        <v/>
      </c>
      <c r="W213" s="15">
        <f>IF(SUM(U213:V213)=2,"Anticipatory_Sell","No_Action")</f>
        <v/>
      </c>
      <c r="X213" s="15" t="n"/>
      <c r="Y213" s="15">
        <f>IF(SUM(Z213:AA213)=2,"Confirm_Sell","No_Action")</f>
        <v/>
      </c>
      <c r="Z213" s="15">
        <f>IF(H213&gt;I213,1,0)</f>
        <v/>
      </c>
      <c r="AA213" s="15">
        <f>IF(K213&lt;M213,1,0)</f>
        <v/>
      </c>
      <c r="AB213" s="15" t="n"/>
      <c r="AC213" s="15">
        <f>LEFT(AG213,2)&amp;LEFT(AI213,2)</f>
        <v/>
      </c>
      <c r="AD213" s="15" t="n"/>
      <c r="AE213" s="15">
        <f>IF(K213&gt;L213,1,0)</f>
        <v/>
      </c>
      <c r="AF213" s="16">
        <f>IF(H213&gt;I213,1,0)</f>
        <v/>
      </c>
      <c r="AG213" s="16">
        <f>IF(SUM(AE213:AF213)=2,"Anticipatory_Buy","No_Action")</f>
        <v/>
      </c>
      <c r="AH213" s="15" t="n"/>
      <c r="AI213" s="15">
        <f>IF(SUM(AJ213:AK213)=2,"Confirm_Buy","No_Action")</f>
        <v/>
      </c>
      <c r="AJ213" s="15">
        <f>IF(H213&gt;I213,1,0)</f>
        <v/>
      </c>
      <c r="AK213" s="15">
        <f>IF(K213&gt;M213,1,0)</f>
        <v/>
      </c>
    </row>
    <row r="214" ht="14.5" customHeight="1">
      <c r="A214" s="12" t="inlineStr">
        <is>
          <t>METROBRAND</t>
        </is>
      </c>
      <c r="B214" s="13">
        <f>IFERROR(__xludf.DUMMYFUNCTION("GOOGLEFINANCE(""NSE:""&amp;A214,""PRICE"")"),1279.75)</f>
        <v/>
      </c>
      <c r="C214" s="13">
        <f>IFERROR(__xludf.DUMMYFUNCTION("GOOGLEFINANCE(""NSE:""&amp;A214,""PRICEOPEN"")"),1247.8)</f>
        <v/>
      </c>
      <c r="D214" s="13">
        <f>IFERROR(__xludf.DUMMYFUNCTION("GOOGLEFINANCE(""NSE:""&amp;A214,""HIGH"")"),1284.5)</f>
        <v/>
      </c>
      <c r="E214" s="13">
        <f>IFERROR(__xludf.DUMMYFUNCTION("GOOGLEFINANCE(""NSE:""&amp;A214,""LOW"")"),1242.95)</f>
        <v/>
      </c>
      <c r="F214" s="13">
        <f>IFERROR(__xludf.DUMMYFUNCTION("GOOGLEFINANCE(""NSE:""&amp;A214,""closeyest"")"),1253.1)</f>
        <v/>
      </c>
      <c r="G214" s="14">
        <f>(B214-C214)/B214</f>
        <v/>
      </c>
      <c r="H214" s="13">
        <f>IFERROR(__xludf.DUMMYFUNCTION("GOOGLEFINANCE(""NSE:""&amp;A214,""VOLUME"")"),93681)</f>
        <v/>
      </c>
      <c r="I214" s="13">
        <f>IFERROR(__xludf.DUMMYFUNCTION("AVERAGE(index(GOOGLEFINANCE(""NSE:""&amp;$A214, ""volume"", today()-21, today()-1), , 2))"),"#N/A")</f>
        <v/>
      </c>
      <c r="J214" s="14">
        <f>(H214-I214)/I214</f>
        <v/>
      </c>
      <c r="K214" s="13">
        <f>IFERROR(__xludf.DUMMYFUNCTION("AVERAGE(index(GOOGLEFINANCE(""NSE:""&amp;$A214, ""close"", today()-6, today()-1), , 2))"),"#N/A")</f>
        <v/>
      </c>
      <c r="L214" s="13">
        <f>IFERROR(__xludf.DUMMYFUNCTION("AVERAGE(index(GOOGLEFINANCE(""NSE:""&amp;$A214, ""close"", today()-14, today()-1), , 2))"),"#N/A")</f>
        <v/>
      </c>
      <c r="M214" s="13">
        <f>IFERROR(__xludf.DUMMYFUNCTION("AVERAGE(index(GOOGLEFINANCE(""NSE:""&amp;$A214, ""close"", today()-22, today()-1), , 2))"),"#N/A")</f>
        <v/>
      </c>
      <c r="N214" s="13">
        <f>AG214</f>
        <v/>
      </c>
      <c r="O214" s="13">
        <f>AI214</f>
        <v/>
      </c>
      <c r="P214" s="13">
        <f>W214</f>
        <v/>
      </c>
      <c r="Q214" s="13">
        <f>Y214</f>
        <v/>
      </c>
      <c r="R214" s="15" t="n"/>
      <c r="S214" s="15">
        <f>LEFT(W214,2)&amp;LEFT(Y214,2)</f>
        <v/>
      </c>
      <c r="T214" s="15" t="n"/>
      <c r="U214" s="15">
        <f>IF(K214&lt;L214,1,0)</f>
        <v/>
      </c>
      <c r="V214" s="15">
        <f>IF(H214&gt;I214,1,0)</f>
        <v/>
      </c>
      <c r="W214" s="15">
        <f>IF(SUM(U214:V214)=2,"Anticipatory_Sell","No_Action")</f>
        <v/>
      </c>
      <c r="X214" s="15" t="n"/>
      <c r="Y214" s="15">
        <f>IF(SUM(Z214:AA214)=2,"Confirm_Sell","No_Action")</f>
        <v/>
      </c>
      <c r="Z214" s="15">
        <f>IF(H214&gt;I214,1,0)</f>
        <v/>
      </c>
      <c r="AA214" s="15">
        <f>IF(K214&lt;M214,1,0)</f>
        <v/>
      </c>
      <c r="AB214" s="15" t="n"/>
      <c r="AC214" s="15">
        <f>LEFT(AG214,2)&amp;LEFT(AI214,2)</f>
        <v/>
      </c>
      <c r="AD214" s="15" t="n"/>
      <c r="AE214" s="15">
        <f>IF(K214&gt;L214,1,0)</f>
        <v/>
      </c>
      <c r="AF214" s="16">
        <f>IF(H214&gt;I214,1,0)</f>
        <v/>
      </c>
      <c r="AG214" s="16">
        <f>IF(SUM(AE214:AF214)=2,"Anticipatory_Buy","No_Action")</f>
        <v/>
      </c>
      <c r="AH214" s="15" t="n"/>
      <c r="AI214" s="15">
        <f>IF(SUM(AJ214:AK214)=2,"Confirm_Buy","No_Action")</f>
        <v/>
      </c>
      <c r="AJ214" s="15">
        <f>IF(H214&gt;I214,1,0)</f>
        <v/>
      </c>
      <c r="AK214" s="15">
        <f>IF(K214&gt;M214,1,0)</f>
        <v/>
      </c>
    </row>
    <row r="215" ht="14.5" customHeight="1">
      <c r="A215" s="12" t="inlineStr">
        <is>
          <t>METROPOLIS</t>
        </is>
      </c>
      <c r="B215" s="13">
        <f>IFERROR(__xludf.DUMMYFUNCTION("GOOGLEFINANCE(""NSE:""&amp;A215,""PRICE"")"),2210.1)</f>
        <v/>
      </c>
      <c r="C215" s="13">
        <f>IFERROR(__xludf.DUMMYFUNCTION("GOOGLEFINANCE(""NSE:""&amp;A215,""PRICEOPEN"")"),2125)</f>
        <v/>
      </c>
      <c r="D215" s="13">
        <f>IFERROR(__xludf.DUMMYFUNCTION("GOOGLEFINANCE(""NSE:""&amp;A215,""HIGH"")"),2212)</f>
        <v/>
      </c>
      <c r="E215" s="13">
        <f>IFERROR(__xludf.DUMMYFUNCTION("GOOGLEFINANCE(""NSE:""&amp;A215,""LOW"")"),2091.5)</f>
        <v/>
      </c>
      <c r="F215" s="13">
        <f>IFERROR(__xludf.DUMMYFUNCTION("GOOGLEFINANCE(""NSE:""&amp;A215,""closeyest"")"),2135.5)</f>
        <v/>
      </c>
      <c r="G215" s="14">
        <f>(B215-C215)/B215</f>
        <v/>
      </c>
      <c r="H215" s="13">
        <f>IFERROR(__xludf.DUMMYFUNCTION("GOOGLEFINANCE(""NSE:""&amp;A215,""VOLUME"")"),553459)</f>
        <v/>
      </c>
      <c r="I215" s="13">
        <f>IFERROR(__xludf.DUMMYFUNCTION("AVERAGE(index(GOOGLEFINANCE(""NSE:""&amp;$A215, ""volume"", today()-21, today()-1), , 2))"),"#N/A")</f>
        <v/>
      </c>
      <c r="J215" s="14">
        <f>(H215-I215)/I215</f>
        <v/>
      </c>
      <c r="K215" s="13">
        <f>IFERROR(__xludf.DUMMYFUNCTION("AVERAGE(index(GOOGLEFINANCE(""NSE:""&amp;$A215, ""close"", today()-6, today()-1), , 2))"),"#N/A")</f>
        <v/>
      </c>
      <c r="L215" s="13">
        <f>IFERROR(__xludf.DUMMYFUNCTION("AVERAGE(index(GOOGLEFINANCE(""NSE:""&amp;$A215, ""close"", today()-14, today()-1), , 2))"),"#N/A")</f>
        <v/>
      </c>
      <c r="M215" s="13">
        <f>IFERROR(__xludf.DUMMYFUNCTION("AVERAGE(index(GOOGLEFINANCE(""NSE:""&amp;$A215, ""close"", today()-22, today()-1), , 2))"),"#N/A")</f>
        <v/>
      </c>
      <c r="N215" s="13">
        <f>AG215</f>
        <v/>
      </c>
      <c r="O215" s="13">
        <f>AI215</f>
        <v/>
      </c>
      <c r="P215" s="13">
        <f>W215</f>
        <v/>
      </c>
      <c r="Q215" s="13">
        <f>Y215</f>
        <v/>
      </c>
      <c r="R215" s="15" t="n"/>
      <c r="S215" s="15">
        <f>LEFT(W215,2)&amp;LEFT(Y215,2)</f>
        <v/>
      </c>
      <c r="T215" s="15" t="n"/>
      <c r="U215" s="15">
        <f>IF(K215&lt;L215,1,0)</f>
        <v/>
      </c>
      <c r="V215" s="15">
        <f>IF(H215&gt;I215,1,0)</f>
        <v/>
      </c>
      <c r="W215" s="15">
        <f>IF(SUM(U215:V215)=2,"Anticipatory_Sell","No_Action")</f>
        <v/>
      </c>
      <c r="X215" s="15" t="n"/>
      <c r="Y215" s="15">
        <f>IF(SUM(Z215:AA215)=2,"Confirm_Sell","No_Action")</f>
        <v/>
      </c>
      <c r="Z215" s="15">
        <f>IF(H215&gt;I215,1,0)</f>
        <v/>
      </c>
      <c r="AA215" s="15">
        <f>IF(K215&lt;M215,1,0)</f>
        <v/>
      </c>
      <c r="AB215" s="15" t="n"/>
      <c r="AC215" s="15">
        <f>LEFT(AG215,2)&amp;LEFT(AI215,2)</f>
        <v/>
      </c>
      <c r="AD215" s="15" t="n"/>
      <c r="AE215" s="15">
        <f>IF(K215&gt;L215,1,0)</f>
        <v/>
      </c>
      <c r="AF215" s="16">
        <f>IF(H215&gt;I215,1,0)</f>
        <v/>
      </c>
      <c r="AG215" s="16">
        <f>IF(SUM(AE215:AF215)=2,"Anticipatory_Buy","No_Action")</f>
        <v/>
      </c>
      <c r="AH215" s="15" t="n"/>
      <c r="AI215" s="15">
        <f>IF(SUM(AJ215:AK215)=2,"Confirm_Buy","No_Action")</f>
        <v/>
      </c>
      <c r="AJ215" s="15">
        <f>IF(H215&gt;I215,1,0)</f>
        <v/>
      </c>
      <c r="AK215" s="15">
        <f>IF(K215&gt;M215,1,0)</f>
        <v/>
      </c>
    </row>
    <row r="216" ht="14.5" customHeight="1">
      <c r="A216" s="12" t="inlineStr">
        <is>
          <t>MOIL</t>
        </is>
      </c>
      <c r="B216" s="13">
        <f>IFERROR(__xludf.DUMMYFUNCTION("GOOGLEFINANCE(""NSE:""&amp;A216,""PRICE"")"),354.8)</f>
        <v/>
      </c>
      <c r="C216" s="13">
        <f>IFERROR(__xludf.DUMMYFUNCTION("GOOGLEFINANCE(""NSE:""&amp;A216,""PRICEOPEN"")"),357.05)</f>
        <v/>
      </c>
      <c r="D216" s="13">
        <f>IFERROR(__xludf.DUMMYFUNCTION("GOOGLEFINANCE(""NSE:""&amp;A216,""HIGH"")"),361.55)</f>
        <v/>
      </c>
      <c r="E216" s="13">
        <f>IFERROR(__xludf.DUMMYFUNCTION("GOOGLEFINANCE(""NSE:""&amp;A216,""LOW"")"),352.55)</f>
        <v/>
      </c>
      <c r="F216" s="13">
        <f>IFERROR(__xludf.DUMMYFUNCTION("GOOGLEFINANCE(""NSE:""&amp;A216,""closeyest"")"),355.35)</f>
        <v/>
      </c>
      <c r="G216" s="14">
        <f>(B216-C216)/B216</f>
        <v/>
      </c>
      <c r="H216" s="13">
        <f>IFERROR(__xludf.DUMMYFUNCTION("GOOGLEFINANCE(""NSE:""&amp;A216,""VOLUME"")"),962784)</f>
        <v/>
      </c>
      <c r="I216" s="13">
        <f>IFERROR(__xludf.DUMMYFUNCTION("AVERAGE(index(GOOGLEFINANCE(""NSE:""&amp;$A216, ""volume"", today()-21, today()-1), , 2))"),"#N/A")</f>
        <v/>
      </c>
      <c r="J216" s="14">
        <f>(H216-I216)/I216</f>
        <v/>
      </c>
      <c r="K216" s="13">
        <f>IFERROR(__xludf.DUMMYFUNCTION("AVERAGE(index(GOOGLEFINANCE(""NSE:""&amp;$A216, ""close"", today()-6, today()-1), , 2))"),"#N/A")</f>
        <v/>
      </c>
      <c r="L216" s="13">
        <f>IFERROR(__xludf.DUMMYFUNCTION("AVERAGE(index(GOOGLEFINANCE(""NSE:""&amp;$A216, ""close"", today()-14, today()-1), , 2))"),"#N/A")</f>
        <v/>
      </c>
      <c r="M216" s="13">
        <f>IFERROR(__xludf.DUMMYFUNCTION("AVERAGE(index(GOOGLEFINANCE(""NSE:""&amp;$A216, ""close"", today()-22, today()-1), , 2))"),"#N/A")</f>
        <v/>
      </c>
      <c r="N216" s="13">
        <f>AG216</f>
        <v/>
      </c>
      <c r="O216" s="13">
        <f>AI216</f>
        <v/>
      </c>
      <c r="P216" s="13">
        <f>W216</f>
        <v/>
      </c>
      <c r="Q216" s="13">
        <f>Y216</f>
        <v/>
      </c>
      <c r="R216" s="15" t="n"/>
      <c r="S216" s="15">
        <f>LEFT(W216,2)&amp;LEFT(Y216,2)</f>
        <v/>
      </c>
      <c r="T216" s="15" t="n"/>
      <c r="U216" s="15">
        <f>IF(K216&lt;L216,1,0)</f>
        <v/>
      </c>
      <c r="V216" s="15">
        <f>IF(H216&gt;I216,1,0)</f>
        <v/>
      </c>
      <c r="W216" s="15">
        <f>IF(SUM(U216:V216)=2,"Anticipatory_Sell","No_Action")</f>
        <v/>
      </c>
      <c r="X216" s="15" t="n"/>
      <c r="Y216" s="15">
        <f>IF(SUM(Z216:AA216)=2,"Confirm_Sell","No_Action")</f>
        <v/>
      </c>
      <c r="Z216" s="15">
        <f>IF(H216&gt;I216,1,0)</f>
        <v/>
      </c>
      <c r="AA216" s="15">
        <f>IF(K216&lt;M216,1,0)</f>
        <v/>
      </c>
      <c r="AB216" s="15" t="n"/>
      <c r="AC216" s="15">
        <f>LEFT(AG216,2)&amp;LEFT(AI216,2)</f>
        <v/>
      </c>
      <c r="AD216" s="15" t="n"/>
      <c r="AE216" s="15">
        <f>IF(K216&gt;L216,1,0)</f>
        <v/>
      </c>
      <c r="AF216" s="16">
        <f>IF(H216&gt;I216,1,0)</f>
        <v/>
      </c>
      <c r="AG216" s="16">
        <f>IF(SUM(AE216:AF216)=2,"Anticipatory_Buy","No_Action")</f>
        <v/>
      </c>
      <c r="AH216" s="15" t="n"/>
      <c r="AI216" s="15">
        <f>IF(SUM(AJ216:AK216)=2,"Confirm_Buy","No_Action")</f>
        <v/>
      </c>
      <c r="AJ216" s="15">
        <f>IF(H216&gt;I216,1,0)</f>
        <v/>
      </c>
      <c r="AK216" s="15">
        <f>IF(K216&gt;M216,1,0)</f>
        <v/>
      </c>
    </row>
    <row r="217" ht="14.5" customHeight="1">
      <c r="A217" s="12" t="inlineStr">
        <is>
          <t>MOLDTECH</t>
        </is>
      </c>
      <c r="B217" s="13">
        <f>IFERROR(__xludf.DUMMYFUNCTION("GOOGLEFINANCE(""NSE:""&amp;A217,""PRICE"")"),216.85)</f>
        <v/>
      </c>
      <c r="C217" s="13">
        <f>IFERROR(__xludf.DUMMYFUNCTION("GOOGLEFINANCE(""NSE:""&amp;A217,""PRICEOPEN"")"),217.4)</f>
        <v/>
      </c>
      <c r="D217" s="13">
        <f>IFERROR(__xludf.DUMMYFUNCTION("GOOGLEFINANCE(""NSE:""&amp;A217,""HIGH"")"),224.49)</f>
        <v/>
      </c>
      <c r="E217" s="13">
        <f>IFERROR(__xludf.DUMMYFUNCTION("GOOGLEFINANCE(""NSE:""&amp;A217,""LOW"")"),216.1)</f>
        <v/>
      </c>
      <c r="F217" s="13">
        <f>IFERROR(__xludf.DUMMYFUNCTION("GOOGLEFINANCE(""NSE:""&amp;A217,""closeyest"")"),215.46)</f>
        <v/>
      </c>
      <c r="G217" s="14">
        <f>(B217-C217)/B217</f>
        <v/>
      </c>
      <c r="H217" s="13">
        <f>IFERROR(__xludf.DUMMYFUNCTION("GOOGLEFINANCE(""NSE:""&amp;A217,""VOLUME"")"),70810)</f>
        <v/>
      </c>
      <c r="I217" s="13">
        <f>IFERROR(__xludf.DUMMYFUNCTION("AVERAGE(index(GOOGLEFINANCE(""NSE:""&amp;$A217, ""volume"", today()-21, today()-1), , 2))"),"#N/A")</f>
        <v/>
      </c>
      <c r="J217" s="14">
        <f>(H217-I217)/I217</f>
        <v/>
      </c>
      <c r="K217" s="13">
        <f>IFERROR(__xludf.DUMMYFUNCTION("AVERAGE(index(GOOGLEFINANCE(""NSE:""&amp;$A217, ""close"", today()-6, today()-1), , 2))"),"#N/A")</f>
        <v/>
      </c>
      <c r="L217" s="13">
        <f>IFERROR(__xludf.DUMMYFUNCTION("AVERAGE(index(GOOGLEFINANCE(""NSE:""&amp;$A217, ""close"", today()-14, today()-1), , 2))"),"#N/A")</f>
        <v/>
      </c>
      <c r="M217" s="13">
        <f>IFERROR(__xludf.DUMMYFUNCTION("AVERAGE(index(GOOGLEFINANCE(""NSE:""&amp;$A217, ""close"", today()-22, today()-1), , 2))"),"#N/A")</f>
        <v/>
      </c>
      <c r="N217" s="13">
        <f>AG217</f>
        <v/>
      </c>
      <c r="O217" s="13">
        <f>AI217</f>
        <v/>
      </c>
      <c r="P217" s="13">
        <f>W217</f>
        <v/>
      </c>
      <c r="Q217" s="13">
        <f>Y217</f>
        <v/>
      </c>
      <c r="R217" s="15" t="n"/>
      <c r="S217" s="15">
        <f>LEFT(W217,2)&amp;LEFT(Y217,2)</f>
        <v/>
      </c>
      <c r="T217" s="15" t="n"/>
      <c r="U217" s="15">
        <f>IF(K217&lt;L217,1,0)</f>
        <v/>
      </c>
      <c r="V217" s="15">
        <f>IF(H217&gt;I217,1,0)</f>
        <v/>
      </c>
      <c r="W217" s="15">
        <f>IF(SUM(U217:V217)=2,"Anticipatory_Sell","No_Action")</f>
        <v/>
      </c>
      <c r="X217" s="15" t="n"/>
      <c r="Y217" s="15">
        <f>IF(SUM(Z217:AA217)=2,"Confirm_Sell","No_Action")</f>
        <v/>
      </c>
      <c r="Z217" s="15">
        <f>IF(H217&gt;I217,1,0)</f>
        <v/>
      </c>
      <c r="AA217" s="15">
        <f>IF(K217&lt;M217,1,0)</f>
        <v/>
      </c>
      <c r="AB217" s="15" t="n"/>
      <c r="AC217" s="15">
        <f>LEFT(AG217,2)&amp;LEFT(AI217,2)</f>
        <v/>
      </c>
      <c r="AD217" s="15" t="n"/>
      <c r="AE217" s="15">
        <f>IF(K217&gt;L217,1,0)</f>
        <v/>
      </c>
      <c r="AF217" s="16">
        <f>IF(H217&gt;I217,1,0)</f>
        <v/>
      </c>
      <c r="AG217" s="16">
        <f>IF(SUM(AE217:AF217)=2,"Anticipatory_Buy","No_Action")</f>
        <v/>
      </c>
      <c r="AH217" s="15" t="n"/>
      <c r="AI217" s="15">
        <f>IF(SUM(AJ217:AK217)=2,"Confirm_Buy","No_Action")</f>
        <v/>
      </c>
      <c r="AJ217" s="15">
        <f>IF(H217&gt;I217,1,0)</f>
        <v/>
      </c>
      <c r="AK217" s="15">
        <f>IF(K217&gt;M217,1,0)</f>
        <v/>
      </c>
    </row>
    <row r="218" ht="14.5" customHeight="1">
      <c r="A218" s="12" t="inlineStr">
        <is>
          <t>MPSLTD</t>
        </is>
      </c>
      <c r="B218" s="13">
        <f>IFERROR(__xludf.DUMMYFUNCTION("GOOGLEFINANCE(""NSE:""&amp;A218,""PRICE"")"),2194.6)</f>
        <v/>
      </c>
      <c r="C218" s="13">
        <f>IFERROR(__xludf.DUMMYFUNCTION("GOOGLEFINANCE(""NSE:""&amp;A218,""PRICEOPEN"")"),2199.4)</f>
        <v/>
      </c>
      <c r="D218" s="13">
        <f>IFERROR(__xludf.DUMMYFUNCTION("GOOGLEFINANCE(""NSE:""&amp;A218,""HIGH"")"),2267)</f>
        <v/>
      </c>
      <c r="E218" s="13">
        <f>IFERROR(__xludf.DUMMYFUNCTION("GOOGLEFINANCE(""NSE:""&amp;A218,""LOW"")"),2183.6)</f>
        <v/>
      </c>
      <c r="F218" s="13">
        <f>IFERROR(__xludf.DUMMYFUNCTION("GOOGLEFINANCE(""NSE:""&amp;A218,""closeyest"")"),2182.15)</f>
        <v/>
      </c>
      <c r="G218" s="14">
        <f>(B218-C218)/B218</f>
        <v/>
      </c>
      <c r="H218" s="13">
        <f>IFERROR(__xludf.DUMMYFUNCTION("GOOGLEFINANCE(""NSE:""&amp;A218,""VOLUME"")"),15864)</f>
        <v/>
      </c>
      <c r="I218" s="13">
        <f>IFERROR(__xludf.DUMMYFUNCTION("AVERAGE(index(GOOGLEFINANCE(""NSE:""&amp;$A218, ""volume"", today()-21, today()-1), , 2))"),"#N/A")</f>
        <v/>
      </c>
      <c r="J218" s="14">
        <f>(H218-I218)/I218</f>
        <v/>
      </c>
      <c r="K218" s="13">
        <f>IFERROR(__xludf.DUMMYFUNCTION("AVERAGE(index(GOOGLEFINANCE(""NSE:""&amp;$A218, ""close"", today()-6, today()-1), , 2))"),"#N/A")</f>
        <v/>
      </c>
      <c r="L218" s="13">
        <f>IFERROR(__xludf.DUMMYFUNCTION("AVERAGE(index(GOOGLEFINANCE(""NSE:""&amp;$A218, ""close"", today()-14, today()-1), , 2))"),"#N/A")</f>
        <v/>
      </c>
      <c r="M218" s="13">
        <f>IFERROR(__xludf.DUMMYFUNCTION("AVERAGE(index(GOOGLEFINANCE(""NSE:""&amp;$A218, ""close"", today()-22, today()-1), , 2))"),"#N/A")</f>
        <v/>
      </c>
      <c r="N218" s="13">
        <f>AG218</f>
        <v/>
      </c>
      <c r="O218" s="13">
        <f>AI218</f>
        <v/>
      </c>
      <c r="P218" s="13">
        <f>W218</f>
        <v/>
      </c>
      <c r="Q218" s="13">
        <f>Y218</f>
        <v/>
      </c>
      <c r="R218" s="15" t="n"/>
      <c r="S218" s="15">
        <f>LEFT(W218,2)&amp;LEFT(Y218,2)</f>
        <v/>
      </c>
      <c r="T218" s="15" t="n"/>
      <c r="U218" s="15">
        <f>IF(K218&lt;L218,1,0)</f>
        <v/>
      </c>
      <c r="V218" s="15">
        <f>IF(H218&gt;I218,1,0)</f>
        <v/>
      </c>
      <c r="W218" s="15">
        <f>IF(SUM(U218:V218)=2,"Anticipatory_Sell","No_Action")</f>
        <v/>
      </c>
      <c r="X218" s="15" t="n"/>
      <c r="Y218" s="15">
        <f>IF(SUM(Z218:AA218)=2,"Confirm_Sell","No_Action")</f>
        <v/>
      </c>
      <c r="Z218" s="15">
        <f>IF(H218&gt;I218,1,0)</f>
        <v/>
      </c>
      <c r="AA218" s="15">
        <f>IF(K218&lt;M218,1,0)</f>
        <v/>
      </c>
      <c r="AB218" s="15" t="n"/>
      <c r="AC218" s="15">
        <f>LEFT(AG218,2)&amp;LEFT(AI218,2)</f>
        <v/>
      </c>
      <c r="AD218" s="15" t="n"/>
      <c r="AE218" s="15">
        <f>IF(K218&gt;L218,1,0)</f>
        <v/>
      </c>
      <c r="AF218" s="16">
        <f>IF(H218&gt;I218,1,0)</f>
        <v/>
      </c>
      <c r="AG218" s="16">
        <f>IF(SUM(AE218:AF218)=2,"Anticipatory_Buy","No_Action")</f>
        <v/>
      </c>
      <c r="AH218" s="15" t="n"/>
      <c r="AI218" s="15">
        <f>IF(SUM(AJ218:AK218)=2,"Confirm_Buy","No_Action")</f>
        <v/>
      </c>
      <c r="AJ218" s="15">
        <f>IF(H218&gt;I218,1,0)</f>
        <v/>
      </c>
      <c r="AK218" s="15">
        <f>IF(K218&gt;M218,1,0)</f>
        <v/>
      </c>
    </row>
    <row r="219" ht="14.5" customHeight="1">
      <c r="A219" s="12" t="inlineStr">
        <is>
          <t>MRF</t>
        </is>
      </c>
      <c r="B219" s="13">
        <f>IFERROR(__xludf.DUMMYFUNCTION("GOOGLEFINANCE(""NSE:""&amp;A219,""PRICE"")"),132433.6)</f>
        <v/>
      </c>
      <c r="C219" s="13">
        <f>IFERROR(__xludf.DUMMYFUNCTION("GOOGLEFINANCE(""NSE:""&amp;A219,""PRICEOPEN"")"),131240)</f>
        <v/>
      </c>
      <c r="D219" s="13">
        <f>IFERROR(__xludf.DUMMYFUNCTION("GOOGLEFINANCE(""NSE:""&amp;A219,""HIGH"")"),133172.5)</f>
        <v/>
      </c>
      <c r="E219" s="13">
        <f>IFERROR(__xludf.DUMMYFUNCTION("GOOGLEFINANCE(""NSE:""&amp;A219,""LOW"")"),130800.55)</f>
        <v/>
      </c>
      <c r="F219" s="13">
        <f>IFERROR(__xludf.DUMMYFUNCTION("GOOGLEFINANCE(""NSE:""&amp;A219,""closeyest"")"),130635.55)</f>
        <v/>
      </c>
      <c r="G219" s="14">
        <f>(B219-C219)/B219</f>
        <v/>
      </c>
      <c r="H219" s="13">
        <f>IFERROR(__xludf.DUMMYFUNCTION("GOOGLEFINANCE(""NSE:""&amp;A219,""VOLUME"")"),7413)</f>
        <v/>
      </c>
      <c r="I219" s="13">
        <f>IFERROR(__xludf.DUMMYFUNCTION("AVERAGE(index(GOOGLEFINANCE(""NSE:""&amp;$A219, ""volume"", today()-21, today()-1), , 2))"),"#N/A")</f>
        <v/>
      </c>
      <c r="J219" s="14">
        <f>(H219-I219)/I219</f>
        <v/>
      </c>
      <c r="K219" s="13">
        <f>IFERROR(__xludf.DUMMYFUNCTION("AVERAGE(index(GOOGLEFINANCE(""NSE:""&amp;$A219, ""close"", today()-6, today()-1), , 2))"),"#N/A")</f>
        <v/>
      </c>
      <c r="L219" s="13">
        <f>IFERROR(__xludf.DUMMYFUNCTION("AVERAGE(index(GOOGLEFINANCE(""NSE:""&amp;$A219, ""close"", today()-14, today()-1), , 2))"),"#N/A")</f>
        <v/>
      </c>
      <c r="M219" s="13">
        <f>IFERROR(__xludf.DUMMYFUNCTION("AVERAGE(index(GOOGLEFINANCE(""NSE:""&amp;$A219, ""close"", today()-22, today()-1), , 2))"),"#N/A")</f>
        <v/>
      </c>
      <c r="N219" s="13">
        <f>AG219</f>
        <v/>
      </c>
      <c r="O219" s="13">
        <f>AI219</f>
        <v/>
      </c>
      <c r="P219" s="13">
        <f>W219</f>
        <v/>
      </c>
      <c r="Q219" s="13">
        <f>Y219</f>
        <v/>
      </c>
      <c r="R219" s="15" t="n"/>
      <c r="S219" s="15">
        <f>LEFT(W219,2)&amp;LEFT(Y219,2)</f>
        <v/>
      </c>
      <c r="T219" s="15" t="n"/>
      <c r="U219" s="15">
        <f>IF(K219&lt;L219,1,0)</f>
        <v/>
      </c>
      <c r="V219" s="15">
        <f>IF(H219&gt;I219,1,0)</f>
        <v/>
      </c>
      <c r="W219" s="15">
        <f>IF(SUM(U219:V219)=2,"Anticipatory_Sell","No_Action")</f>
        <v/>
      </c>
      <c r="X219" s="15" t="n"/>
      <c r="Y219" s="15">
        <f>IF(SUM(Z219:AA219)=2,"Confirm_Sell","No_Action")</f>
        <v/>
      </c>
      <c r="Z219" s="15">
        <f>IF(H219&gt;I219,1,0)</f>
        <v/>
      </c>
      <c r="AA219" s="15">
        <f>IF(K219&lt;M219,1,0)</f>
        <v/>
      </c>
      <c r="AB219" s="15" t="n"/>
      <c r="AC219" s="15">
        <f>LEFT(AG219,2)&amp;LEFT(AI219,2)</f>
        <v/>
      </c>
      <c r="AD219" s="15" t="n"/>
      <c r="AE219" s="15">
        <f>IF(K219&gt;L219,1,0)</f>
        <v/>
      </c>
      <c r="AF219" s="16">
        <f>IF(H219&gt;I219,1,0)</f>
        <v/>
      </c>
      <c r="AG219" s="16">
        <f>IF(SUM(AE219:AF219)=2,"Anticipatory_Buy","No_Action")</f>
        <v/>
      </c>
      <c r="AH219" s="15" t="n"/>
      <c r="AI219" s="15">
        <f>IF(SUM(AJ219:AK219)=2,"Confirm_Buy","No_Action")</f>
        <v/>
      </c>
      <c r="AJ219" s="15">
        <f>IF(H219&gt;I219,1,0)</f>
        <v/>
      </c>
      <c r="AK219" s="15">
        <f>IF(K219&gt;M219,1,0)</f>
        <v/>
      </c>
    </row>
    <row r="220" ht="14.5" customHeight="1">
      <c r="A220" s="12" t="inlineStr">
        <is>
          <t>MSTCLTD</t>
        </is>
      </c>
      <c r="B220" s="13">
        <f>IFERROR(__xludf.DUMMYFUNCTION("GOOGLEFINANCE(""NSE:""&amp;A220,""PRICE"")"),787.9)</f>
        <v/>
      </c>
      <c r="C220" s="13">
        <f>IFERROR(__xludf.DUMMYFUNCTION("GOOGLEFINANCE(""NSE:""&amp;A220,""PRICEOPEN"")"),791.95)</f>
        <v/>
      </c>
      <c r="D220" s="13">
        <f>IFERROR(__xludf.DUMMYFUNCTION("GOOGLEFINANCE(""NSE:""&amp;A220,""HIGH"")"),809.75)</f>
        <v/>
      </c>
      <c r="E220" s="13">
        <f>IFERROR(__xludf.DUMMYFUNCTION("GOOGLEFINANCE(""NSE:""&amp;A220,""LOW"")"),786)</f>
        <v/>
      </c>
      <c r="F220" s="13">
        <f>IFERROR(__xludf.DUMMYFUNCTION("GOOGLEFINANCE(""NSE:""&amp;A220,""closeyest"")"),780.8)</f>
        <v/>
      </c>
      <c r="G220" s="14">
        <f>(B220-C220)/B220</f>
        <v/>
      </c>
      <c r="H220" s="13">
        <f>IFERROR(__xludf.DUMMYFUNCTION("GOOGLEFINANCE(""NSE:""&amp;A220,""VOLUME"")"),721495)</f>
        <v/>
      </c>
      <c r="I220" s="13">
        <f>IFERROR(__xludf.DUMMYFUNCTION("AVERAGE(index(GOOGLEFINANCE(""NSE:""&amp;$A220, ""volume"", today()-21, today()-1), , 2))"),"#N/A")</f>
        <v/>
      </c>
      <c r="J220" s="14">
        <f>(H220-I220)/I220</f>
        <v/>
      </c>
      <c r="K220" s="13">
        <f>IFERROR(__xludf.DUMMYFUNCTION("AVERAGE(index(GOOGLEFINANCE(""NSE:""&amp;$A220, ""close"", today()-6, today()-1), , 2))"),"#N/A")</f>
        <v/>
      </c>
      <c r="L220" s="13">
        <f>IFERROR(__xludf.DUMMYFUNCTION("AVERAGE(index(GOOGLEFINANCE(""NSE:""&amp;$A220, ""close"", today()-14, today()-1), , 2))"),"#N/A")</f>
        <v/>
      </c>
      <c r="M220" s="13">
        <f>IFERROR(__xludf.DUMMYFUNCTION("AVERAGE(index(GOOGLEFINANCE(""NSE:""&amp;$A220, ""close"", today()-22, today()-1), , 2))"),"#N/A")</f>
        <v/>
      </c>
      <c r="N220" s="13">
        <f>AG220</f>
        <v/>
      </c>
      <c r="O220" s="13">
        <f>AI220</f>
        <v/>
      </c>
      <c r="P220" s="13">
        <f>W220</f>
        <v/>
      </c>
      <c r="Q220" s="13">
        <f>Y220</f>
        <v/>
      </c>
      <c r="R220" s="15" t="n"/>
      <c r="S220" s="15">
        <f>LEFT(W220,2)&amp;LEFT(Y220,2)</f>
        <v/>
      </c>
      <c r="T220" s="15" t="n"/>
      <c r="U220" s="15">
        <f>IF(K220&lt;L220,1,0)</f>
        <v/>
      </c>
      <c r="V220" s="15">
        <f>IF(H220&gt;I220,1,0)</f>
        <v/>
      </c>
      <c r="W220" s="15">
        <f>IF(SUM(U220:V220)=2,"Anticipatory_Sell","No_Action")</f>
        <v/>
      </c>
      <c r="X220" s="15" t="n"/>
      <c r="Y220" s="15">
        <f>IF(SUM(Z220:AA220)=2,"Confirm_Sell","No_Action")</f>
        <v/>
      </c>
      <c r="Z220" s="15">
        <f>IF(H220&gt;I220,1,0)</f>
        <v/>
      </c>
      <c r="AA220" s="15">
        <f>IF(K220&lt;M220,1,0)</f>
        <v/>
      </c>
      <c r="AB220" s="15" t="n"/>
      <c r="AC220" s="15">
        <f>LEFT(AG220,2)&amp;LEFT(AI220,2)</f>
        <v/>
      </c>
      <c r="AD220" s="15" t="n"/>
      <c r="AE220" s="15">
        <f>IF(K220&gt;L220,1,0)</f>
        <v/>
      </c>
      <c r="AF220" s="16">
        <f>IF(H220&gt;I220,1,0)</f>
        <v/>
      </c>
      <c r="AG220" s="16">
        <f>IF(SUM(AE220:AF220)=2,"Anticipatory_Buy","No_Action")</f>
        <v/>
      </c>
      <c r="AH220" s="15" t="n"/>
      <c r="AI220" s="15">
        <f>IF(SUM(AJ220:AK220)=2,"Confirm_Buy","No_Action")</f>
        <v/>
      </c>
      <c r="AJ220" s="15">
        <f>IF(H220&gt;I220,1,0)</f>
        <v/>
      </c>
      <c r="AK220" s="15">
        <f>IF(K220&gt;M220,1,0)</f>
        <v/>
      </c>
    </row>
    <row r="221" ht="14.5" customHeight="1">
      <c r="A221" s="12" t="inlineStr">
        <is>
          <t>MUTHOOTFIN</t>
        </is>
      </c>
      <c r="B221" s="13">
        <f>IFERROR(__xludf.DUMMYFUNCTION("GOOGLEFINANCE(""NSE:""&amp;A221,""PRICE"")"),1990.2)</f>
        <v/>
      </c>
      <c r="C221" s="13">
        <f>IFERROR(__xludf.DUMMYFUNCTION("GOOGLEFINANCE(""NSE:""&amp;A221,""PRICEOPEN"")"),1939.95)</f>
        <v/>
      </c>
      <c r="D221" s="13">
        <f>IFERROR(__xludf.DUMMYFUNCTION("GOOGLEFINANCE(""NSE:""&amp;A221,""HIGH"")"),2000.15)</f>
        <v/>
      </c>
      <c r="E221" s="13">
        <f>IFERROR(__xludf.DUMMYFUNCTION("GOOGLEFINANCE(""NSE:""&amp;A221,""LOW"")"),1936)</f>
        <v/>
      </c>
      <c r="F221" s="13">
        <f>IFERROR(__xludf.DUMMYFUNCTION("GOOGLEFINANCE(""NSE:""&amp;A221,""closeyest"")"),1951.55)</f>
        <v/>
      </c>
      <c r="G221" s="14">
        <f>(B221-C221)/B221</f>
        <v/>
      </c>
      <c r="H221" s="13">
        <f>IFERROR(__xludf.DUMMYFUNCTION("GOOGLEFINANCE(""NSE:""&amp;A221,""VOLUME"")"),1030309)</f>
        <v/>
      </c>
      <c r="I221" s="13">
        <f>IFERROR(__xludf.DUMMYFUNCTION("AVERAGE(index(GOOGLEFINANCE(""NSE:""&amp;$A221, ""volume"", today()-21, today()-1), , 2))"),"#N/A")</f>
        <v/>
      </c>
      <c r="J221" s="14">
        <f>(H221-I221)/I221</f>
        <v/>
      </c>
      <c r="K221" s="13">
        <f>IFERROR(__xludf.DUMMYFUNCTION("AVERAGE(index(GOOGLEFINANCE(""NSE:""&amp;$A221, ""close"", today()-6, today()-1), , 2))"),"#N/A")</f>
        <v/>
      </c>
      <c r="L221" s="13">
        <f>IFERROR(__xludf.DUMMYFUNCTION("AVERAGE(index(GOOGLEFINANCE(""NSE:""&amp;$A221, ""close"", today()-14, today()-1), , 2))"),"#N/A")</f>
        <v/>
      </c>
      <c r="M221" s="13">
        <f>IFERROR(__xludf.DUMMYFUNCTION("AVERAGE(index(GOOGLEFINANCE(""NSE:""&amp;$A221, ""close"", today()-22, today()-1), , 2))"),"#N/A")</f>
        <v/>
      </c>
      <c r="N221" s="13">
        <f>AG221</f>
        <v/>
      </c>
      <c r="O221" s="13">
        <f>AI221</f>
        <v/>
      </c>
      <c r="P221" s="13">
        <f>W221</f>
        <v/>
      </c>
      <c r="Q221" s="13">
        <f>Y221</f>
        <v/>
      </c>
      <c r="R221" s="15" t="n"/>
      <c r="S221" s="15">
        <f>LEFT(W221,2)&amp;LEFT(Y221,2)</f>
        <v/>
      </c>
      <c r="T221" s="15" t="n"/>
      <c r="U221" s="15">
        <f>IF(K221&lt;L221,1,0)</f>
        <v/>
      </c>
      <c r="V221" s="15">
        <f>IF(H221&gt;I221,1,0)</f>
        <v/>
      </c>
      <c r="W221" s="15">
        <f>IF(SUM(U221:V221)=2,"Anticipatory_Sell","No_Action")</f>
        <v/>
      </c>
      <c r="X221" s="15" t="n"/>
      <c r="Y221" s="15">
        <f>IF(SUM(Z221:AA221)=2,"Confirm_Sell","No_Action")</f>
        <v/>
      </c>
      <c r="Z221" s="15">
        <f>IF(H221&gt;I221,1,0)</f>
        <v/>
      </c>
      <c r="AA221" s="15">
        <f>IF(K221&lt;M221,1,0)</f>
        <v/>
      </c>
      <c r="AB221" s="15" t="n"/>
      <c r="AC221" s="15">
        <f>LEFT(AG221,2)&amp;LEFT(AI221,2)</f>
        <v/>
      </c>
      <c r="AD221" s="15" t="n"/>
      <c r="AE221" s="15">
        <f>IF(K221&gt;L221,1,0)</f>
        <v/>
      </c>
      <c r="AF221" s="16">
        <f>IF(H221&gt;I221,1,0)</f>
        <v/>
      </c>
      <c r="AG221" s="16">
        <f>IF(SUM(AE221:AF221)=2,"Anticipatory_Buy","No_Action")</f>
        <v/>
      </c>
      <c r="AH221" s="15" t="n"/>
      <c r="AI221" s="15">
        <f>IF(SUM(AJ221:AK221)=2,"Confirm_Buy","No_Action")</f>
        <v/>
      </c>
      <c r="AJ221" s="15">
        <f>IF(H221&gt;I221,1,0)</f>
        <v/>
      </c>
      <c r="AK221" s="15">
        <f>IF(K221&gt;M221,1,0)</f>
        <v/>
      </c>
    </row>
    <row r="222" ht="14.5" customHeight="1">
      <c r="A222" s="12" t="inlineStr">
        <is>
          <t>NH</t>
        </is>
      </c>
      <c r="B222" s="13">
        <f>IFERROR(__xludf.DUMMYFUNCTION("GOOGLEFINANCE(""NSE:""&amp;A222,""PRICE"")"),1326.85)</f>
        <v/>
      </c>
      <c r="C222" s="13">
        <f>IFERROR(__xludf.DUMMYFUNCTION("GOOGLEFINANCE(""NSE:""&amp;A222,""PRICEOPEN"")"),1344)</f>
        <v/>
      </c>
      <c r="D222" s="13">
        <f>IFERROR(__xludf.DUMMYFUNCTION("GOOGLEFINANCE(""NSE:""&amp;A222,""HIGH"")"),1347.15)</f>
        <v/>
      </c>
      <c r="E222" s="13">
        <f>IFERROR(__xludf.DUMMYFUNCTION("GOOGLEFINANCE(""NSE:""&amp;A222,""LOW"")"),1320.8)</f>
        <v/>
      </c>
      <c r="F222" s="13">
        <f>IFERROR(__xludf.DUMMYFUNCTION("GOOGLEFINANCE(""NSE:""&amp;A222,""closeyest"")"),1339.8)</f>
        <v/>
      </c>
      <c r="G222" s="14">
        <f>(B222-C222)/B222</f>
        <v/>
      </c>
      <c r="H222" s="13">
        <f>IFERROR(__xludf.DUMMYFUNCTION("GOOGLEFINANCE(""NSE:""&amp;A222,""VOLUME"")"),254611)</f>
        <v/>
      </c>
      <c r="I222" s="13">
        <f>IFERROR(__xludf.DUMMYFUNCTION("AVERAGE(index(GOOGLEFINANCE(""NSE:""&amp;$A222, ""volume"", today()-21, today()-1), , 2))"),"#N/A")</f>
        <v/>
      </c>
      <c r="J222" s="14">
        <f>(H222-I222)/I222</f>
        <v/>
      </c>
      <c r="K222" s="13">
        <f>IFERROR(__xludf.DUMMYFUNCTION("AVERAGE(index(GOOGLEFINANCE(""NSE:""&amp;$A222, ""close"", today()-6, today()-1), , 2))"),"#N/A")</f>
        <v/>
      </c>
      <c r="L222" s="13">
        <f>IFERROR(__xludf.DUMMYFUNCTION("AVERAGE(index(GOOGLEFINANCE(""NSE:""&amp;$A222, ""close"", today()-14, today()-1), , 2))"),"#N/A")</f>
        <v/>
      </c>
      <c r="M222" s="13">
        <f>IFERROR(__xludf.DUMMYFUNCTION("AVERAGE(index(GOOGLEFINANCE(""NSE:""&amp;$A222, ""close"", today()-22, today()-1), , 2))"),"#N/A")</f>
        <v/>
      </c>
      <c r="N222" s="13">
        <f>AG222</f>
        <v/>
      </c>
      <c r="O222" s="13">
        <f>AI222</f>
        <v/>
      </c>
      <c r="P222" s="13">
        <f>W222</f>
        <v/>
      </c>
      <c r="Q222" s="13">
        <f>Y222</f>
        <v/>
      </c>
      <c r="R222" s="15" t="n"/>
      <c r="S222" s="15">
        <f>LEFT(W222,2)&amp;LEFT(Y222,2)</f>
        <v/>
      </c>
      <c r="T222" s="15" t="n"/>
      <c r="U222" s="15">
        <f>IF(K222&lt;L222,1,0)</f>
        <v/>
      </c>
      <c r="V222" s="15">
        <f>IF(H222&gt;I222,1,0)</f>
        <v/>
      </c>
      <c r="W222" s="15">
        <f>IF(SUM(U222:V222)=2,"Anticipatory_Sell","No_Action")</f>
        <v/>
      </c>
      <c r="X222" s="15" t="n"/>
      <c r="Y222" s="15">
        <f>IF(SUM(Z222:AA222)=2,"Confirm_Sell","No_Action")</f>
        <v/>
      </c>
      <c r="Z222" s="15">
        <f>IF(H222&gt;I222,1,0)</f>
        <v/>
      </c>
      <c r="AA222" s="15">
        <f>IF(K222&lt;M222,1,0)</f>
        <v/>
      </c>
      <c r="AB222" s="15" t="n"/>
      <c r="AC222" s="15">
        <f>LEFT(AG222,2)&amp;LEFT(AI222,2)</f>
        <v/>
      </c>
      <c r="AD222" s="15" t="n"/>
      <c r="AE222" s="15">
        <f>IF(K222&gt;L222,1,0)</f>
        <v/>
      </c>
      <c r="AF222" s="16">
        <f>IF(H222&gt;I222,1,0)</f>
        <v/>
      </c>
      <c r="AG222" s="16">
        <f>IF(SUM(AE222:AF222)=2,"Anticipatory_Buy","No_Action")</f>
        <v/>
      </c>
      <c r="AH222" s="15" t="n"/>
      <c r="AI222" s="15">
        <f>IF(SUM(AJ222:AK222)=2,"Confirm_Buy","No_Action")</f>
        <v/>
      </c>
      <c r="AJ222" s="15">
        <f>IF(H222&gt;I222,1,0)</f>
        <v/>
      </c>
      <c r="AK222" s="15">
        <f>IF(K222&gt;M222,1,0)</f>
        <v/>
      </c>
    </row>
    <row r="223" ht="14.5" customHeight="1">
      <c r="A223" s="12" t="inlineStr">
        <is>
          <t>NATCOPHARM</t>
        </is>
      </c>
      <c r="B223" s="13">
        <f>IFERROR(__xludf.DUMMYFUNCTION("GOOGLEFINANCE(""NSE:""&amp;A223,""PRICE"")"),1483.6)</f>
        <v/>
      </c>
      <c r="C223" s="13">
        <f>IFERROR(__xludf.DUMMYFUNCTION("GOOGLEFINANCE(""NSE:""&amp;A223,""PRICEOPEN"")"),1460)</f>
        <v/>
      </c>
      <c r="D223" s="13">
        <f>IFERROR(__xludf.DUMMYFUNCTION("GOOGLEFINANCE(""NSE:""&amp;A223,""HIGH"")"),1490)</f>
        <v/>
      </c>
      <c r="E223" s="13">
        <f>IFERROR(__xludf.DUMMYFUNCTION("GOOGLEFINANCE(""NSE:""&amp;A223,""LOW"")"),1453.05)</f>
        <v/>
      </c>
      <c r="F223" s="13">
        <f>IFERROR(__xludf.DUMMYFUNCTION("GOOGLEFINANCE(""NSE:""&amp;A223,""closeyest"")"),1449.9)</f>
        <v/>
      </c>
      <c r="G223" s="14">
        <f>(B223-C223)/B223</f>
        <v/>
      </c>
      <c r="H223" s="13">
        <f>IFERROR(__xludf.DUMMYFUNCTION("GOOGLEFINANCE(""NSE:""&amp;A223,""VOLUME"")"),943239)</f>
        <v/>
      </c>
      <c r="I223" s="13">
        <f>IFERROR(__xludf.DUMMYFUNCTION("AVERAGE(index(GOOGLEFINANCE(""NSE:""&amp;$A223, ""volume"", today()-21, today()-1), , 2))"),"#N/A")</f>
        <v/>
      </c>
      <c r="J223" s="14">
        <f>(H223-I223)/I223</f>
        <v/>
      </c>
      <c r="K223" s="13">
        <f>IFERROR(__xludf.DUMMYFUNCTION("AVERAGE(index(GOOGLEFINANCE(""NSE:""&amp;$A223, ""close"", today()-6, today()-1), , 2))"),"#N/A")</f>
        <v/>
      </c>
      <c r="L223" s="13">
        <f>IFERROR(__xludf.DUMMYFUNCTION("AVERAGE(index(GOOGLEFINANCE(""NSE:""&amp;$A223, ""close"", today()-14, today()-1), , 2))"),"#N/A")</f>
        <v/>
      </c>
      <c r="M223" s="13">
        <f>IFERROR(__xludf.DUMMYFUNCTION("AVERAGE(index(GOOGLEFINANCE(""NSE:""&amp;$A223, ""close"", today()-22, today()-1), , 2))"),"#N/A")</f>
        <v/>
      </c>
      <c r="N223" s="13">
        <f>AG223</f>
        <v/>
      </c>
      <c r="O223" s="13">
        <f>AI223</f>
        <v/>
      </c>
      <c r="P223" s="13">
        <f>W223</f>
        <v/>
      </c>
      <c r="Q223" s="13">
        <f>Y223</f>
        <v/>
      </c>
      <c r="R223" s="15" t="n"/>
      <c r="S223" s="15">
        <f>LEFT(W223,2)&amp;LEFT(Y223,2)</f>
        <v/>
      </c>
      <c r="T223" s="15" t="n"/>
      <c r="U223" s="15">
        <f>IF(K223&lt;L223,1,0)</f>
        <v/>
      </c>
      <c r="V223" s="15">
        <f>IF(H223&gt;I223,1,0)</f>
        <v/>
      </c>
      <c r="W223" s="15">
        <f>IF(SUM(U223:V223)=2,"Anticipatory_Sell","No_Action")</f>
        <v/>
      </c>
      <c r="X223" s="15" t="n"/>
      <c r="Y223" s="15">
        <f>IF(SUM(Z223:AA223)=2,"Confirm_Sell","No_Action")</f>
        <v/>
      </c>
      <c r="Z223" s="15">
        <f>IF(H223&gt;I223,1,0)</f>
        <v/>
      </c>
      <c r="AA223" s="15">
        <f>IF(K223&lt;M223,1,0)</f>
        <v/>
      </c>
      <c r="AB223" s="15" t="n"/>
      <c r="AC223" s="15">
        <f>LEFT(AG223,2)&amp;LEFT(AI223,2)</f>
        <v/>
      </c>
      <c r="AD223" s="15" t="n"/>
      <c r="AE223" s="15">
        <f>IF(K223&gt;L223,1,0)</f>
        <v/>
      </c>
      <c r="AF223" s="16">
        <f>IF(H223&gt;I223,1,0)</f>
        <v/>
      </c>
      <c r="AG223" s="16">
        <f>IF(SUM(AE223:AF223)=2,"Anticipatory_Buy","No_Action")</f>
        <v/>
      </c>
      <c r="AH223" s="15" t="n"/>
      <c r="AI223" s="15">
        <f>IF(SUM(AJ223:AK223)=2,"Confirm_Buy","No_Action")</f>
        <v/>
      </c>
      <c r="AJ223" s="15">
        <f>IF(H223&gt;I223,1,0)</f>
        <v/>
      </c>
      <c r="AK223" s="15">
        <f>IF(K223&gt;M223,1,0)</f>
        <v/>
      </c>
    </row>
    <row r="224" ht="14.5" customHeight="1">
      <c r="A224" s="12" t="inlineStr">
        <is>
          <t>NATIONALUM</t>
        </is>
      </c>
      <c r="B224" s="13">
        <f>IFERROR(__xludf.DUMMYFUNCTION("GOOGLEFINANCE(""NSE:""&amp;A224,""PRICE"")"),252)</f>
        <v/>
      </c>
      <c r="C224" s="13">
        <f>IFERROR(__xludf.DUMMYFUNCTION("GOOGLEFINANCE(""NSE:""&amp;A224,""PRICEOPEN"")"),249)</f>
        <v/>
      </c>
      <c r="D224" s="13">
        <f>IFERROR(__xludf.DUMMYFUNCTION("GOOGLEFINANCE(""NSE:""&amp;A224,""HIGH"")"),252.2)</f>
        <v/>
      </c>
      <c r="E224" s="13">
        <f>IFERROR(__xludf.DUMMYFUNCTION("GOOGLEFINANCE(""NSE:""&amp;A224,""LOW"")"),244.88)</f>
        <v/>
      </c>
      <c r="F224" s="13">
        <f>IFERROR(__xludf.DUMMYFUNCTION("GOOGLEFINANCE(""NSE:""&amp;A224,""closeyest"")"),248.26)</f>
        <v/>
      </c>
      <c r="G224" s="14">
        <f>(B224-C224)/B224</f>
        <v/>
      </c>
      <c r="H224" s="13">
        <f>IFERROR(__xludf.DUMMYFUNCTION("GOOGLEFINANCE(""NSE:""&amp;A224,""VOLUME"")"),13361475)</f>
        <v/>
      </c>
      <c r="I224" s="13">
        <f>IFERROR(__xludf.DUMMYFUNCTION("AVERAGE(index(GOOGLEFINANCE(""NSE:""&amp;$A224, ""volume"", today()-21, today()-1), , 2))"),"#N/A")</f>
        <v/>
      </c>
      <c r="J224" s="14">
        <f>(H224-I224)/I224</f>
        <v/>
      </c>
      <c r="K224" s="13">
        <f>IFERROR(__xludf.DUMMYFUNCTION("AVERAGE(index(GOOGLEFINANCE(""NSE:""&amp;$A224, ""close"", today()-6, today()-1), , 2))"),"#N/A")</f>
        <v/>
      </c>
      <c r="L224" s="13">
        <f>IFERROR(__xludf.DUMMYFUNCTION("AVERAGE(index(GOOGLEFINANCE(""NSE:""&amp;$A224, ""close"", today()-14, today()-1), , 2))"),"#N/A")</f>
        <v/>
      </c>
      <c r="M224" s="13">
        <f>IFERROR(__xludf.DUMMYFUNCTION("AVERAGE(index(GOOGLEFINANCE(""NSE:""&amp;$A224, ""close"", today()-22, today()-1), , 2))"),"#N/A")</f>
        <v/>
      </c>
      <c r="N224" s="13">
        <f>AG224</f>
        <v/>
      </c>
      <c r="O224" s="13">
        <f>AI224</f>
        <v/>
      </c>
      <c r="P224" s="13">
        <f>W224</f>
        <v/>
      </c>
      <c r="Q224" s="13">
        <f>Y224</f>
        <v/>
      </c>
      <c r="R224" s="15" t="n"/>
      <c r="S224" s="15">
        <f>LEFT(W224,2)&amp;LEFT(Y224,2)</f>
        <v/>
      </c>
      <c r="T224" s="15" t="n"/>
      <c r="U224" s="15">
        <f>IF(K224&lt;L224,1,0)</f>
        <v/>
      </c>
      <c r="V224" s="15">
        <f>IF(H224&gt;I224,1,0)</f>
        <v/>
      </c>
      <c r="W224" s="15">
        <f>IF(SUM(U224:V224)=2,"Anticipatory_Sell","No_Action")</f>
        <v/>
      </c>
      <c r="X224" s="15" t="n"/>
      <c r="Y224" s="15">
        <f>IF(SUM(Z224:AA224)=2,"Confirm_Sell","No_Action")</f>
        <v/>
      </c>
      <c r="Z224" s="15">
        <f>IF(H224&gt;I224,1,0)</f>
        <v/>
      </c>
      <c r="AA224" s="15">
        <f>IF(K224&lt;M224,1,0)</f>
        <v/>
      </c>
      <c r="AB224" s="15" t="n"/>
      <c r="AC224" s="15">
        <f>LEFT(AG224,2)&amp;LEFT(AI224,2)</f>
        <v/>
      </c>
      <c r="AD224" s="15" t="n"/>
      <c r="AE224" s="15">
        <f>IF(K224&gt;L224,1,0)</f>
        <v/>
      </c>
      <c r="AF224" s="16">
        <f>IF(H224&gt;I224,1,0)</f>
        <v/>
      </c>
      <c r="AG224" s="16">
        <f>IF(SUM(AE224:AF224)=2,"Anticipatory_Buy","No_Action")</f>
        <v/>
      </c>
      <c r="AH224" s="15" t="n"/>
      <c r="AI224" s="15">
        <f>IF(SUM(AJ224:AK224)=2,"Confirm_Buy","No_Action")</f>
        <v/>
      </c>
      <c r="AJ224" s="15">
        <f>IF(H224&gt;I224,1,0)</f>
        <v/>
      </c>
      <c r="AK224" s="15">
        <f>IF(K224&gt;M224,1,0)</f>
        <v/>
      </c>
    </row>
    <row r="225" ht="14.5" customHeight="1">
      <c r="A225" s="12" t="inlineStr">
        <is>
          <t>NAVA</t>
        </is>
      </c>
      <c r="B225" s="13">
        <f>IFERROR(__xludf.DUMMYFUNCTION("GOOGLEFINANCE(""NSE:""&amp;A225,""PRICE"")"),1045.6)</f>
        <v/>
      </c>
      <c r="C225" s="13">
        <f>IFERROR(__xludf.DUMMYFUNCTION("GOOGLEFINANCE(""NSE:""&amp;A225,""PRICEOPEN"")"),1040)</f>
        <v/>
      </c>
      <c r="D225" s="13">
        <f>IFERROR(__xludf.DUMMYFUNCTION("GOOGLEFINANCE(""NSE:""&amp;A225,""HIGH"")"),1070)</f>
        <v/>
      </c>
      <c r="E225" s="13">
        <f>IFERROR(__xludf.DUMMYFUNCTION("GOOGLEFINANCE(""NSE:""&amp;A225,""LOW"")"),1010.05)</f>
        <v/>
      </c>
      <c r="F225" s="13">
        <f>IFERROR(__xludf.DUMMYFUNCTION("GOOGLEFINANCE(""NSE:""&amp;A225,""closeyest"")"),1039.5)</f>
        <v/>
      </c>
      <c r="G225" s="14">
        <f>(B225-C225)/B225</f>
        <v/>
      </c>
      <c r="H225" s="13">
        <f>IFERROR(__xludf.DUMMYFUNCTION("GOOGLEFINANCE(""NSE:""&amp;A225,""VOLUME"")"),239813)</f>
        <v/>
      </c>
      <c r="I225" s="13">
        <f>IFERROR(__xludf.DUMMYFUNCTION("AVERAGE(index(GOOGLEFINANCE(""NSE:""&amp;$A225, ""volume"", today()-21, today()-1), , 2))"),"#N/A")</f>
        <v/>
      </c>
      <c r="J225" s="14">
        <f>(H225-I225)/I225</f>
        <v/>
      </c>
      <c r="K225" s="13">
        <f>IFERROR(__xludf.DUMMYFUNCTION("AVERAGE(index(GOOGLEFINANCE(""NSE:""&amp;$A225, ""close"", today()-6, today()-1), , 2))"),"#N/A")</f>
        <v/>
      </c>
      <c r="L225" s="13">
        <f>IFERROR(__xludf.DUMMYFUNCTION("AVERAGE(index(GOOGLEFINANCE(""NSE:""&amp;$A225, ""close"", today()-14, today()-1), , 2))"),"#N/A")</f>
        <v/>
      </c>
      <c r="M225" s="13">
        <f>IFERROR(__xludf.DUMMYFUNCTION("AVERAGE(index(GOOGLEFINANCE(""NSE:""&amp;$A225, ""close"", today()-22, today()-1), , 2))"),"#N/A")</f>
        <v/>
      </c>
      <c r="N225" s="13">
        <f>AG225</f>
        <v/>
      </c>
      <c r="O225" s="13">
        <f>AI225</f>
        <v/>
      </c>
      <c r="P225" s="13">
        <f>W225</f>
        <v/>
      </c>
      <c r="Q225" s="13">
        <f>Y225</f>
        <v/>
      </c>
      <c r="R225" s="15" t="n"/>
      <c r="S225" s="15">
        <f>LEFT(W225,2)&amp;LEFT(Y225,2)</f>
        <v/>
      </c>
      <c r="T225" s="15" t="n"/>
      <c r="U225" s="15">
        <f>IF(K225&lt;L225,1,0)</f>
        <v/>
      </c>
      <c r="V225" s="15">
        <f>IF(H225&gt;I225,1,0)</f>
        <v/>
      </c>
      <c r="W225" s="15">
        <f>IF(SUM(U225:V225)=2,"Anticipatory_Sell","No_Action")</f>
        <v/>
      </c>
      <c r="X225" s="15" t="n"/>
      <c r="Y225" s="15">
        <f>IF(SUM(Z225:AA225)=2,"Confirm_Sell","No_Action")</f>
        <v/>
      </c>
      <c r="Z225" s="15">
        <f>IF(H225&gt;I225,1,0)</f>
        <v/>
      </c>
      <c r="AA225" s="15">
        <f>IF(K225&lt;M225,1,0)</f>
        <v/>
      </c>
      <c r="AB225" s="15" t="n"/>
      <c r="AC225" s="15">
        <f>LEFT(AG225,2)&amp;LEFT(AI225,2)</f>
        <v/>
      </c>
      <c r="AD225" s="15" t="n"/>
      <c r="AE225" s="15">
        <f>IF(K225&gt;L225,1,0)</f>
        <v/>
      </c>
      <c r="AF225" s="16">
        <f>IF(H225&gt;I225,1,0)</f>
        <v/>
      </c>
      <c r="AG225" s="16">
        <f>IF(SUM(AE225:AF225)=2,"Anticipatory_Buy","No_Action")</f>
        <v/>
      </c>
      <c r="AH225" s="15" t="n"/>
      <c r="AI225" s="15">
        <f>IF(SUM(AJ225:AK225)=2,"Confirm_Buy","No_Action")</f>
        <v/>
      </c>
      <c r="AJ225" s="15">
        <f>IF(H225&gt;I225,1,0)</f>
        <v/>
      </c>
      <c r="AK225" s="15">
        <f>IF(K225&gt;M225,1,0)</f>
        <v/>
      </c>
    </row>
    <row r="226" ht="14.5" customHeight="1">
      <c r="A226" s="12" t="inlineStr">
        <is>
          <t>NAVNETEDUL</t>
        </is>
      </c>
      <c r="B226" s="13">
        <f>IFERROR(__xludf.DUMMYFUNCTION("GOOGLEFINANCE(""NSE:""&amp;A226,""PRICE"")"),149)</f>
        <v/>
      </c>
      <c r="C226" s="13">
        <f>IFERROR(__xludf.DUMMYFUNCTION("GOOGLEFINANCE(""NSE:""&amp;A226,""PRICEOPEN"")"),148)</f>
        <v/>
      </c>
      <c r="D226" s="13">
        <f>IFERROR(__xludf.DUMMYFUNCTION("GOOGLEFINANCE(""NSE:""&amp;A226,""HIGH"")"),149.85)</f>
        <v/>
      </c>
      <c r="E226" s="13">
        <f>IFERROR(__xludf.DUMMYFUNCTION("GOOGLEFINANCE(""NSE:""&amp;A226,""LOW"")"),145)</f>
        <v/>
      </c>
      <c r="F226" s="13">
        <f>IFERROR(__xludf.DUMMYFUNCTION("GOOGLEFINANCE(""NSE:""&amp;A226,""closeyest"")"),146.54)</f>
        <v/>
      </c>
      <c r="G226" s="14">
        <f>(B226-C226)/B226</f>
        <v/>
      </c>
      <c r="H226" s="13">
        <f>IFERROR(__xludf.DUMMYFUNCTION("GOOGLEFINANCE(""NSE:""&amp;A226,""VOLUME"")"),308471)</f>
        <v/>
      </c>
      <c r="I226" s="13">
        <f>IFERROR(__xludf.DUMMYFUNCTION("AVERAGE(index(GOOGLEFINANCE(""NSE:""&amp;$A226, ""volume"", today()-21, today()-1), , 2))"),"#N/A")</f>
        <v/>
      </c>
      <c r="J226" s="14">
        <f>(H226-I226)/I226</f>
        <v/>
      </c>
      <c r="K226" s="13">
        <f>IFERROR(__xludf.DUMMYFUNCTION("AVERAGE(index(GOOGLEFINANCE(""NSE:""&amp;$A226, ""close"", today()-6, today()-1), , 2))"),"#N/A")</f>
        <v/>
      </c>
      <c r="L226" s="13">
        <f>IFERROR(__xludf.DUMMYFUNCTION("AVERAGE(index(GOOGLEFINANCE(""NSE:""&amp;$A226, ""close"", today()-14, today()-1), , 2))"),"#N/A")</f>
        <v/>
      </c>
      <c r="M226" s="13">
        <f>IFERROR(__xludf.DUMMYFUNCTION("AVERAGE(index(GOOGLEFINANCE(""NSE:""&amp;$A226, ""close"", today()-22, today()-1), , 2))"),"#N/A")</f>
        <v/>
      </c>
      <c r="N226" s="13">
        <f>AG226</f>
        <v/>
      </c>
      <c r="O226" s="13">
        <f>AI226</f>
        <v/>
      </c>
      <c r="P226" s="13">
        <f>W226</f>
        <v/>
      </c>
      <c r="Q226" s="13">
        <f>Y226</f>
        <v/>
      </c>
      <c r="R226" s="15" t="n"/>
      <c r="S226" s="15">
        <f>LEFT(W226,2)&amp;LEFT(Y226,2)</f>
        <v/>
      </c>
      <c r="T226" s="15" t="n"/>
      <c r="U226" s="15">
        <f>IF(K226&lt;L226,1,0)</f>
        <v/>
      </c>
      <c r="V226" s="15">
        <f>IF(H226&gt;I226,1,0)</f>
        <v/>
      </c>
      <c r="W226" s="15">
        <f>IF(SUM(U226:V226)=2,"Anticipatory_Sell","No_Action")</f>
        <v/>
      </c>
      <c r="X226" s="15" t="n"/>
      <c r="Y226" s="15">
        <f>IF(SUM(Z226:AA226)=2,"Confirm_Sell","No_Action")</f>
        <v/>
      </c>
      <c r="Z226" s="15">
        <f>IF(H226&gt;I226,1,0)</f>
        <v/>
      </c>
      <c r="AA226" s="15">
        <f>IF(K226&lt;M226,1,0)</f>
        <v/>
      </c>
      <c r="AB226" s="15" t="n"/>
      <c r="AC226" s="15">
        <f>LEFT(AG226,2)&amp;LEFT(AI226,2)</f>
        <v/>
      </c>
      <c r="AD226" s="15" t="n"/>
      <c r="AE226" s="15">
        <f>IF(K226&gt;L226,1,0)</f>
        <v/>
      </c>
      <c r="AF226" s="16">
        <f>IF(H226&gt;I226,1,0)</f>
        <v/>
      </c>
      <c r="AG226" s="16">
        <f>IF(SUM(AE226:AF226)=2,"Anticipatory_Buy","No_Action")</f>
        <v/>
      </c>
      <c r="AH226" s="15" t="n"/>
      <c r="AI226" s="15">
        <f>IF(SUM(AJ226:AK226)=2,"Confirm_Buy","No_Action")</f>
        <v/>
      </c>
      <c r="AJ226" s="15">
        <f>IF(H226&gt;I226,1,0)</f>
        <v/>
      </c>
      <c r="AK226" s="15">
        <f>IF(K226&gt;M226,1,0)</f>
        <v/>
      </c>
    </row>
    <row r="227" ht="14.5" customHeight="1">
      <c r="A227" s="12" t="inlineStr">
        <is>
          <t>NCC</t>
        </is>
      </c>
      <c r="B227" s="13">
        <f>IFERROR(__xludf.DUMMYFUNCTION("GOOGLEFINANCE(""NSE:""&amp;A227,""PRICE"")"),313)</f>
        <v/>
      </c>
      <c r="C227" s="13">
        <f>IFERROR(__xludf.DUMMYFUNCTION("GOOGLEFINANCE(""NSE:""&amp;A227,""PRICEOPEN"")"),315.7)</f>
        <v/>
      </c>
      <c r="D227" s="13">
        <f>IFERROR(__xludf.DUMMYFUNCTION("GOOGLEFINANCE(""NSE:""&amp;A227,""HIGH"")"),317.25)</f>
        <v/>
      </c>
      <c r="E227" s="13">
        <f>IFERROR(__xludf.DUMMYFUNCTION("GOOGLEFINANCE(""NSE:""&amp;A227,""LOW"")"),312.35)</f>
        <v/>
      </c>
      <c r="F227" s="13">
        <f>IFERROR(__xludf.DUMMYFUNCTION("GOOGLEFINANCE(""NSE:""&amp;A227,""closeyest"")"),314.1)</f>
        <v/>
      </c>
      <c r="G227" s="14">
        <f>(B227-C227)/B227</f>
        <v/>
      </c>
      <c r="H227" s="13">
        <f>IFERROR(__xludf.DUMMYFUNCTION("GOOGLEFINANCE(""NSE:""&amp;A227,""VOLUME"")"),2122892)</f>
        <v/>
      </c>
      <c r="I227" s="13">
        <f>IFERROR(__xludf.DUMMYFUNCTION("AVERAGE(index(GOOGLEFINANCE(""NSE:""&amp;$A227, ""volume"", today()-21, today()-1), , 2))"),"#N/A")</f>
        <v/>
      </c>
      <c r="J227" s="14">
        <f>(H227-I227)/I227</f>
        <v/>
      </c>
      <c r="K227" s="13">
        <f>IFERROR(__xludf.DUMMYFUNCTION("AVERAGE(index(GOOGLEFINANCE(""NSE:""&amp;$A227, ""close"", today()-6, today()-1), , 2))"),"#N/A")</f>
        <v/>
      </c>
      <c r="L227" s="13">
        <f>IFERROR(__xludf.DUMMYFUNCTION("AVERAGE(index(GOOGLEFINANCE(""NSE:""&amp;$A227, ""close"", today()-14, today()-1), , 2))"),"#N/A")</f>
        <v/>
      </c>
      <c r="M227" s="13">
        <f>IFERROR(__xludf.DUMMYFUNCTION("AVERAGE(index(GOOGLEFINANCE(""NSE:""&amp;$A227, ""close"", today()-22, today()-1), , 2))"),"#N/A")</f>
        <v/>
      </c>
      <c r="N227" s="13">
        <f>AG227</f>
        <v/>
      </c>
      <c r="O227" s="13">
        <f>AI227</f>
        <v/>
      </c>
      <c r="P227" s="13">
        <f>W227</f>
        <v/>
      </c>
      <c r="Q227" s="13">
        <f>Y227</f>
        <v/>
      </c>
      <c r="R227" s="15" t="n"/>
      <c r="S227" s="15">
        <f>LEFT(W227,2)&amp;LEFT(Y227,2)</f>
        <v/>
      </c>
      <c r="T227" s="15" t="n"/>
      <c r="U227" s="15">
        <f>IF(K227&lt;L227,1,0)</f>
        <v/>
      </c>
      <c r="V227" s="15">
        <f>IF(H227&gt;I227,1,0)</f>
        <v/>
      </c>
      <c r="W227" s="15">
        <f>IF(SUM(U227:V227)=2,"Anticipatory_Sell","No_Action")</f>
        <v/>
      </c>
      <c r="X227" s="15" t="n"/>
      <c r="Y227" s="15">
        <f>IF(SUM(Z227:AA227)=2,"Confirm_Sell","No_Action")</f>
        <v/>
      </c>
      <c r="Z227" s="15">
        <f>IF(H227&gt;I227,1,0)</f>
        <v/>
      </c>
      <c r="AA227" s="15">
        <f>IF(K227&lt;M227,1,0)</f>
        <v/>
      </c>
      <c r="AB227" s="15" t="n"/>
      <c r="AC227" s="15">
        <f>LEFT(AG227,2)&amp;LEFT(AI227,2)</f>
        <v/>
      </c>
      <c r="AD227" s="15" t="n"/>
      <c r="AE227" s="15">
        <f>IF(K227&gt;L227,1,0)</f>
        <v/>
      </c>
      <c r="AF227" s="16">
        <f>IF(H227&gt;I227,1,0)</f>
        <v/>
      </c>
      <c r="AG227" s="16">
        <f>IF(SUM(AE227:AF227)=2,"Anticipatory_Buy","No_Action")</f>
        <v/>
      </c>
      <c r="AH227" s="15" t="n"/>
      <c r="AI227" s="15">
        <f>IF(SUM(AJ227:AK227)=2,"Confirm_Buy","No_Action")</f>
        <v/>
      </c>
      <c r="AJ227" s="15">
        <f>IF(H227&gt;I227,1,0)</f>
        <v/>
      </c>
      <c r="AK227" s="15">
        <f>IF(K227&gt;M227,1,0)</f>
        <v/>
      </c>
    </row>
    <row r="228" ht="14.5" customHeight="1">
      <c r="A228" s="12" t="inlineStr">
        <is>
          <t>NELCO</t>
        </is>
      </c>
      <c r="B228" s="13">
        <f>IFERROR(__xludf.DUMMYFUNCTION("GOOGLEFINANCE(""NSE:""&amp;A228,""PRICE"")"),1327.05)</f>
        <v/>
      </c>
      <c r="C228" s="13">
        <f>IFERROR(__xludf.DUMMYFUNCTION("GOOGLEFINANCE(""NSE:""&amp;A228,""PRICEOPEN"")"),1280.3)</f>
        <v/>
      </c>
      <c r="D228" s="13">
        <f>IFERROR(__xludf.DUMMYFUNCTION("GOOGLEFINANCE(""NSE:""&amp;A228,""HIGH"")"),1364.95)</f>
        <v/>
      </c>
      <c r="E228" s="13">
        <f>IFERROR(__xludf.DUMMYFUNCTION("GOOGLEFINANCE(""NSE:""&amp;A228,""LOW"")"),1274.7)</f>
        <v/>
      </c>
      <c r="F228" s="13">
        <f>IFERROR(__xludf.DUMMYFUNCTION("GOOGLEFINANCE(""NSE:""&amp;A228,""closeyest"")"),1270.15)</f>
        <v/>
      </c>
      <c r="G228" s="14">
        <f>(B228-C228)/B228</f>
        <v/>
      </c>
      <c r="H228" s="13">
        <f>IFERROR(__xludf.DUMMYFUNCTION("GOOGLEFINANCE(""NSE:""&amp;A228,""VOLUME"")"),465038)</f>
        <v/>
      </c>
      <c r="I228" s="13">
        <f>IFERROR(__xludf.DUMMYFUNCTION("AVERAGE(index(GOOGLEFINANCE(""NSE:""&amp;$A228, ""volume"", today()-21, today()-1), , 2))"),"#N/A")</f>
        <v/>
      </c>
      <c r="J228" s="14">
        <f>(H228-I228)/I228</f>
        <v/>
      </c>
      <c r="K228" s="13">
        <f>IFERROR(__xludf.DUMMYFUNCTION("AVERAGE(index(GOOGLEFINANCE(""NSE:""&amp;$A228, ""close"", today()-6, today()-1), , 2))"),"#N/A")</f>
        <v/>
      </c>
      <c r="L228" s="13">
        <f>IFERROR(__xludf.DUMMYFUNCTION("AVERAGE(index(GOOGLEFINANCE(""NSE:""&amp;$A228, ""close"", today()-14, today()-1), , 2))"),"#N/A")</f>
        <v/>
      </c>
      <c r="M228" s="13">
        <f>IFERROR(__xludf.DUMMYFUNCTION("AVERAGE(index(GOOGLEFINANCE(""NSE:""&amp;$A228, ""close"", today()-22, today()-1), , 2))"),"#N/A")</f>
        <v/>
      </c>
      <c r="N228" s="13">
        <f>AG228</f>
        <v/>
      </c>
      <c r="O228" s="13">
        <f>AI228</f>
        <v/>
      </c>
      <c r="P228" s="13">
        <f>W228</f>
        <v/>
      </c>
      <c r="Q228" s="13">
        <f>Y228</f>
        <v/>
      </c>
      <c r="R228" s="15" t="n"/>
      <c r="S228" s="15">
        <f>LEFT(W228,2)&amp;LEFT(Y228,2)</f>
        <v/>
      </c>
      <c r="T228" s="15" t="n"/>
      <c r="U228" s="15">
        <f>IF(K228&lt;L228,1,0)</f>
        <v/>
      </c>
      <c r="V228" s="15">
        <f>IF(H228&gt;I228,1,0)</f>
        <v/>
      </c>
      <c r="W228" s="15">
        <f>IF(SUM(U228:V228)=2,"Anticipatory_Sell","No_Action")</f>
        <v/>
      </c>
      <c r="X228" s="15" t="n"/>
      <c r="Y228" s="15">
        <f>IF(SUM(Z228:AA228)=2,"Confirm_Sell","No_Action")</f>
        <v/>
      </c>
      <c r="Z228" s="15">
        <f>IF(H228&gt;I228,1,0)</f>
        <v/>
      </c>
      <c r="AA228" s="15">
        <f>IF(K228&lt;M228,1,0)</f>
        <v/>
      </c>
      <c r="AB228" s="15" t="n"/>
      <c r="AC228" s="15">
        <f>LEFT(AG228,2)&amp;LEFT(AI228,2)</f>
        <v/>
      </c>
      <c r="AD228" s="15" t="n"/>
      <c r="AE228" s="15">
        <f>IF(K228&gt;L228,1,0)</f>
        <v/>
      </c>
      <c r="AF228" s="16">
        <f>IF(H228&gt;I228,1,0)</f>
        <v/>
      </c>
      <c r="AG228" s="16">
        <f>IF(SUM(AE228:AF228)=2,"Anticipatory_Buy","No_Action")</f>
        <v/>
      </c>
      <c r="AH228" s="15" t="n"/>
      <c r="AI228" s="15">
        <f>IF(SUM(AJ228:AK228)=2,"Confirm_Buy","No_Action")</f>
        <v/>
      </c>
      <c r="AJ228" s="15">
        <f>IF(H228&gt;I228,1,0)</f>
        <v/>
      </c>
      <c r="AK228" s="15">
        <f>IF(K228&gt;M228,1,0)</f>
        <v/>
      </c>
    </row>
    <row r="229" ht="14.5" customHeight="1">
      <c r="A229" s="12" t="inlineStr">
        <is>
          <t>NESCO</t>
        </is>
      </c>
      <c r="B229" s="13">
        <f>IFERROR(__xludf.DUMMYFUNCTION("GOOGLEFINANCE(""NSE:""&amp;A229,""PRICE"")"),1050.9)</f>
        <v/>
      </c>
      <c r="C229" s="13">
        <f>IFERROR(__xludf.DUMMYFUNCTION("GOOGLEFINANCE(""NSE:""&amp;A229,""PRICEOPEN"")"),1046)</f>
        <v/>
      </c>
      <c r="D229" s="13">
        <f>IFERROR(__xludf.DUMMYFUNCTION("GOOGLEFINANCE(""NSE:""&amp;A229,""HIGH"")"),1070)</f>
        <v/>
      </c>
      <c r="E229" s="13">
        <f>IFERROR(__xludf.DUMMYFUNCTION("GOOGLEFINANCE(""NSE:""&amp;A229,""LOW"")"),1038.75)</f>
        <v/>
      </c>
      <c r="F229" s="13">
        <f>IFERROR(__xludf.DUMMYFUNCTION("GOOGLEFINANCE(""NSE:""&amp;A229,""closeyest"")"),1040.25)</f>
        <v/>
      </c>
      <c r="G229" s="14">
        <f>(B229-C229)/B229</f>
        <v/>
      </c>
      <c r="H229" s="13">
        <f>IFERROR(__xludf.DUMMYFUNCTION("GOOGLEFINANCE(""NSE:""&amp;A229,""VOLUME"")"),75152)</f>
        <v/>
      </c>
      <c r="I229" s="13">
        <f>IFERROR(__xludf.DUMMYFUNCTION("AVERAGE(index(GOOGLEFINANCE(""NSE:""&amp;$A229, ""volume"", today()-21, today()-1), , 2))"),"#N/A")</f>
        <v/>
      </c>
      <c r="J229" s="14">
        <f>(H229-I229)/I229</f>
        <v/>
      </c>
      <c r="K229" s="13">
        <f>IFERROR(__xludf.DUMMYFUNCTION("AVERAGE(index(GOOGLEFINANCE(""NSE:""&amp;$A229, ""close"", today()-6, today()-1), , 2))"),"#N/A")</f>
        <v/>
      </c>
      <c r="L229" s="13">
        <f>IFERROR(__xludf.DUMMYFUNCTION("AVERAGE(index(GOOGLEFINANCE(""NSE:""&amp;$A229, ""close"", today()-14, today()-1), , 2))"),"#N/A")</f>
        <v/>
      </c>
      <c r="M229" s="13">
        <f>IFERROR(__xludf.DUMMYFUNCTION("AVERAGE(index(GOOGLEFINANCE(""NSE:""&amp;$A229, ""close"", today()-22, today()-1), , 2))"),"#N/A")</f>
        <v/>
      </c>
      <c r="N229" s="13">
        <f>AG229</f>
        <v/>
      </c>
      <c r="O229" s="13">
        <f>AI229</f>
        <v/>
      </c>
      <c r="P229" s="13">
        <f>W229</f>
        <v/>
      </c>
      <c r="Q229" s="13">
        <f>Y229</f>
        <v/>
      </c>
      <c r="R229" s="15" t="n"/>
      <c r="S229" s="15">
        <f>LEFT(W229,2)&amp;LEFT(Y229,2)</f>
        <v/>
      </c>
      <c r="T229" s="15" t="n"/>
      <c r="U229" s="15">
        <f>IF(K229&lt;L229,1,0)</f>
        <v/>
      </c>
      <c r="V229" s="15">
        <f>IF(H229&gt;I229,1,0)</f>
        <v/>
      </c>
      <c r="W229" s="15">
        <f>IF(SUM(U229:V229)=2,"Anticipatory_Sell","No_Action")</f>
        <v/>
      </c>
      <c r="X229" s="15" t="n"/>
      <c r="Y229" s="15">
        <f>IF(SUM(Z229:AA229)=2,"Confirm_Sell","No_Action")</f>
        <v/>
      </c>
      <c r="Z229" s="15">
        <f>IF(H229&gt;I229,1,0)</f>
        <v/>
      </c>
      <c r="AA229" s="15">
        <f>IF(K229&lt;M229,1,0)</f>
        <v/>
      </c>
      <c r="AB229" s="15" t="n"/>
      <c r="AC229" s="15">
        <f>LEFT(AG229,2)&amp;LEFT(AI229,2)</f>
        <v/>
      </c>
      <c r="AD229" s="15" t="n"/>
      <c r="AE229" s="15">
        <f>IF(K229&gt;L229,1,0)</f>
        <v/>
      </c>
      <c r="AF229" s="16">
        <f>IF(H229&gt;I229,1,0)</f>
        <v/>
      </c>
      <c r="AG229" s="16">
        <f>IF(SUM(AE229:AF229)=2,"Anticipatory_Buy","No_Action")</f>
        <v/>
      </c>
      <c r="AH229" s="15" t="n"/>
      <c r="AI229" s="15">
        <f>IF(SUM(AJ229:AK229)=2,"Confirm_Buy","No_Action")</f>
        <v/>
      </c>
      <c r="AJ229" s="15">
        <f>IF(H229&gt;I229,1,0)</f>
        <v/>
      </c>
      <c r="AK229" s="15">
        <f>IF(K229&gt;M229,1,0)</f>
        <v/>
      </c>
    </row>
    <row r="230" ht="14.5" customHeight="1">
      <c r="A230" s="12" t="inlineStr">
        <is>
          <t>NEULANDLAB</t>
        </is>
      </c>
      <c r="B230" s="13">
        <f>IFERROR(__xludf.DUMMYFUNCTION("GOOGLEFINANCE(""NSE:""&amp;A230,""PRICE"")"),17075.05)</f>
        <v/>
      </c>
      <c r="C230" s="13">
        <f>IFERROR(__xludf.DUMMYFUNCTION("GOOGLEFINANCE(""NSE:""&amp;A230,""PRICEOPEN"")"),17300)</f>
        <v/>
      </c>
      <c r="D230" s="13">
        <f>IFERROR(__xludf.DUMMYFUNCTION("GOOGLEFINANCE(""NSE:""&amp;A230,""HIGH"")"),17379.95)</f>
        <v/>
      </c>
      <c r="E230" s="13">
        <f>IFERROR(__xludf.DUMMYFUNCTION("GOOGLEFINANCE(""NSE:""&amp;A230,""LOW"")"),15399.25)</f>
        <v/>
      </c>
      <c r="F230" s="13">
        <f>IFERROR(__xludf.DUMMYFUNCTION("GOOGLEFINANCE(""NSE:""&amp;A230,""closeyest"")"),17596)</f>
        <v/>
      </c>
      <c r="G230" s="14">
        <f>(B230-C230)/B230</f>
        <v/>
      </c>
      <c r="H230" s="13">
        <f>IFERROR(__xludf.DUMMYFUNCTION("GOOGLEFINANCE(""NSE:""&amp;A230,""VOLUME"")"),131619)</f>
        <v/>
      </c>
      <c r="I230" s="13">
        <f>IFERROR(__xludf.DUMMYFUNCTION("AVERAGE(index(GOOGLEFINANCE(""NSE:""&amp;$A230, ""volume"", today()-21, today()-1), , 2))"),"#N/A")</f>
        <v/>
      </c>
      <c r="J230" s="14">
        <f>(H230-I230)/I230</f>
        <v/>
      </c>
      <c r="K230" s="13">
        <f>IFERROR(__xludf.DUMMYFUNCTION("AVERAGE(index(GOOGLEFINANCE(""NSE:""&amp;$A230, ""close"", today()-6, today()-1), , 2))"),"#N/A")</f>
        <v/>
      </c>
      <c r="L230" s="13">
        <f>IFERROR(__xludf.DUMMYFUNCTION("AVERAGE(index(GOOGLEFINANCE(""NSE:""&amp;$A230, ""close"", today()-14, today()-1), , 2))"),"#N/A")</f>
        <v/>
      </c>
      <c r="M230" s="13">
        <f>IFERROR(__xludf.DUMMYFUNCTION("AVERAGE(index(GOOGLEFINANCE(""NSE:""&amp;$A230, ""close"", today()-22, today()-1), , 2))"),"#N/A")</f>
        <v/>
      </c>
      <c r="N230" s="13">
        <f>AG230</f>
        <v/>
      </c>
      <c r="O230" s="13">
        <f>AI230</f>
        <v/>
      </c>
      <c r="P230" s="13">
        <f>W230</f>
        <v/>
      </c>
      <c r="Q230" s="13">
        <f>Y230</f>
        <v/>
      </c>
      <c r="R230" s="15" t="n"/>
      <c r="S230" s="15">
        <f>LEFT(W230,2)&amp;LEFT(Y230,2)</f>
        <v/>
      </c>
      <c r="T230" s="15" t="n"/>
      <c r="U230" s="15">
        <f>IF(K230&lt;L230,1,0)</f>
        <v/>
      </c>
      <c r="V230" s="15">
        <f>IF(H230&gt;I230,1,0)</f>
        <v/>
      </c>
      <c r="W230" s="15">
        <f>IF(SUM(U230:V230)=2,"Anticipatory_Sell","No_Action")</f>
        <v/>
      </c>
      <c r="X230" s="15" t="n"/>
      <c r="Y230" s="15">
        <f>IF(SUM(Z230:AA230)=2,"Confirm_Sell","No_Action")</f>
        <v/>
      </c>
      <c r="Z230" s="15">
        <f>IF(H230&gt;I230,1,0)</f>
        <v/>
      </c>
      <c r="AA230" s="15">
        <f>IF(K230&lt;M230,1,0)</f>
        <v/>
      </c>
      <c r="AB230" s="15" t="n"/>
      <c r="AC230" s="15">
        <f>LEFT(AG230,2)&amp;LEFT(AI230,2)</f>
        <v/>
      </c>
      <c r="AD230" s="15" t="n"/>
      <c r="AE230" s="15">
        <f>IF(K230&gt;L230,1,0)</f>
        <v/>
      </c>
      <c r="AF230" s="16">
        <f>IF(H230&gt;I230,1,0)</f>
        <v/>
      </c>
      <c r="AG230" s="16">
        <f>IF(SUM(AE230:AF230)=2,"Anticipatory_Buy","No_Action")</f>
        <v/>
      </c>
      <c r="AH230" s="15" t="n"/>
      <c r="AI230" s="15">
        <f>IF(SUM(AJ230:AK230)=2,"Confirm_Buy","No_Action")</f>
        <v/>
      </c>
      <c r="AJ230" s="15">
        <f>IF(H230&gt;I230,1,0)</f>
        <v/>
      </c>
      <c r="AK230" s="15">
        <f>IF(K230&gt;M230,1,0)</f>
        <v/>
      </c>
    </row>
    <row r="231" ht="14.5" customHeight="1">
      <c r="A231" s="12" t="inlineStr">
        <is>
          <t>NGLFINE</t>
        </is>
      </c>
      <c r="B231" s="13">
        <f>IFERROR(__xludf.DUMMYFUNCTION("GOOGLEFINANCE(""NSE:""&amp;A231,""PRICE"")"),1846)</f>
        <v/>
      </c>
      <c r="C231" s="13">
        <f>IFERROR(__xludf.DUMMYFUNCTION("GOOGLEFINANCE(""NSE:""&amp;A231,""PRICEOPEN"")"),1889.8)</f>
        <v/>
      </c>
      <c r="D231" s="13">
        <f>IFERROR(__xludf.DUMMYFUNCTION("GOOGLEFINANCE(""NSE:""&amp;A231,""HIGH"")"),1891.85)</f>
        <v/>
      </c>
      <c r="E231" s="13">
        <f>IFERROR(__xludf.DUMMYFUNCTION("GOOGLEFINANCE(""NSE:""&amp;A231,""LOW"")"),1815.05)</f>
        <v/>
      </c>
      <c r="F231" s="13">
        <f>IFERROR(__xludf.DUMMYFUNCTION("GOOGLEFINANCE(""NSE:""&amp;A231,""closeyest"")"),1838.65)</f>
        <v/>
      </c>
      <c r="G231" s="14">
        <f>(B231-C231)/B231</f>
        <v/>
      </c>
      <c r="H231" s="13">
        <f>IFERROR(__xludf.DUMMYFUNCTION("GOOGLEFINANCE(""NSE:""&amp;A231,""VOLUME"")"),2588)</f>
        <v/>
      </c>
      <c r="I231" s="13">
        <f>IFERROR(__xludf.DUMMYFUNCTION("AVERAGE(index(GOOGLEFINANCE(""NSE:""&amp;$A231, ""volume"", today()-21, today()-1), , 2))"),"#N/A")</f>
        <v/>
      </c>
      <c r="J231" s="14">
        <f>(H231-I231)/I231</f>
        <v/>
      </c>
      <c r="K231" s="13">
        <f>IFERROR(__xludf.DUMMYFUNCTION("AVERAGE(index(GOOGLEFINANCE(""NSE:""&amp;$A231, ""close"", today()-6, today()-1), , 2))"),"#N/A")</f>
        <v/>
      </c>
      <c r="L231" s="13">
        <f>IFERROR(__xludf.DUMMYFUNCTION("AVERAGE(index(GOOGLEFINANCE(""NSE:""&amp;$A231, ""close"", today()-14, today()-1), , 2))"),"#N/A")</f>
        <v/>
      </c>
      <c r="M231" s="13">
        <f>IFERROR(__xludf.DUMMYFUNCTION("AVERAGE(index(GOOGLEFINANCE(""NSE:""&amp;$A231, ""close"", today()-22, today()-1), , 2))"),"#N/A")</f>
        <v/>
      </c>
      <c r="N231" s="13">
        <f>AG231</f>
        <v/>
      </c>
      <c r="O231" s="13">
        <f>AI231</f>
        <v/>
      </c>
      <c r="P231" s="13">
        <f>W231</f>
        <v/>
      </c>
      <c r="Q231" s="13">
        <f>Y231</f>
        <v/>
      </c>
      <c r="R231" s="15" t="n"/>
      <c r="S231" s="15">
        <f>LEFT(W231,2)&amp;LEFT(Y231,2)</f>
        <v/>
      </c>
      <c r="T231" s="15" t="n"/>
      <c r="U231" s="15">
        <f>IF(K231&lt;L231,1,0)</f>
        <v/>
      </c>
      <c r="V231" s="15">
        <f>IF(H231&gt;I231,1,0)</f>
        <v/>
      </c>
      <c r="W231" s="15">
        <f>IF(SUM(U231:V231)=2,"Anticipatory_Sell","No_Action")</f>
        <v/>
      </c>
      <c r="X231" s="15" t="n"/>
      <c r="Y231" s="15">
        <f>IF(SUM(Z231:AA231)=2,"Confirm_Sell","No_Action")</f>
        <v/>
      </c>
      <c r="Z231" s="15">
        <f>IF(H231&gt;I231,1,0)</f>
        <v/>
      </c>
      <c r="AA231" s="15">
        <f>IF(K231&lt;M231,1,0)</f>
        <v/>
      </c>
      <c r="AB231" s="15" t="n"/>
      <c r="AC231" s="15">
        <f>LEFT(AG231,2)&amp;LEFT(AI231,2)</f>
        <v/>
      </c>
      <c r="AD231" s="15" t="n"/>
      <c r="AE231" s="15">
        <f>IF(K231&gt;L231,1,0)</f>
        <v/>
      </c>
      <c r="AF231" s="16">
        <f>IF(H231&gt;I231,1,0)</f>
        <v/>
      </c>
      <c r="AG231" s="16">
        <f>IF(SUM(AE231:AF231)=2,"Anticipatory_Buy","No_Action")</f>
        <v/>
      </c>
      <c r="AH231" s="15" t="n"/>
      <c r="AI231" s="15">
        <f>IF(SUM(AJ231:AK231)=2,"Confirm_Buy","No_Action")</f>
        <v/>
      </c>
      <c r="AJ231" s="15">
        <f>IF(H231&gt;I231,1,0)</f>
        <v/>
      </c>
      <c r="AK231" s="15">
        <f>IF(K231&gt;M231,1,0)</f>
        <v/>
      </c>
    </row>
    <row r="232" ht="14.5" customHeight="1">
      <c r="A232" s="12" t="inlineStr">
        <is>
          <t>NHPC</t>
        </is>
      </c>
      <c r="B232" s="13">
        <f>IFERROR(__xludf.DUMMYFUNCTION("GOOGLEFINANCE(""NSE:""&amp;A232,""PRICE"")"),86.75)</f>
        <v/>
      </c>
      <c r="C232" s="13">
        <f>IFERROR(__xludf.DUMMYFUNCTION("GOOGLEFINANCE(""NSE:""&amp;A232,""PRICEOPEN"")"),87)</f>
        <v/>
      </c>
      <c r="D232" s="13">
        <f>IFERROR(__xludf.DUMMYFUNCTION("GOOGLEFINANCE(""NSE:""&amp;A232,""HIGH"")"),88.79)</f>
        <v/>
      </c>
      <c r="E232" s="13">
        <f>IFERROR(__xludf.DUMMYFUNCTION("GOOGLEFINANCE(""NSE:""&amp;A232,""LOW"")"),86.2)</f>
        <v/>
      </c>
      <c r="F232" s="13">
        <f>IFERROR(__xludf.DUMMYFUNCTION("GOOGLEFINANCE(""NSE:""&amp;A232,""closeyest"")"),84.87)</f>
        <v/>
      </c>
      <c r="G232" s="14">
        <f>(B232-C232)/B232</f>
        <v/>
      </c>
      <c r="H232" s="13">
        <f>IFERROR(__xludf.DUMMYFUNCTION("GOOGLEFINANCE(""NSE:""&amp;A232,""VOLUME"")"),66596997)</f>
        <v/>
      </c>
      <c r="I232" s="13">
        <f>IFERROR(__xludf.DUMMYFUNCTION("AVERAGE(index(GOOGLEFINANCE(""NSE:""&amp;$A232, ""volume"", today()-21, today()-1), , 2))"),"#N/A")</f>
        <v/>
      </c>
      <c r="J232" s="14">
        <f>(H232-I232)/I232</f>
        <v/>
      </c>
      <c r="K232" s="13">
        <f>IFERROR(__xludf.DUMMYFUNCTION("AVERAGE(index(GOOGLEFINANCE(""NSE:""&amp;$A232, ""close"", today()-6, today()-1), , 2))"),"#N/A")</f>
        <v/>
      </c>
      <c r="L232" s="13">
        <f>IFERROR(__xludf.DUMMYFUNCTION("AVERAGE(index(GOOGLEFINANCE(""NSE:""&amp;$A232, ""close"", today()-14, today()-1), , 2))"),"#N/A")</f>
        <v/>
      </c>
      <c r="M232" s="13">
        <f>IFERROR(__xludf.DUMMYFUNCTION("AVERAGE(index(GOOGLEFINANCE(""NSE:""&amp;$A232, ""close"", today()-22, today()-1), , 2))"),"#N/A")</f>
        <v/>
      </c>
      <c r="N232" s="13">
        <f>AG232</f>
        <v/>
      </c>
      <c r="O232" s="13">
        <f>AI232</f>
        <v/>
      </c>
      <c r="P232" s="13">
        <f>W232</f>
        <v/>
      </c>
      <c r="Q232" s="13">
        <f>Y232</f>
        <v/>
      </c>
      <c r="R232" s="15" t="n"/>
      <c r="S232" s="15">
        <f>LEFT(W232,2)&amp;LEFT(Y232,2)</f>
        <v/>
      </c>
      <c r="T232" s="15" t="n"/>
      <c r="U232" s="15">
        <f>IF(K232&lt;L232,1,0)</f>
        <v/>
      </c>
      <c r="V232" s="15">
        <f>IF(H232&gt;I232,1,0)</f>
        <v/>
      </c>
      <c r="W232" s="15">
        <f>IF(SUM(U232:V232)=2,"Anticipatory_Sell","No_Action")</f>
        <v/>
      </c>
      <c r="X232" s="15" t="n"/>
      <c r="Y232" s="15">
        <f>IF(SUM(Z232:AA232)=2,"Confirm_Sell","No_Action")</f>
        <v/>
      </c>
      <c r="Z232" s="15">
        <f>IF(H232&gt;I232,1,0)</f>
        <v/>
      </c>
      <c r="AA232" s="15">
        <f>IF(K232&lt;M232,1,0)</f>
        <v/>
      </c>
      <c r="AB232" s="15" t="n"/>
      <c r="AC232" s="15">
        <f>LEFT(AG232,2)&amp;LEFT(AI232,2)</f>
        <v/>
      </c>
      <c r="AD232" s="15" t="n"/>
      <c r="AE232" s="15">
        <f>IF(K232&gt;L232,1,0)</f>
        <v/>
      </c>
      <c r="AF232" s="16">
        <f>IF(H232&gt;I232,1,0)</f>
        <v/>
      </c>
      <c r="AG232" s="16">
        <f>IF(SUM(AE232:AF232)=2,"Anticipatory_Buy","No_Action")</f>
        <v/>
      </c>
      <c r="AH232" s="15" t="n"/>
      <c r="AI232" s="15">
        <f>IF(SUM(AJ232:AK232)=2,"Confirm_Buy","No_Action")</f>
        <v/>
      </c>
      <c r="AJ232" s="15">
        <f>IF(H232&gt;I232,1,0)</f>
        <v/>
      </c>
      <c r="AK232" s="15">
        <f>IF(K232&gt;M232,1,0)</f>
        <v/>
      </c>
    </row>
    <row r="233" ht="14.5" customHeight="1">
      <c r="A233" s="12" t="inlineStr">
        <is>
          <t>NAM-INDIA</t>
        </is>
      </c>
      <c r="B233" s="13">
        <f>IFERROR(__xludf.DUMMYFUNCTION("GOOGLEFINANCE(""NSE:""&amp;A233,""PRICE"")"),734.5)</f>
        <v/>
      </c>
      <c r="C233" s="13">
        <f>IFERROR(__xludf.DUMMYFUNCTION("GOOGLEFINANCE(""NSE:""&amp;A233,""PRICEOPEN"")"),716.25)</f>
        <v/>
      </c>
      <c r="D233" s="13">
        <f>IFERROR(__xludf.DUMMYFUNCTION("GOOGLEFINANCE(""NSE:""&amp;A233,""HIGH"")"),743)</f>
        <v/>
      </c>
      <c r="E233" s="13">
        <f>IFERROR(__xludf.DUMMYFUNCTION("GOOGLEFINANCE(""NSE:""&amp;A233,""LOW"")"),706.7)</f>
        <v/>
      </c>
      <c r="F233" s="13">
        <f>IFERROR(__xludf.DUMMYFUNCTION("GOOGLEFINANCE(""NSE:""&amp;A233,""closeyest"")"),719.1)</f>
        <v/>
      </c>
      <c r="G233" s="14">
        <f>(B233-C233)/B233</f>
        <v/>
      </c>
      <c r="H233" s="13">
        <f>IFERROR(__xludf.DUMMYFUNCTION("GOOGLEFINANCE(""NSE:""&amp;A233,""VOLUME"")"),1940671)</f>
        <v/>
      </c>
      <c r="I233" s="13">
        <f>IFERROR(__xludf.DUMMYFUNCTION("AVERAGE(index(GOOGLEFINANCE(""NSE:""&amp;$A233, ""volume"", today()-21, today()-1), , 2))"),"#N/A")</f>
        <v/>
      </c>
      <c r="J233" s="14">
        <f>(H233-I233)/I233</f>
        <v/>
      </c>
      <c r="K233" s="13">
        <f>IFERROR(__xludf.DUMMYFUNCTION("AVERAGE(index(GOOGLEFINANCE(""NSE:""&amp;$A233, ""close"", today()-6, today()-1), , 2))"),"#N/A")</f>
        <v/>
      </c>
      <c r="L233" s="13">
        <f>IFERROR(__xludf.DUMMYFUNCTION("AVERAGE(index(GOOGLEFINANCE(""NSE:""&amp;$A233, ""close"", today()-14, today()-1), , 2))"),"#N/A")</f>
        <v/>
      </c>
      <c r="M233" s="13">
        <f>IFERROR(__xludf.DUMMYFUNCTION("AVERAGE(index(GOOGLEFINANCE(""NSE:""&amp;$A233, ""close"", today()-22, today()-1), , 2))"),"#N/A")</f>
        <v/>
      </c>
      <c r="N233" s="13">
        <f>AG233</f>
        <v/>
      </c>
      <c r="O233" s="13">
        <f>AI233</f>
        <v/>
      </c>
      <c r="P233" s="13">
        <f>W233</f>
        <v/>
      </c>
      <c r="Q233" s="13">
        <f>Y233</f>
        <v/>
      </c>
      <c r="R233" s="15" t="n"/>
      <c r="S233" s="15">
        <f>LEFT(W233,2)&amp;LEFT(Y233,2)</f>
        <v/>
      </c>
      <c r="T233" s="15" t="n"/>
      <c r="U233" s="15">
        <f>IF(K233&lt;L233,1,0)</f>
        <v/>
      </c>
      <c r="V233" s="15">
        <f>IF(H233&gt;I233,1,0)</f>
        <v/>
      </c>
      <c r="W233" s="15">
        <f>IF(SUM(U233:V233)=2,"Anticipatory_Sell","No_Action")</f>
        <v/>
      </c>
      <c r="X233" s="15" t="n"/>
      <c r="Y233" s="15">
        <f>IF(SUM(Z233:AA233)=2,"Confirm_Sell","No_Action")</f>
        <v/>
      </c>
      <c r="Z233" s="15">
        <f>IF(H233&gt;I233,1,0)</f>
        <v/>
      </c>
      <c r="AA233" s="15">
        <f>IF(K233&lt;M233,1,0)</f>
        <v/>
      </c>
      <c r="AB233" s="15" t="n"/>
      <c r="AC233" s="15">
        <f>LEFT(AG233,2)&amp;LEFT(AI233,2)</f>
        <v/>
      </c>
      <c r="AD233" s="15" t="n"/>
      <c r="AE233" s="15">
        <f>IF(K233&gt;L233,1,0)</f>
        <v/>
      </c>
      <c r="AF233" s="16">
        <f>IF(H233&gt;I233,1,0)</f>
        <v/>
      </c>
      <c r="AG233" s="16">
        <f>IF(SUM(AE233:AF233)=2,"Anticipatory_Buy","No_Action")</f>
        <v/>
      </c>
      <c r="AH233" s="15" t="n"/>
      <c r="AI233" s="15">
        <f>IF(SUM(AJ233:AK233)=2,"Confirm_Buy","No_Action")</f>
        <v/>
      </c>
      <c r="AJ233" s="15">
        <f>IF(H233&gt;I233,1,0)</f>
        <v/>
      </c>
      <c r="AK233" s="15">
        <f>IF(K233&gt;M233,1,0)</f>
        <v/>
      </c>
    </row>
    <row r="234" ht="14.5" customHeight="1">
      <c r="A234" s="12" t="inlineStr">
        <is>
          <t>NMDC</t>
        </is>
      </c>
      <c r="B234" s="13">
        <f>IFERROR(__xludf.DUMMYFUNCTION("GOOGLEFINANCE(""NSE:""&amp;A234,""PRICE"")"),241.5)</f>
        <v/>
      </c>
      <c r="C234" s="13">
        <f>IFERROR(__xludf.DUMMYFUNCTION("GOOGLEFINANCE(""NSE:""&amp;A234,""PRICEOPEN"")"),239.45)</f>
        <v/>
      </c>
      <c r="D234" s="13">
        <f>IFERROR(__xludf.DUMMYFUNCTION("GOOGLEFINANCE(""NSE:""&amp;A234,""HIGH"")"),242.34)</f>
        <v/>
      </c>
      <c r="E234" s="13">
        <f>IFERROR(__xludf.DUMMYFUNCTION("GOOGLEFINANCE(""NSE:""&amp;A234,""LOW"")"),235.72)</f>
        <v/>
      </c>
      <c r="F234" s="13">
        <f>IFERROR(__xludf.DUMMYFUNCTION("GOOGLEFINANCE(""NSE:""&amp;A234,""closeyest"")"),238.66)</f>
        <v/>
      </c>
      <c r="G234" s="14">
        <f>(B234-C234)/B234</f>
        <v/>
      </c>
      <c r="H234" s="13">
        <f>IFERROR(__xludf.DUMMYFUNCTION("GOOGLEFINANCE(""NSE:""&amp;A234,""VOLUME"")"),13124074)</f>
        <v/>
      </c>
      <c r="I234" s="13">
        <f>IFERROR(__xludf.DUMMYFUNCTION("AVERAGE(index(GOOGLEFINANCE(""NSE:""&amp;$A234, ""volume"", today()-21, today()-1), , 2))"),"#N/A")</f>
        <v/>
      </c>
      <c r="J234" s="14">
        <f>(H234-I234)/I234</f>
        <v/>
      </c>
      <c r="K234" s="13">
        <f>IFERROR(__xludf.DUMMYFUNCTION("AVERAGE(index(GOOGLEFINANCE(""NSE:""&amp;$A234, ""close"", today()-6, today()-1), , 2))"),"#N/A")</f>
        <v/>
      </c>
      <c r="L234" s="13">
        <f>IFERROR(__xludf.DUMMYFUNCTION("AVERAGE(index(GOOGLEFINANCE(""NSE:""&amp;$A234, ""close"", today()-14, today()-1), , 2))"),"#N/A")</f>
        <v/>
      </c>
      <c r="M234" s="13">
        <f>IFERROR(__xludf.DUMMYFUNCTION("AVERAGE(index(GOOGLEFINANCE(""NSE:""&amp;$A234, ""close"", today()-22, today()-1), , 2))"),"#N/A")</f>
        <v/>
      </c>
      <c r="N234" s="13">
        <f>AG234</f>
        <v/>
      </c>
      <c r="O234" s="13">
        <f>AI234</f>
        <v/>
      </c>
      <c r="P234" s="13">
        <f>W234</f>
        <v/>
      </c>
      <c r="Q234" s="13">
        <f>Y234</f>
        <v/>
      </c>
      <c r="R234" s="15" t="n"/>
      <c r="S234" s="15">
        <f>LEFT(W234,2)&amp;LEFT(Y234,2)</f>
        <v/>
      </c>
      <c r="T234" s="15" t="n"/>
      <c r="U234" s="15">
        <f>IF(K234&lt;L234,1,0)</f>
        <v/>
      </c>
      <c r="V234" s="15">
        <f>IF(H234&gt;I234,1,0)</f>
        <v/>
      </c>
      <c r="W234" s="15">
        <f>IF(SUM(U234:V234)=2,"Anticipatory_Sell","No_Action")</f>
        <v/>
      </c>
      <c r="X234" s="15" t="n"/>
      <c r="Y234" s="15">
        <f>IF(SUM(Z234:AA234)=2,"Confirm_Sell","No_Action")</f>
        <v/>
      </c>
      <c r="Z234" s="15">
        <f>IF(H234&gt;I234,1,0)</f>
        <v/>
      </c>
      <c r="AA234" s="15">
        <f>IF(K234&lt;M234,1,0)</f>
        <v/>
      </c>
      <c r="AB234" s="15" t="n"/>
      <c r="AC234" s="15">
        <f>LEFT(AG234,2)&amp;LEFT(AI234,2)</f>
        <v/>
      </c>
      <c r="AD234" s="15" t="n"/>
      <c r="AE234" s="15">
        <f>IF(K234&gt;L234,1,0)</f>
        <v/>
      </c>
      <c r="AF234" s="16">
        <f>IF(H234&gt;I234,1,0)</f>
        <v/>
      </c>
      <c r="AG234" s="16">
        <f>IF(SUM(AE234:AF234)=2,"Anticipatory_Buy","No_Action")</f>
        <v/>
      </c>
      <c r="AH234" s="15" t="n"/>
      <c r="AI234" s="15">
        <f>IF(SUM(AJ234:AK234)=2,"Confirm_Buy","No_Action")</f>
        <v/>
      </c>
      <c r="AJ234" s="15">
        <f>IF(H234&gt;I234,1,0)</f>
        <v/>
      </c>
      <c r="AK234" s="15">
        <f>IF(K234&gt;M234,1,0)</f>
        <v/>
      </c>
    </row>
    <row r="235" ht="14.5" customHeight="1">
      <c r="A235" s="12" t="inlineStr">
        <is>
          <t>NRBBEARING</t>
        </is>
      </c>
      <c r="B235" s="13">
        <f>IFERROR(__xludf.DUMMYFUNCTION("GOOGLEFINANCE(""NSE:""&amp;A235,""PRICE"")"),298)</f>
        <v/>
      </c>
      <c r="C235" s="13">
        <f>IFERROR(__xludf.DUMMYFUNCTION("GOOGLEFINANCE(""NSE:""&amp;A235,""PRICEOPEN"")"),301.9)</f>
        <v/>
      </c>
      <c r="D235" s="13">
        <f>IFERROR(__xludf.DUMMYFUNCTION("GOOGLEFINANCE(""NSE:""&amp;A235,""HIGH"")"),304.2)</f>
        <v/>
      </c>
      <c r="E235" s="13">
        <f>IFERROR(__xludf.DUMMYFUNCTION("GOOGLEFINANCE(""NSE:""&amp;A235,""LOW"")"),296.3)</f>
        <v/>
      </c>
      <c r="F235" s="13">
        <f>IFERROR(__xludf.DUMMYFUNCTION("GOOGLEFINANCE(""NSE:""&amp;A235,""closeyest"")"),301.3)</f>
        <v/>
      </c>
      <c r="G235" s="14">
        <f>(B235-C235)/B235</f>
        <v/>
      </c>
      <c r="H235" s="13">
        <f>IFERROR(__xludf.DUMMYFUNCTION("GOOGLEFINANCE(""NSE:""&amp;A235,""VOLUME"")"),240985)</f>
        <v/>
      </c>
      <c r="I235" s="13">
        <f>IFERROR(__xludf.DUMMYFUNCTION("AVERAGE(index(GOOGLEFINANCE(""NSE:""&amp;$A235, ""volume"", today()-21, today()-1), , 2))"),"#N/A")</f>
        <v/>
      </c>
      <c r="J235" s="14">
        <f>(H235-I235)/I235</f>
        <v/>
      </c>
      <c r="K235" s="13">
        <f>IFERROR(__xludf.DUMMYFUNCTION("AVERAGE(index(GOOGLEFINANCE(""NSE:""&amp;$A235, ""close"", today()-6, today()-1), , 2))"),"#N/A")</f>
        <v/>
      </c>
      <c r="L235" s="13">
        <f>IFERROR(__xludf.DUMMYFUNCTION("AVERAGE(index(GOOGLEFINANCE(""NSE:""&amp;$A235, ""close"", today()-14, today()-1), , 2))"),"#N/A")</f>
        <v/>
      </c>
      <c r="M235" s="13">
        <f>IFERROR(__xludf.DUMMYFUNCTION("AVERAGE(index(GOOGLEFINANCE(""NSE:""&amp;$A235, ""close"", today()-22, today()-1), , 2))"),"#N/A")</f>
        <v/>
      </c>
      <c r="N235" s="13">
        <f>AG235</f>
        <v/>
      </c>
      <c r="O235" s="13">
        <f>AI235</f>
        <v/>
      </c>
      <c r="P235" s="13">
        <f>W235</f>
        <v/>
      </c>
      <c r="Q235" s="13">
        <f>Y235</f>
        <v/>
      </c>
      <c r="R235" s="15" t="n"/>
      <c r="S235" s="15">
        <f>LEFT(W235,2)&amp;LEFT(Y235,2)</f>
        <v/>
      </c>
      <c r="T235" s="15" t="n"/>
      <c r="U235" s="15">
        <f>IF(K235&lt;L235,1,0)</f>
        <v/>
      </c>
      <c r="V235" s="15">
        <f>IF(H235&gt;I235,1,0)</f>
        <v/>
      </c>
      <c r="W235" s="15">
        <f>IF(SUM(U235:V235)=2,"Anticipatory_Sell","No_Action")</f>
        <v/>
      </c>
      <c r="X235" s="15" t="n"/>
      <c r="Y235" s="15">
        <f>IF(SUM(Z235:AA235)=2,"Confirm_Sell","No_Action")</f>
        <v/>
      </c>
      <c r="Z235" s="15">
        <f>IF(H235&gt;I235,1,0)</f>
        <v/>
      </c>
      <c r="AA235" s="15">
        <f>IF(K235&lt;M235,1,0)</f>
        <v/>
      </c>
      <c r="AB235" s="15" t="n"/>
      <c r="AC235" s="15">
        <f>LEFT(AG235,2)&amp;LEFT(AI235,2)</f>
        <v/>
      </c>
      <c r="AD235" s="15" t="n"/>
      <c r="AE235" s="15">
        <f>IF(K235&gt;L235,1,0)</f>
        <v/>
      </c>
      <c r="AF235" s="16">
        <f>IF(H235&gt;I235,1,0)</f>
        <v/>
      </c>
      <c r="AG235" s="16">
        <f>IF(SUM(AE235:AF235)=2,"Anticipatory_Buy","No_Action")</f>
        <v/>
      </c>
      <c r="AH235" s="15" t="n"/>
      <c r="AI235" s="15">
        <f>IF(SUM(AJ235:AK235)=2,"Confirm_Buy","No_Action")</f>
        <v/>
      </c>
      <c r="AJ235" s="15">
        <f>IF(H235&gt;I235,1,0)</f>
        <v/>
      </c>
      <c r="AK235" s="15">
        <f>IF(K235&gt;M235,1,0)</f>
        <v/>
      </c>
    </row>
    <row r="236" ht="14.5" customHeight="1">
      <c r="A236" s="12" t="inlineStr">
        <is>
          <t>NTPC</t>
        </is>
      </c>
      <c r="B236" s="13">
        <f>IFERROR(__xludf.DUMMYFUNCTION("GOOGLEFINANCE(""NSE:""&amp;A236,""PRICE"")"),369.45)</f>
        <v/>
      </c>
      <c r="C236" s="13">
        <f>IFERROR(__xludf.DUMMYFUNCTION("GOOGLEFINANCE(""NSE:""&amp;A236,""PRICEOPEN"")"),370.9)</f>
        <v/>
      </c>
      <c r="D236" s="13">
        <f>IFERROR(__xludf.DUMMYFUNCTION("GOOGLEFINANCE(""NSE:""&amp;A236,""HIGH"")"),373.3)</f>
        <v/>
      </c>
      <c r="E236" s="13">
        <f>IFERROR(__xludf.DUMMYFUNCTION("GOOGLEFINANCE(""NSE:""&amp;A236,""LOW"")"),367.75)</f>
        <v/>
      </c>
      <c r="F236" s="13">
        <f>IFERROR(__xludf.DUMMYFUNCTION("GOOGLEFINANCE(""NSE:""&amp;A236,""closeyest"")"),369.5)</f>
        <v/>
      </c>
      <c r="G236" s="14">
        <f>(B236-C236)/B236</f>
        <v/>
      </c>
      <c r="H236" s="13">
        <f>IFERROR(__xludf.DUMMYFUNCTION("GOOGLEFINANCE(""NSE:""&amp;A236,""VOLUME"")"),10878679)</f>
        <v/>
      </c>
      <c r="I236" s="13">
        <f>IFERROR(__xludf.DUMMYFUNCTION("AVERAGE(index(GOOGLEFINANCE(""NSE:""&amp;$A236, ""volume"", today()-21, today()-1), , 2))"),"#N/A")</f>
        <v/>
      </c>
      <c r="J236" s="14">
        <f>(H236-I236)/I236</f>
        <v/>
      </c>
      <c r="K236" s="13">
        <f>IFERROR(__xludf.DUMMYFUNCTION("AVERAGE(index(GOOGLEFINANCE(""NSE:""&amp;$A236, ""close"", today()-6, today()-1), , 2))"),"#N/A")</f>
        <v/>
      </c>
      <c r="L236" s="13">
        <f>IFERROR(__xludf.DUMMYFUNCTION("AVERAGE(index(GOOGLEFINANCE(""NSE:""&amp;$A236, ""close"", today()-14, today()-1), , 2))"),"#N/A")</f>
        <v/>
      </c>
      <c r="M236" s="13">
        <f>IFERROR(__xludf.DUMMYFUNCTION("AVERAGE(index(GOOGLEFINANCE(""NSE:""&amp;$A236, ""close"", today()-22, today()-1), , 2))"),"#N/A")</f>
        <v/>
      </c>
      <c r="N236" s="13">
        <f>AG236</f>
        <v/>
      </c>
      <c r="O236" s="13">
        <f>AI236</f>
        <v/>
      </c>
      <c r="P236" s="13">
        <f>W236</f>
        <v/>
      </c>
      <c r="Q236" s="13">
        <f>Y236</f>
        <v/>
      </c>
      <c r="R236" s="15" t="n"/>
      <c r="S236" s="15">
        <f>LEFT(W236,2)&amp;LEFT(Y236,2)</f>
        <v/>
      </c>
      <c r="T236" s="15" t="n"/>
      <c r="U236" s="15">
        <f>IF(K236&lt;L236,1,0)</f>
        <v/>
      </c>
      <c r="V236" s="15">
        <f>IF(H236&gt;I236,1,0)</f>
        <v/>
      </c>
      <c r="W236" s="15">
        <f>IF(SUM(U236:V236)=2,"Anticipatory_Sell","No_Action")</f>
        <v/>
      </c>
      <c r="X236" s="15" t="n"/>
      <c r="Y236" s="15">
        <f>IF(SUM(Z236:AA236)=2,"Confirm_Sell","No_Action")</f>
        <v/>
      </c>
      <c r="Z236" s="15">
        <f>IF(H236&gt;I236,1,0)</f>
        <v/>
      </c>
      <c r="AA236" s="15">
        <f>IF(K236&lt;M236,1,0)</f>
        <v/>
      </c>
      <c r="AB236" s="15" t="n"/>
      <c r="AC236" s="15">
        <f>LEFT(AG236,2)&amp;LEFT(AI236,2)</f>
        <v/>
      </c>
      <c r="AD236" s="15" t="n"/>
      <c r="AE236" s="15">
        <f>IF(K236&gt;L236,1,0)</f>
        <v/>
      </c>
      <c r="AF236" s="16">
        <f>IF(H236&gt;I236,1,0)</f>
        <v/>
      </c>
      <c r="AG236" s="16">
        <f>IF(SUM(AE236:AF236)=2,"Anticipatory_Buy","No_Action")</f>
        <v/>
      </c>
      <c r="AH236" s="15" t="n"/>
      <c r="AI236" s="15">
        <f>IF(SUM(AJ236:AK236)=2,"Confirm_Buy","No_Action")</f>
        <v/>
      </c>
      <c r="AJ236" s="15">
        <f>IF(H236&gt;I236,1,0)</f>
        <v/>
      </c>
      <c r="AK236" s="15">
        <f>IF(K236&gt;M236,1,0)</f>
        <v/>
      </c>
    </row>
    <row r="237" ht="14.5" customHeight="1">
      <c r="A237" s="12" t="inlineStr">
        <is>
          <t>ONGC</t>
        </is>
      </c>
      <c r="B237" s="13">
        <f>IFERROR(__xludf.DUMMYFUNCTION("GOOGLEFINANCE(""NSE:""&amp;A237,""PRICE"")"),258.75)</f>
        <v/>
      </c>
      <c r="C237" s="13">
        <f>IFERROR(__xludf.DUMMYFUNCTION("GOOGLEFINANCE(""NSE:""&amp;A237,""PRICEOPEN"")"),260.05)</f>
        <v/>
      </c>
      <c r="D237" s="13">
        <f>IFERROR(__xludf.DUMMYFUNCTION("GOOGLEFINANCE(""NSE:""&amp;A237,""HIGH"")"),261.35)</f>
        <v/>
      </c>
      <c r="E237" s="13">
        <f>IFERROR(__xludf.DUMMYFUNCTION("GOOGLEFINANCE(""NSE:""&amp;A237,""LOW"")"),257.7)</f>
        <v/>
      </c>
      <c r="F237" s="13">
        <f>IFERROR(__xludf.DUMMYFUNCTION("GOOGLEFINANCE(""NSE:""&amp;A237,""closeyest"")"),260.05)</f>
        <v/>
      </c>
      <c r="G237" s="14">
        <f>(B237-C237)/B237</f>
        <v/>
      </c>
      <c r="H237" s="13">
        <f>IFERROR(__xludf.DUMMYFUNCTION("GOOGLEFINANCE(""NSE:""&amp;A237,""VOLUME"")"),6800856)</f>
        <v/>
      </c>
      <c r="I237" s="13">
        <f>IFERROR(__xludf.DUMMYFUNCTION("AVERAGE(index(GOOGLEFINANCE(""NSE:""&amp;$A237, ""volume"", today()-21, today()-1), , 2))"),"#N/A")</f>
        <v/>
      </c>
      <c r="J237" s="14">
        <f>(H237-I237)/I237</f>
        <v/>
      </c>
      <c r="K237" s="13">
        <f>IFERROR(__xludf.DUMMYFUNCTION("AVERAGE(index(GOOGLEFINANCE(""NSE:""&amp;$A237, ""close"", today()-6, today()-1), , 2))"),"#N/A")</f>
        <v/>
      </c>
      <c r="L237" s="13">
        <f>IFERROR(__xludf.DUMMYFUNCTION("AVERAGE(index(GOOGLEFINANCE(""NSE:""&amp;$A237, ""close"", today()-14, today()-1), , 2))"),"#N/A")</f>
        <v/>
      </c>
      <c r="M237" s="13">
        <f>IFERROR(__xludf.DUMMYFUNCTION("AVERAGE(index(GOOGLEFINANCE(""NSE:""&amp;$A237, ""close"", today()-22, today()-1), , 2))"),"#N/A")</f>
        <v/>
      </c>
      <c r="N237" s="13">
        <f>AG237</f>
        <v/>
      </c>
      <c r="O237" s="13">
        <f>AI237</f>
        <v/>
      </c>
      <c r="P237" s="13">
        <f>W237</f>
        <v/>
      </c>
      <c r="Q237" s="13">
        <f>Y237</f>
        <v/>
      </c>
      <c r="R237" s="15" t="n"/>
      <c r="S237" s="15">
        <f>LEFT(W237,2)&amp;LEFT(Y237,2)</f>
        <v/>
      </c>
      <c r="T237" s="15" t="n"/>
      <c r="U237" s="15">
        <f>IF(K237&lt;L237,1,0)</f>
        <v/>
      </c>
      <c r="V237" s="15">
        <f>IF(H237&gt;I237,1,0)</f>
        <v/>
      </c>
      <c r="W237" s="15">
        <f>IF(SUM(U237:V237)=2,"Anticipatory_Sell","No_Action")</f>
        <v/>
      </c>
      <c r="X237" s="15" t="n"/>
      <c r="Y237" s="15">
        <f>IF(SUM(Z237:AA237)=2,"Confirm_Sell","No_Action")</f>
        <v/>
      </c>
      <c r="Z237" s="15">
        <f>IF(H237&gt;I237,1,0)</f>
        <v/>
      </c>
      <c r="AA237" s="15">
        <f>IF(K237&lt;M237,1,0)</f>
        <v/>
      </c>
      <c r="AB237" s="15" t="n"/>
      <c r="AC237" s="15">
        <f>LEFT(AG237,2)&amp;LEFT(AI237,2)</f>
        <v/>
      </c>
      <c r="AD237" s="15" t="n"/>
      <c r="AE237" s="15">
        <f>IF(K237&gt;L237,1,0)</f>
        <v/>
      </c>
      <c r="AF237" s="16">
        <f>IF(H237&gt;I237,1,0)</f>
        <v/>
      </c>
      <c r="AG237" s="16">
        <f>IF(SUM(AE237:AF237)=2,"Anticipatory_Buy","No_Action")</f>
        <v/>
      </c>
      <c r="AH237" s="15" t="n"/>
      <c r="AI237" s="15">
        <f>IF(SUM(AJ237:AK237)=2,"Confirm_Buy","No_Action")</f>
        <v/>
      </c>
      <c r="AJ237" s="15">
        <f>IF(H237&gt;I237,1,0)</f>
        <v/>
      </c>
      <c r="AK237" s="15">
        <f>IF(K237&gt;M237,1,0)</f>
        <v/>
      </c>
    </row>
    <row r="238" ht="14.5" customHeight="1">
      <c r="A238" s="12" t="inlineStr">
        <is>
          <t>OBEROIRLTY</t>
        </is>
      </c>
      <c r="B238" s="13">
        <f>IFERROR(__xludf.DUMMYFUNCTION("GOOGLEFINANCE(""NSE:""&amp;A238,""PRICE"")"),2137.7)</f>
        <v/>
      </c>
      <c r="C238" s="13">
        <f>IFERROR(__xludf.DUMMYFUNCTION("GOOGLEFINANCE(""NSE:""&amp;A238,""PRICEOPEN"")"),2147.45)</f>
        <v/>
      </c>
      <c r="D238" s="13">
        <f>IFERROR(__xludf.DUMMYFUNCTION("GOOGLEFINANCE(""NSE:""&amp;A238,""HIGH"")"),2177.35)</f>
        <v/>
      </c>
      <c r="E238" s="13">
        <f>IFERROR(__xludf.DUMMYFUNCTION("GOOGLEFINANCE(""NSE:""&amp;A238,""LOW"")"),2132.6)</f>
        <v/>
      </c>
      <c r="F238" s="13">
        <f>IFERROR(__xludf.DUMMYFUNCTION("GOOGLEFINANCE(""NSE:""&amp;A238,""closeyest"")"),2143.3)</f>
        <v/>
      </c>
      <c r="G238" s="14">
        <f>(B238-C238)/B238</f>
        <v/>
      </c>
      <c r="H238" s="13">
        <f>IFERROR(__xludf.DUMMYFUNCTION("GOOGLEFINANCE(""NSE:""&amp;A238,""VOLUME"")"),579295)</f>
        <v/>
      </c>
      <c r="I238" s="13">
        <f>IFERROR(__xludf.DUMMYFUNCTION("AVERAGE(index(GOOGLEFINANCE(""NSE:""&amp;$A238, ""volume"", today()-21, today()-1), , 2))"),"#N/A")</f>
        <v/>
      </c>
      <c r="J238" s="14">
        <f>(H238-I238)/I238</f>
        <v/>
      </c>
      <c r="K238" s="13">
        <f>IFERROR(__xludf.DUMMYFUNCTION("AVERAGE(index(GOOGLEFINANCE(""NSE:""&amp;$A238, ""close"", today()-6, today()-1), , 2))"),"#N/A")</f>
        <v/>
      </c>
      <c r="L238" s="13">
        <f>IFERROR(__xludf.DUMMYFUNCTION("AVERAGE(index(GOOGLEFINANCE(""NSE:""&amp;$A238, ""close"", today()-14, today()-1), , 2))"),"#N/A")</f>
        <v/>
      </c>
      <c r="M238" s="13">
        <f>IFERROR(__xludf.DUMMYFUNCTION("AVERAGE(index(GOOGLEFINANCE(""NSE:""&amp;$A238, ""close"", today()-22, today()-1), , 2))"),"#N/A")</f>
        <v/>
      </c>
      <c r="N238" s="13">
        <f>AG238</f>
        <v/>
      </c>
      <c r="O238" s="13">
        <f>AI238</f>
        <v/>
      </c>
      <c r="P238" s="13">
        <f>W238</f>
        <v/>
      </c>
      <c r="Q238" s="13">
        <f>Y238</f>
        <v/>
      </c>
      <c r="R238" s="15" t="n"/>
      <c r="S238" s="15">
        <f>LEFT(W238,2)&amp;LEFT(Y238,2)</f>
        <v/>
      </c>
      <c r="T238" s="15" t="n"/>
      <c r="U238" s="15">
        <f>IF(K238&lt;L238,1,0)</f>
        <v/>
      </c>
      <c r="V238" s="15">
        <f>IF(H238&gt;I238,1,0)</f>
        <v/>
      </c>
      <c r="W238" s="15">
        <f>IF(SUM(U238:V238)=2,"Anticipatory_Sell","No_Action")</f>
        <v/>
      </c>
      <c r="X238" s="15" t="n"/>
      <c r="Y238" s="15">
        <f>IF(SUM(Z238:AA238)=2,"Confirm_Sell","No_Action")</f>
        <v/>
      </c>
      <c r="Z238" s="15">
        <f>IF(H238&gt;I238,1,0)</f>
        <v/>
      </c>
      <c r="AA238" s="15">
        <f>IF(K238&lt;M238,1,0)</f>
        <v/>
      </c>
      <c r="AB238" s="15" t="n"/>
      <c r="AC238" s="15">
        <f>LEFT(AG238,2)&amp;LEFT(AI238,2)</f>
        <v/>
      </c>
      <c r="AD238" s="15" t="n"/>
      <c r="AE238" s="15">
        <f>IF(K238&gt;L238,1,0)</f>
        <v/>
      </c>
      <c r="AF238" s="16">
        <f>IF(H238&gt;I238,1,0)</f>
        <v/>
      </c>
      <c r="AG238" s="16">
        <f>IF(SUM(AE238:AF238)=2,"Anticipatory_Buy","No_Action")</f>
        <v/>
      </c>
      <c r="AH238" s="15" t="n"/>
      <c r="AI238" s="15">
        <f>IF(SUM(AJ238:AK238)=2,"Confirm_Buy","No_Action")</f>
        <v/>
      </c>
      <c r="AJ238" s="15">
        <f>IF(H238&gt;I238,1,0)</f>
        <v/>
      </c>
      <c r="AK238" s="15">
        <f>IF(K238&gt;M238,1,0)</f>
        <v/>
      </c>
    </row>
    <row r="239" ht="14.5" customHeight="1">
      <c r="A239" s="12" t="inlineStr">
        <is>
          <t>OIL</t>
        </is>
      </c>
      <c r="B239" s="13">
        <f>IFERROR(__xludf.DUMMYFUNCTION("GOOGLEFINANCE(""NSE:""&amp;A239,""PRICE"")"),469.55)</f>
        <v/>
      </c>
      <c r="C239" s="13">
        <f>IFERROR(__xludf.DUMMYFUNCTION("GOOGLEFINANCE(""NSE:""&amp;A239,""PRICEOPEN"")"),475.1)</f>
        <v/>
      </c>
      <c r="D239" s="13">
        <f>IFERROR(__xludf.DUMMYFUNCTION("GOOGLEFINANCE(""NSE:""&amp;A239,""HIGH"")"),476.6)</f>
        <v/>
      </c>
      <c r="E239" s="13">
        <f>IFERROR(__xludf.DUMMYFUNCTION("GOOGLEFINANCE(""NSE:""&amp;A239,""LOW"")"),466.05)</f>
        <v/>
      </c>
      <c r="F239" s="13">
        <f>IFERROR(__xludf.DUMMYFUNCTION("GOOGLEFINANCE(""NSE:""&amp;A239,""closeyest"")"),474.9)</f>
        <v/>
      </c>
      <c r="G239" s="14">
        <f>(B239-C239)/B239</f>
        <v/>
      </c>
      <c r="H239" s="13">
        <f>IFERROR(__xludf.DUMMYFUNCTION("GOOGLEFINANCE(""NSE:""&amp;A239,""VOLUME"")"),2305005)</f>
        <v/>
      </c>
      <c r="I239" s="13">
        <f>IFERROR(__xludf.DUMMYFUNCTION("AVERAGE(index(GOOGLEFINANCE(""NSE:""&amp;$A239, ""volume"", today()-21, today()-1), , 2))"),"#N/A")</f>
        <v/>
      </c>
      <c r="J239" s="14">
        <f>(H239-I239)/I239</f>
        <v/>
      </c>
      <c r="K239" s="13">
        <f>IFERROR(__xludf.DUMMYFUNCTION("AVERAGE(index(GOOGLEFINANCE(""NSE:""&amp;$A239, ""close"", today()-6, today()-1), , 2))"),"#N/A")</f>
        <v/>
      </c>
      <c r="L239" s="13">
        <f>IFERROR(__xludf.DUMMYFUNCTION("AVERAGE(index(GOOGLEFINANCE(""NSE:""&amp;$A239, ""close"", today()-14, today()-1), , 2))"),"#N/A")</f>
        <v/>
      </c>
      <c r="M239" s="13">
        <f>IFERROR(__xludf.DUMMYFUNCTION("AVERAGE(index(GOOGLEFINANCE(""NSE:""&amp;$A239, ""close"", today()-22, today()-1), , 2))"),"#N/A")</f>
        <v/>
      </c>
      <c r="N239" s="13">
        <f>AG239</f>
        <v/>
      </c>
      <c r="O239" s="13">
        <f>AI239</f>
        <v/>
      </c>
      <c r="P239" s="13">
        <f>W239</f>
        <v/>
      </c>
      <c r="Q239" s="13">
        <f>Y239</f>
        <v/>
      </c>
      <c r="R239" s="15" t="n"/>
      <c r="S239" s="15">
        <f>LEFT(W239,2)&amp;LEFT(Y239,2)</f>
        <v/>
      </c>
      <c r="T239" s="15" t="n"/>
      <c r="U239" s="15">
        <f>IF(K239&lt;L239,1,0)</f>
        <v/>
      </c>
      <c r="V239" s="15">
        <f>IF(H239&gt;I239,1,0)</f>
        <v/>
      </c>
      <c r="W239" s="15">
        <f>IF(SUM(U239:V239)=2,"Anticipatory_Sell","No_Action")</f>
        <v/>
      </c>
      <c r="X239" s="15" t="n"/>
      <c r="Y239" s="15">
        <f>IF(SUM(Z239:AA239)=2,"Confirm_Sell","No_Action")</f>
        <v/>
      </c>
      <c r="Z239" s="15">
        <f>IF(H239&gt;I239,1,0)</f>
        <v/>
      </c>
      <c r="AA239" s="15">
        <f>IF(K239&lt;M239,1,0)</f>
        <v/>
      </c>
      <c r="AB239" s="15" t="n"/>
      <c r="AC239" s="15">
        <f>LEFT(AG239,2)&amp;LEFT(AI239,2)</f>
        <v/>
      </c>
      <c r="AD239" s="15" t="n"/>
      <c r="AE239" s="15">
        <f>IF(K239&gt;L239,1,0)</f>
        <v/>
      </c>
      <c r="AF239" s="16">
        <f>IF(H239&gt;I239,1,0)</f>
        <v/>
      </c>
      <c r="AG239" s="16">
        <f>IF(SUM(AE239:AF239)=2,"Anticipatory_Buy","No_Action")</f>
        <v/>
      </c>
      <c r="AH239" s="15" t="n"/>
      <c r="AI239" s="15">
        <f>IF(SUM(AJ239:AK239)=2,"Confirm_Buy","No_Action")</f>
        <v/>
      </c>
      <c r="AJ239" s="15">
        <f>IF(H239&gt;I239,1,0)</f>
        <v/>
      </c>
      <c r="AK239" s="15">
        <f>IF(K239&gt;M239,1,0)</f>
        <v/>
      </c>
    </row>
    <row r="240" ht="14.5" customHeight="1">
      <c r="A240" s="12" t="inlineStr">
        <is>
          <t>PIIND</t>
        </is>
      </c>
      <c r="B240" s="13">
        <f>IFERROR(__xludf.DUMMYFUNCTION("GOOGLEFINANCE(""NSE:""&amp;A240,""PRICE"")"),4062.5)</f>
        <v/>
      </c>
      <c r="C240" s="13">
        <f>IFERROR(__xludf.DUMMYFUNCTION("GOOGLEFINANCE(""NSE:""&amp;A240,""PRICEOPEN"")"),4119)</f>
        <v/>
      </c>
      <c r="D240" s="13">
        <f>IFERROR(__xludf.DUMMYFUNCTION("GOOGLEFINANCE(""NSE:""&amp;A240,""HIGH"")"),4131.05)</f>
        <v/>
      </c>
      <c r="E240" s="13">
        <f>IFERROR(__xludf.DUMMYFUNCTION("GOOGLEFINANCE(""NSE:""&amp;A240,""LOW"")"),4052)</f>
        <v/>
      </c>
      <c r="F240" s="13">
        <f>IFERROR(__xludf.DUMMYFUNCTION("GOOGLEFINANCE(""NSE:""&amp;A240,""closeyest"")"),4139.25)</f>
        <v/>
      </c>
      <c r="G240" s="14">
        <f>(B240-C240)/B240</f>
        <v/>
      </c>
      <c r="H240" s="13">
        <f>IFERROR(__xludf.DUMMYFUNCTION("GOOGLEFINANCE(""NSE:""&amp;A240,""VOLUME"")"),140384)</f>
        <v/>
      </c>
      <c r="I240" s="13">
        <f>IFERROR(__xludf.DUMMYFUNCTION("AVERAGE(index(GOOGLEFINANCE(""NSE:""&amp;$A240, ""volume"", today()-21, today()-1), , 2))"),"#N/A")</f>
        <v/>
      </c>
      <c r="J240" s="14">
        <f>(H240-I240)/I240</f>
        <v/>
      </c>
      <c r="K240" s="13">
        <f>IFERROR(__xludf.DUMMYFUNCTION("AVERAGE(index(GOOGLEFINANCE(""NSE:""&amp;$A240, ""close"", today()-6, today()-1), , 2))"),"#N/A")</f>
        <v/>
      </c>
      <c r="L240" s="13">
        <f>IFERROR(__xludf.DUMMYFUNCTION("AVERAGE(index(GOOGLEFINANCE(""NSE:""&amp;$A240, ""close"", today()-14, today()-1), , 2))"),"#N/A")</f>
        <v/>
      </c>
      <c r="M240" s="13">
        <f>IFERROR(__xludf.DUMMYFUNCTION("AVERAGE(index(GOOGLEFINANCE(""NSE:""&amp;$A240, ""close"", today()-22, today()-1), , 2))"),"#N/A")</f>
        <v/>
      </c>
      <c r="N240" s="13">
        <f>AG240</f>
        <v/>
      </c>
      <c r="O240" s="13">
        <f>AI240</f>
        <v/>
      </c>
      <c r="P240" s="13">
        <f>W240</f>
        <v/>
      </c>
      <c r="Q240" s="13">
        <f>Y240</f>
        <v/>
      </c>
      <c r="R240" s="15" t="n"/>
      <c r="S240" s="15">
        <f>LEFT(W240,2)&amp;LEFT(Y240,2)</f>
        <v/>
      </c>
      <c r="T240" s="15" t="n"/>
      <c r="U240" s="15">
        <f>IF(K240&lt;L240,1,0)</f>
        <v/>
      </c>
      <c r="V240" s="15">
        <f>IF(H240&gt;I240,1,0)</f>
        <v/>
      </c>
      <c r="W240" s="15">
        <f>IF(SUM(U240:V240)=2,"Anticipatory_Sell","No_Action")</f>
        <v/>
      </c>
      <c r="X240" s="15" t="n"/>
      <c r="Y240" s="15">
        <f>IF(SUM(Z240:AA240)=2,"Confirm_Sell","No_Action")</f>
        <v/>
      </c>
      <c r="Z240" s="15">
        <f>IF(H240&gt;I240,1,0)</f>
        <v/>
      </c>
      <c r="AA240" s="15">
        <f>IF(K240&lt;M240,1,0)</f>
        <v/>
      </c>
      <c r="AB240" s="15" t="n"/>
      <c r="AC240" s="15">
        <f>LEFT(AG240,2)&amp;LEFT(AI240,2)</f>
        <v/>
      </c>
      <c r="AD240" s="15" t="n"/>
      <c r="AE240" s="15">
        <f>IF(K240&gt;L240,1,0)</f>
        <v/>
      </c>
      <c r="AF240" s="16">
        <f>IF(H240&gt;I240,1,0)</f>
        <v/>
      </c>
      <c r="AG240" s="16">
        <f>IF(SUM(AE240:AF240)=2,"Anticipatory_Buy","No_Action")</f>
        <v/>
      </c>
      <c r="AH240" s="15" t="n"/>
      <c r="AI240" s="15">
        <f>IF(SUM(AJ240:AK240)=2,"Confirm_Buy","No_Action")</f>
        <v/>
      </c>
      <c r="AJ240" s="15">
        <f>IF(H240&gt;I240,1,0)</f>
        <v/>
      </c>
      <c r="AK240" s="15">
        <f>IF(K240&gt;M240,1,0)</f>
        <v/>
      </c>
    </row>
    <row r="241" ht="14.5" customHeight="1">
      <c r="A241" s="12" t="inlineStr">
        <is>
          <t>PAISALO</t>
        </is>
      </c>
      <c r="B241" s="13">
        <f>IFERROR(__xludf.DUMMYFUNCTION("GOOGLEFINANCE(""NSE:""&amp;A241,""PRICE"")"),62.8)</f>
        <v/>
      </c>
      <c r="C241" s="13">
        <f>IFERROR(__xludf.DUMMYFUNCTION("GOOGLEFINANCE(""NSE:""&amp;A241,""PRICEOPEN"")"),61.99)</f>
        <v/>
      </c>
      <c r="D241" s="13">
        <f>IFERROR(__xludf.DUMMYFUNCTION("GOOGLEFINANCE(""NSE:""&amp;A241,""HIGH"")"),62.95)</f>
        <v/>
      </c>
      <c r="E241" s="13">
        <f>IFERROR(__xludf.DUMMYFUNCTION("GOOGLEFINANCE(""NSE:""&amp;A241,""LOW"")"),59.3)</f>
        <v/>
      </c>
      <c r="F241" s="13">
        <f>IFERROR(__xludf.DUMMYFUNCTION("GOOGLEFINANCE(""NSE:""&amp;A241,""closeyest"")"),61.53)</f>
        <v/>
      </c>
      <c r="G241" s="14">
        <f>(B241-C241)/B241</f>
        <v/>
      </c>
      <c r="H241" s="13">
        <f>IFERROR(__xludf.DUMMYFUNCTION("GOOGLEFINANCE(""NSE:""&amp;A241,""VOLUME"")"),3465468)</f>
        <v/>
      </c>
      <c r="I241" s="13">
        <f>IFERROR(__xludf.DUMMYFUNCTION("AVERAGE(index(GOOGLEFINANCE(""NSE:""&amp;$A241, ""volume"", today()-21, today()-1), , 2))"),"#N/A")</f>
        <v/>
      </c>
      <c r="J241" s="14">
        <f>(H241-I241)/I241</f>
        <v/>
      </c>
      <c r="K241" s="13">
        <f>IFERROR(__xludf.DUMMYFUNCTION("AVERAGE(index(GOOGLEFINANCE(""NSE:""&amp;$A241, ""close"", today()-6, today()-1), , 2))"),"#N/A")</f>
        <v/>
      </c>
      <c r="L241" s="13">
        <f>IFERROR(__xludf.DUMMYFUNCTION("AVERAGE(index(GOOGLEFINANCE(""NSE:""&amp;$A241, ""close"", today()-14, today()-1), , 2))"),"#N/A")</f>
        <v/>
      </c>
      <c r="M241" s="13">
        <f>IFERROR(__xludf.DUMMYFUNCTION("AVERAGE(index(GOOGLEFINANCE(""NSE:""&amp;$A241, ""close"", today()-22, today()-1), , 2))"),"#N/A")</f>
        <v/>
      </c>
      <c r="N241" s="13">
        <f>AG241</f>
        <v/>
      </c>
      <c r="O241" s="13">
        <f>AI241</f>
        <v/>
      </c>
      <c r="P241" s="13">
        <f>W241</f>
        <v/>
      </c>
      <c r="Q241" s="13">
        <f>Y241</f>
        <v/>
      </c>
      <c r="R241" s="15" t="n"/>
      <c r="S241" s="15">
        <f>LEFT(W241,2)&amp;LEFT(Y241,2)</f>
        <v/>
      </c>
      <c r="T241" s="15" t="n"/>
      <c r="U241" s="15">
        <f>IF(K241&lt;L241,1,0)</f>
        <v/>
      </c>
      <c r="V241" s="15">
        <f>IF(H241&gt;I241,1,0)</f>
        <v/>
      </c>
      <c r="W241" s="15">
        <f>IF(SUM(U241:V241)=2,"Anticipatory_Sell","No_Action")</f>
        <v/>
      </c>
      <c r="X241" s="15" t="n"/>
      <c r="Y241" s="15">
        <f>IF(SUM(Z241:AA241)=2,"Confirm_Sell","No_Action")</f>
        <v/>
      </c>
      <c r="Z241" s="15">
        <f>IF(H241&gt;I241,1,0)</f>
        <v/>
      </c>
      <c r="AA241" s="15">
        <f>IF(K241&lt;M241,1,0)</f>
        <v/>
      </c>
      <c r="AB241" s="15" t="n"/>
      <c r="AC241" s="15">
        <f>LEFT(AG241,2)&amp;LEFT(AI241,2)</f>
        <v/>
      </c>
      <c r="AD241" s="15" t="n"/>
      <c r="AE241" s="15">
        <f>IF(K241&gt;L241,1,0)</f>
        <v/>
      </c>
      <c r="AF241" s="16">
        <f>IF(H241&gt;I241,1,0)</f>
        <v/>
      </c>
      <c r="AG241" s="16">
        <f>IF(SUM(AE241:AF241)=2,"Anticipatory_Buy","No_Action")</f>
        <v/>
      </c>
      <c r="AH241" s="15" t="n"/>
      <c r="AI241" s="15">
        <f>IF(SUM(AJ241:AK241)=2,"Confirm_Buy","No_Action")</f>
        <v/>
      </c>
      <c r="AJ241" s="15">
        <f>IF(H241&gt;I241,1,0)</f>
        <v/>
      </c>
      <c r="AK241" s="15">
        <f>IF(K241&gt;M241,1,0)</f>
        <v/>
      </c>
    </row>
    <row r="242" ht="14.5" customHeight="1">
      <c r="A242" s="12" t="inlineStr">
        <is>
          <t>PANAMAPET</t>
        </is>
      </c>
      <c r="B242" s="13">
        <f>IFERROR(__xludf.DUMMYFUNCTION("GOOGLEFINANCE(""NSE:""&amp;A242,""PRICE"")"),395.9)</f>
        <v/>
      </c>
      <c r="C242" s="13">
        <f>IFERROR(__xludf.DUMMYFUNCTION("GOOGLEFINANCE(""NSE:""&amp;A242,""PRICEOPEN"")"),395.75)</f>
        <v/>
      </c>
      <c r="D242" s="13">
        <f>IFERROR(__xludf.DUMMYFUNCTION("GOOGLEFINANCE(""NSE:""&amp;A242,""HIGH"")"),397.75)</f>
        <v/>
      </c>
      <c r="E242" s="13">
        <f>IFERROR(__xludf.DUMMYFUNCTION("GOOGLEFINANCE(""NSE:""&amp;A242,""LOW"")"),389.25)</f>
        <v/>
      </c>
      <c r="F242" s="13">
        <f>IFERROR(__xludf.DUMMYFUNCTION("GOOGLEFINANCE(""NSE:""&amp;A242,""closeyest"")"),395.75)</f>
        <v/>
      </c>
      <c r="G242" s="14">
        <f>(B242-C242)/B242</f>
        <v/>
      </c>
      <c r="H242" s="13">
        <f>IFERROR(__xludf.DUMMYFUNCTION("GOOGLEFINANCE(""NSE:""&amp;A242,""VOLUME"")"),26797)</f>
        <v/>
      </c>
      <c r="I242" s="13">
        <f>IFERROR(__xludf.DUMMYFUNCTION("AVERAGE(index(GOOGLEFINANCE(""NSE:""&amp;$A242, ""volume"", today()-21, today()-1), , 2))"),"#N/A")</f>
        <v/>
      </c>
      <c r="J242" s="14">
        <f>(H242-I242)/I242</f>
        <v/>
      </c>
      <c r="K242" s="13">
        <f>IFERROR(__xludf.DUMMYFUNCTION("AVERAGE(index(GOOGLEFINANCE(""NSE:""&amp;$A242, ""close"", today()-6, today()-1), , 2))"),"#N/A")</f>
        <v/>
      </c>
      <c r="L242" s="13">
        <f>IFERROR(__xludf.DUMMYFUNCTION("AVERAGE(index(GOOGLEFINANCE(""NSE:""&amp;$A242, ""close"", today()-14, today()-1), , 2))"),"#N/A")</f>
        <v/>
      </c>
      <c r="M242" s="13">
        <f>IFERROR(__xludf.DUMMYFUNCTION("AVERAGE(index(GOOGLEFINANCE(""NSE:""&amp;$A242, ""close"", today()-22, today()-1), , 2))"),"#N/A")</f>
        <v/>
      </c>
      <c r="N242" s="13">
        <f>AG242</f>
        <v/>
      </c>
      <c r="O242" s="13">
        <f>AI242</f>
        <v/>
      </c>
      <c r="P242" s="13">
        <f>W242</f>
        <v/>
      </c>
      <c r="Q242" s="13">
        <f>Y242</f>
        <v/>
      </c>
      <c r="R242" s="15" t="n"/>
      <c r="S242" s="15">
        <f>LEFT(W242,2)&amp;LEFT(Y242,2)</f>
        <v/>
      </c>
      <c r="T242" s="15" t="n"/>
      <c r="U242" s="15">
        <f>IF(K242&lt;L242,1,0)</f>
        <v/>
      </c>
      <c r="V242" s="15">
        <f>IF(H242&gt;I242,1,0)</f>
        <v/>
      </c>
      <c r="W242" s="15">
        <f>IF(SUM(U242:V242)=2,"Anticipatory_Sell","No_Action")</f>
        <v/>
      </c>
      <c r="X242" s="15" t="n"/>
      <c r="Y242" s="15">
        <f>IF(SUM(Z242:AA242)=2,"Confirm_Sell","No_Action")</f>
        <v/>
      </c>
      <c r="Z242" s="15">
        <f>IF(H242&gt;I242,1,0)</f>
        <v/>
      </c>
      <c r="AA242" s="15">
        <f>IF(K242&lt;M242,1,0)</f>
        <v/>
      </c>
      <c r="AB242" s="15" t="n"/>
      <c r="AC242" s="15">
        <f>LEFT(AG242,2)&amp;LEFT(AI242,2)</f>
        <v/>
      </c>
      <c r="AD242" s="15" t="n"/>
      <c r="AE242" s="15">
        <f>IF(K242&gt;L242,1,0)</f>
        <v/>
      </c>
      <c r="AF242" s="16">
        <f>IF(H242&gt;I242,1,0)</f>
        <v/>
      </c>
      <c r="AG242" s="16">
        <f>IF(SUM(AE242:AF242)=2,"Anticipatory_Buy","No_Action")</f>
        <v/>
      </c>
      <c r="AH242" s="15" t="n"/>
      <c r="AI242" s="15">
        <f>IF(SUM(AJ242:AK242)=2,"Confirm_Buy","No_Action")</f>
        <v/>
      </c>
      <c r="AJ242" s="15">
        <f>IF(H242&gt;I242,1,0)</f>
        <v/>
      </c>
      <c r="AK242" s="15">
        <f>IF(K242&gt;M242,1,0)</f>
        <v/>
      </c>
    </row>
    <row r="243" ht="14.5" customHeight="1">
      <c r="A243" s="12" t="inlineStr">
        <is>
          <t>PETRONET</t>
        </is>
      </c>
      <c r="B243" s="13">
        <f>IFERROR(__xludf.DUMMYFUNCTION("GOOGLEFINANCE(""NSE:""&amp;A243,""PRICE"")"),335.1)</f>
        <v/>
      </c>
      <c r="C243" s="13">
        <f>IFERROR(__xludf.DUMMYFUNCTION("GOOGLEFINANCE(""NSE:""&amp;A243,""PRICEOPEN"")"),333.6)</f>
        <v/>
      </c>
      <c r="D243" s="13">
        <f>IFERROR(__xludf.DUMMYFUNCTION("GOOGLEFINANCE(""NSE:""&amp;A243,""HIGH"")"),338.45)</f>
        <v/>
      </c>
      <c r="E243" s="13">
        <f>IFERROR(__xludf.DUMMYFUNCTION("GOOGLEFINANCE(""NSE:""&amp;A243,""LOW"")"),333.4)</f>
        <v/>
      </c>
      <c r="F243" s="13">
        <f>IFERROR(__xludf.DUMMYFUNCTION("GOOGLEFINANCE(""NSE:""&amp;A243,""closeyest"")"),335.85)</f>
        <v/>
      </c>
      <c r="G243" s="14">
        <f>(B243-C243)/B243</f>
        <v/>
      </c>
      <c r="H243" s="13">
        <f>IFERROR(__xludf.DUMMYFUNCTION("GOOGLEFINANCE(""NSE:""&amp;A243,""VOLUME"")"),1809227)</f>
        <v/>
      </c>
      <c r="I243" s="13">
        <f>IFERROR(__xludf.DUMMYFUNCTION("AVERAGE(index(GOOGLEFINANCE(""NSE:""&amp;$A243, ""volume"", today()-21, today()-1), , 2))"),"#N/A")</f>
        <v/>
      </c>
      <c r="J243" s="14">
        <f>(H243-I243)/I243</f>
        <v/>
      </c>
      <c r="K243" s="13">
        <f>IFERROR(__xludf.DUMMYFUNCTION("AVERAGE(index(GOOGLEFINANCE(""NSE:""&amp;$A243, ""close"", today()-6, today()-1), , 2))"),"#N/A")</f>
        <v/>
      </c>
      <c r="L243" s="13">
        <f>IFERROR(__xludf.DUMMYFUNCTION("AVERAGE(index(GOOGLEFINANCE(""NSE:""&amp;$A243, ""close"", today()-14, today()-1), , 2))"),"#N/A")</f>
        <v/>
      </c>
      <c r="M243" s="13">
        <f>IFERROR(__xludf.DUMMYFUNCTION("AVERAGE(index(GOOGLEFINANCE(""NSE:""&amp;$A243, ""close"", today()-22, today()-1), , 2))"),"#N/A")</f>
        <v/>
      </c>
      <c r="N243" s="13">
        <f>AG243</f>
        <v/>
      </c>
      <c r="O243" s="13">
        <f>AI243</f>
        <v/>
      </c>
      <c r="P243" s="13">
        <f>W243</f>
        <v/>
      </c>
      <c r="Q243" s="13">
        <f>Y243</f>
        <v/>
      </c>
      <c r="R243" s="15" t="n"/>
      <c r="S243" s="15">
        <f>LEFT(W243,2)&amp;LEFT(Y243,2)</f>
        <v/>
      </c>
      <c r="T243" s="15" t="n"/>
      <c r="U243" s="15">
        <f>IF(K243&lt;L243,1,0)</f>
        <v/>
      </c>
      <c r="V243" s="15">
        <f>IF(H243&gt;I243,1,0)</f>
        <v/>
      </c>
      <c r="W243" s="15">
        <f>IF(SUM(U243:V243)=2,"Anticipatory_Sell","No_Action")</f>
        <v/>
      </c>
      <c r="X243" s="15" t="n"/>
      <c r="Y243" s="15">
        <f>IF(SUM(Z243:AA243)=2,"Confirm_Sell","No_Action")</f>
        <v/>
      </c>
      <c r="Z243" s="15">
        <f>IF(H243&gt;I243,1,0)</f>
        <v/>
      </c>
      <c r="AA243" s="15">
        <f>IF(K243&lt;M243,1,0)</f>
        <v/>
      </c>
      <c r="AB243" s="15" t="n"/>
      <c r="AC243" s="15">
        <f>LEFT(AG243,2)&amp;LEFT(AI243,2)</f>
        <v/>
      </c>
      <c r="AD243" s="15" t="n"/>
      <c r="AE243" s="15">
        <f>IF(K243&gt;L243,1,0)</f>
        <v/>
      </c>
      <c r="AF243" s="16">
        <f>IF(H243&gt;I243,1,0)</f>
        <v/>
      </c>
      <c r="AG243" s="16">
        <f>IF(SUM(AE243:AF243)=2,"Anticipatory_Buy","No_Action")</f>
        <v/>
      </c>
      <c r="AH243" s="15" t="n"/>
      <c r="AI243" s="15">
        <f>IF(SUM(AJ243:AK243)=2,"Confirm_Buy","No_Action")</f>
        <v/>
      </c>
      <c r="AJ243" s="15">
        <f>IF(H243&gt;I243,1,0)</f>
        <v/>
      </c>
      <c r="AK243" s="15">
        <f>IF(K243&gt;M243,1,0)</f>
        <v/>
      </c>
    </row>
    <row r="244" ht="14.5" customHeight="1">
      <c r="A244" s="12" t="inlineStr">
        <is>
          <t>PFIZER</t>
        </is>
      </c>
      <c r="B244" s="13">
        <f>IFERROR(__xludf.DUMMYFUNCTION("GOOGLEFINANCE(""NSE:""&amp;A244,""PRICE"")"),5065)</f>
        <v/>
      </c>
      <c r="C244" s="13">
        <f>IFERROR(__xludf.DUMMYFUNCTION("GOOGLEFINANCE(""NSE:""&amp;A244,""PRICEOPEN"")"),5278)</f>
        <v/>
      </c>
      <c r="D244" s="13">
        <f>IFERROR(__xludf.DUMMYFUNCTION("GOOGLEFINANCE(""NSE:""&amp;A244,""HIGH"")"),5278)</f>
        <v/>
      </c>
      <c r="E244" s="13">
        <f>IFERROR(__xludf.DUMMYFUNCTION("GOOGLEFINANCE(""NSE:""&amp;A244,""LOW"")"),5049.15)</f>
        <v/>
      </c>
      <c r="F244" s="13">
        <f>IFERROR(__xludf.DUMMYFUNCTION("GOOGLEFINANCE(""NSE:""&amp;A244,""closeyest"")"),5232.9)</f>
        <v/>
      </c>
      <c r="G244" s="14">
        <f>(B244-C244)/B244</f>
        <v/>
      </c>
      <c r="H244" s="13">
        <f>IFERROR(__xludf.DUMMYFUNCTION("GOOGLEFINANCE(""NSE:""&amp;A244,""VOLUME"")"),39660)</f>
        <v/>
      </c>
      <c r="I244" s="13">
        <f>IFERROR(__xludf.DUMMYFUNCTION("AVERAGE(index(GOOGLEFINANCE(""NSE:""&amp;$A244, ""volume"", today()-21, today()-1), , 2))"),"#N/A")</f>
        <v/>
      </c>
      <c r="J244" s="14">
        <f>(H244-I244)/I244</f>
        <v/>
      </c>
      <c r="K244" s="13">
        <f>IFERROR(__xludf.DUMMYFUNCTION("AVERAGE(index(GOOGLEFINANCE(""NSE:""&amp;$A244, ""close"", today()-6, today()-1), , 2))"),"#N/A")</f>
        <v/>
      </c>
      <c r="L244" s="13">
        <f>IFERROR(__xludf.DUMMYFUNCTION("AVERAGE(index(GOOGLEFINANCE(""NSE:""&amp;$A244, ""close"", today()-14, today()-1), , 2))"),"#N/A")</f>
        <v/>
      </c>
      <c r="M244" s="13">
        <f>IFERROR(__xludf.DUMMYFUNCTION("AVERAGE(index(GOOGLEFINANCE(""NSE:""&amp;$A244, ""close"", today()-22, today()-1), , 2))"),"#N/A")</f>
        <v/>
      </c>
      <c r="N244" s="13">
        <f>AG244</f>
        <v/>
      </c>
      <c r="O244" s="13">
        <f>AI244</f>
        <v/>
      </c>
      <c r="P244" s="13">
        <f>W244</f>
        <v/>
      </c>
      <c r="Q244" s="13">
        <f>Y244</f>
        <v/>
      </c>
      <c r="R244" s="15" t="n"/>
      <c r="S244" s="15">
        <f>LEFT(W244,2)&amp;LEFT(Y244,2)</f>
        <v/>
      </c>
      <c r="T244" s="15" t="n"/>
      <c r="U244" s="15">
        <f>IF(K244&lt;L244,1,0)</f>
        <v/>
      </c>
      <c r="V244" s="15">
        <f>IF(H244&gt;I244,1,0)</f>
        <v/>
      </c>
      <c r="W244" s="15">
        <f>IF(SUM(U244:V244)=2,"Anticipatory_Sell","No_Action")</f>
        <v/>
      </c>
      <c r="X244" s="15" t="n"/>
      <c r="Y244" s="15">
        <f>IF(SUM(Z244:AA244)=2,"Confirm_Sell","No_Action")</f>
        <v/>
      </c>
      <c r="Z244" s="15">
        <f>IF(H244&gt;I244,1,0)</f>
        <v/>
      </c>
      <c r="AA244" s="15">
        <f>IF(K244&lt;M244,1,0)</f>
        <v/>
      </c>
      <c r="AB244" s="15" t="n"/>
      <c r="AC244" s="15">
        <f>LEFT(AG244,2)&amp;LEFT(AI244,2)</f>
        <v/>
      </c>
      <c r="AD244" s="15" t="n"/>
      <c r="AE244" s="15">
        <f>IF(K244&gt;L244,1,0)</f>
        <v/>
      </c>
      <c r="AF244" s="16">
        <f>IF(H244&gt;I244,1,0)</f>
        <v/>
      </c>
      <c r="AG244" s="16">
        <f>IF(SUM(AE244:AF244)=2,"Anticipatory_Buy","No_Action")</f>
        <v/>
      </c>
      <c r="AH244" s="15" t="n"/>
      <c r="AI244" s="15">
        <f>IF(SUM(AJ244:AK244)=2,"Confirm_Buy","No_Action")</f>
        <v/>
      </c>
      <c r="AJ244" s="15">
        <f>IF(H244&gt;I244,1,0)</f>
        <v/>
      </c>
      <c r="AK244" s="15">
        <f>IF(K244&gt;M244,1,0)</f>
        <v/>
      </c>
    </row>
    <row r="245" ht="14.5" customHeight="1">
      <c r="A245" s="12" t="inlineStr">
        <is>
          <t>PGEL</t>
        </is>
      </c>
      <c r="B245" s="13">
        <f>IFERROR(__xludf.DUMMYFUNCTION("GOOGLEFINANCE(""NSE:""&amp;A245,""PRICE"")"),857.1)</f>
        <v/>
      </c>
      <c r="C245" s="13">
        <f>IFERROR(__xludf.DUMMYFUNCTION("GOOGLEFINANCE(""NSE:""&amp;A245,""PRICEOPEN"")"),825)</f>
        <v/>
      </c>
      <c r="D245" s="13">
        <f>IFERROR(__xludf.DUMMYFUNCTION("GOOGLEFINANCE(""NSE:""&amp;A245,""HIGH"")"),860)</f>
        <v/>
      </c>
      <c r="E245" s="13">
        <f>IFERROR(__xludf.DUMMYFUNCTION("GOOGLEFINANCE(""NSE:""&amp;A245,""LOW"")"),822.05)</f>
        <v/>
      </c>
      <c r="F245" s="13">
        <f>IFERROR(__xludf.DUMMYFUNCTION("GOOGLEFINANCE(""NSE:""&amp;A245,""closeyest"")"),813.5)</f>
        <v/>
      </c>
      <c r="G245" s="14">
        <f>(B245-C245)/B245</f>
        <v/>
      </c>
      <c r="H245" s="13">
        <f>IFERROR(__xludf.DUMMYFUNCTION("GOOGLEFINANCE(""NSE:""&amp;A245,""VOLUME"")"),1939703)</f>
        <v/>
      </c>
      <c r="I245" s="13">
        <f>IFERROR(__xludf.DUMMYFUNCTION("AVERAGE(index(GOOGLEFINANCE(""NSE:""&amp;$A245, ""volume"", today()-21, today()-1), , 2))"),"#N/A")</f>
        <v/>
      </c>
      <c r="J245" s="14">
        <f>(H245-I245)/I245</f>
        <v/>
      </c>
      <c r="K245" s="13">
        <f>IFERROR(__xludf.DUMMYFUNCTION("AVERAGE(index(GOOGLEFINANCE(""NSE:""&amp;$A245, ""close"", today()-6, today()-1), , 2))"),"#N/A")</f>
        <v/>
      </c>
      <c r="L245" s="13">
        <f>IFERROR(__xludf.DUMMYFUNCTION("AVERAGE(index(GOOGLEFINANCE(""NSE:""&amp;$A245, ""close"", today()-14, today()-1), , 2))"),"#N/A")</f>
        <v/>
      </c>
      <c r="M245" s="13">
        <f>IFERROR(__xludf.DUMMYFUNCTION("AVERAGE(index(GOOGLEFINANCE(""NSE:""&amp;$A245, ""close"", today()-22, today()-1), , 2))"),"#N/A")</f>
        <v/>
      </c>
      <c r="N245" s="13">
        <f>AG245</f>
        <v/>
      </c>
      <c r="O245" s="13">
        <f>AI245</f>
        <v/>
      </c>
      <c r="P245" s="13">
        <f>W245</f>
        <v/>
      </c>
      <c r="Q245" s="13">
        <f>Y245</f>
        <v/>
      </c>
      <c r="R245" s="15" t="n"/>
      <c r="S245" s="15">
        <f>LEFT(W245,2)&amp;LEFT(Y245,2)</f>
        <v/>
      </c>
      <c r="T245" s="15" t="n"/>
      <c r="U245" s="15">
        <f>IF(K245&lt;L245,1,0)</f>
        <v/>
      </c>
      <c r="V245" s="15">
        <f>IF(H245&gt;I245,1,0)</f>
        <v/>
      </c>
      <c r="W245" s="15">
        <f>IF(SUM(U245:V245)=2,"Anticipatory_Sell","No_Action")</f>
        <v/>
      </c>
      <c r="X245" s="15" t="n"/>
      <c r="Y245" s="15">
        <f>IF(SUM(Z245:AA245)=2,"Confirm_Sell","No_Action")</f>
        <v/>
      </c>
      <c r="Z245" s="15">
        <f>IF(H245&gt;I245,1,0)</f>
        <v/>
      </c>
      <c r="AA245" s="15">
        <f>IF(K245&lt;M245,1,0)</f>
        <v/>
      </c>
      <c r="AB245" s="15" t="n"/>
      <c r="AC245" s="15">
        <f>LEFT(AG245,2)&amp;LEFT(AI245,2)</f>
        <v/>
      </c>
      <c r="AD245" s="15" t="n"/>
      <c r="AE245" s="15">
        <f>IF(K245&gt;L245,1,0)</f>
        <v/>
      </c>
      <c r="AF245" s="16">
        <f>IF(H245&gt;I245,1,0)</f>
        <v/>
      </c>
      <c r="AG245" s="16">
        <f>IF(SUM(AE245:AF245)=2,"Anticipatory_Buy","No_Action")</f>
        <v/>
      </c>
      <c r="AH245" s="15" t="n"/>
      <c r="AI245" s="15">
        <f>IF(SUM(AJ245:AK245)=2,"Confirm_Buy","No_Action")</f>
        <v/>
      </c>
      <c r="AJ245" s="15">
        <f>IF(H245&gt;I245,1,0)</f>
        <v/>
      </c>
      <c r="AK245" s="15">
        <f>IF(K245&gt;M245,1,0)</f>
        <v/>
      </c>
    </row>
    <row r="246" ht="14.5" customHeight="1">
      <c r="A246" s="12" t="inlineStr">
        <is>
          <t>PHOENIXLTD</t>
        </is>
      </c>
      <c r="B246" s="13">
        <f>IFERROR(__xludf.DUMMYFUNCTION("GOOGLEFINANCE(""NSE:""&amp;A246,""PRICE"")"),1791)</f>
        <v/>
      </c>
      <c r="C246" s="13">
        <f>IFERROR(__xludf.DUMMYFUNCTION("GOOGLEFINANCE(""NSE:""&amp;A246,""PRICEOPEN"")"),1770)</f>
        <v/>
      </c>
      <c r="D246" s="13">
        <f>IFERROR(__xludf.DUMMYFUNCTION("GOOGLEFINANCE(""NSE:""&amp;A246,""HIGH"")"),1810)</f>
        <v/>
      </c>
      <c r="E246" s="13">
        <f>IFERROR(__xludf.DUMMYFUNCTION("GOOGLEFINANCE(""NSE:""&amp;A246,""LOW"")"),1761.55)</f>
        <v/>
      </c>
      <c r="F246" s="13">
        <f>IFERROR(__xludf.DUMMYFUNCTION("GOOGLEFINANCE(""NSE:""&amp;A246,""closeyest"")"),1771.35)</f>
        <v/>
      </c>
      <c r="G246" s="14">
        <f>(B246-C246)/B246</f>
        <v/>
      </c>
      <c r="H246" s="13">
        <f>IFERROR(__xludf.DUMMYFUNCTION("GOOGLEFINANCE(""NSE:""&amp;A246,""VOLUME"")"),695470)</f>
        <v/>
      </c>
      <c r="I246" s="13">
        <f>IFERROR(__xludf.DUMMYFUNCTION("AVERAGE(index(GOOGLEFINANCE(""NSE:""&amp;$A246, ""volume"", today()-21, today()-1), , 2))"),"#N/A")</f>
        <v/>
      </c>
      <c r="J246" s="14">
        <f>(H246-I246)/I246</f>
        <v/>
      </c>
      <c r="K246" s="13">
        <f>IFERROR(__xludf.DUMMYFUNCTION("AVERAGE(index(GOOGLEFINANCE(""NSE:""&amp;$A246, ""close"", today()-6, today()-1), , 2))"),"#N/A")</f>
        <v/>
      </c>
      <c r="L246" s="13">
        <f>IFERROR(__xludf.DUMMYFUNCTION("AVERAGE(index(GOOGLEFINANCE(""NSE:""&amp;$A246, ""close"", today()-14, today()-1), , 2))"),"#N/A")</f>
        <v/>
      </c>
      <c r="M246" s="13">
        <f>IFERROR(__xludf.DUMMYFUNCTION("AVERAGE(index(GOOGLEFINANCE(""NSE:""&amp;$A246, ""close"", today()-22, today()-1), , 2))"),"#N/A")</f>
        <v/>
      </c>
      <c r="N246" s="13">
        <f>AG246</f>
        <v/>
      </c>
      <c r="O246" s="13">
        <f>AI246</f>
        <v/>
      </c>
      <c r="P246" s="13">
        <f>W246</f>
        <v/>
      </c>
      <c r="Q246" s="13">
        <f>Y246</f>
        <v/>
      </c>
      <c r="R246" s="15" t="n"/>
      <c r="S246" s="15">
        <f>LEFT(W246,2)&amp;LEFT(Y246,2)</f>
        <v/>
      </c>
      <c r="T246" s="15" t="n"/>
      <c r="U246" s="15">
        <f>IF(K246&lt;L246,1,0)</f>
        <v/>
      </c>
      <c r="V246" s="15">
        <f>IF(H246&gt;I246,1,0)</f>
        <v/>
      </c>
      <c r="W246" s="15">
        <f>IF(SUM(U246:V246)=2,"Anticipatory_Sell","No_Action")</f>
        <v/>
      </c>
      <c r="X246" s="15" t="n"/>
      <c r="Y246" s="15">
        <f>IF(SUM(Z246:AA246)=2,"Confirm_Sell","No_Action")</f>
        <v/>
      </c>
      <c r="Z246" s="15">
        <f>IF(H246&gt;I246,1,0)</f>
        <v/>
      </c>
      <c r="AA246" s="15">
        <f>IF(K246&lt;M246,1,0)</f>
        <v/>
      </c>
      <c r="AB246" s="15" t="n"/>
      <c r="AC246" s="15">
        <f>LEFT(AG246,2)&amp;LEFT(AI246,2)</f>
        <v/>
      </c>
      <c r="AD246" s="15" t="n"/>
      <c r="AE246" s="15">
        <f>IF(K246&gt;L246,1,0)</f>
        <v/>
      </c>
      <c r="AF246" s="16">
        <f>IF(H246&gt;I246,1,0)</f>
        <v/>
      </c>
      <c r="AG246" s="16">
        <f>IF(SUM(AE246:AF246)=2,"Anticipatory_Buy","No_Action")</f>
        <v/>
      </c>
      <c r="AH246" s="15" t="n"/>
      <c r="AI246" s="15">
        <f>IF(SUM(AJ246:AK246)=2,"Confirm_Buy","No_Action")</f>
        <v/>
      </c>
      <c r="AJ246" s="15">
        <f>IF(H246&gt;I246,1,0)</f>
        <v/>
      </c>
      <c r="AK246" s="15">
        <f>IF(K246&gt;M246,1,0)</f>
        <v/>
      </c>
    </row>
    <row r="247" ht="14.5" customHeight="1">
      <c r="A247" s="12" t="inlineStr">
        <is>
          <t>PIXTRANS</t>
        </is>
      </c>
      <c r="B247" s="13">
        <f>IFERROR(__xludf.DUMMYFUNCTION("GOOGLEFINANCE(""NSE:""&amp;A247,""PRICE"")"),2711.45)</f>
        <v/>
      </c>
      <c r="C247" s="13">
        <f>IFERROR(__xludf.DUMMYFUNCTION("GOOGLEFINANCE(""NSE:""&amp;A247,""PRICEOPEN"")"),2689)</f>
        <v/>
      </c>
      <c r="D247" s="13">
        <f>IFERROR(__xludf.DUMMYFUNCTION("GOOGLEFINANCE(""NSE:""&amp;A247,""HIGH"")"),2774.9)</f>
        <v/>
      </c>
      <c r="E247" s="13">
        <f>IFERROR(__xludf.DUMMYFUNCTION("GOOGLEFINANCE(""NSE:""&amp;A247,""LOW"")"),2680.05)</f>
        <v/>
      </c>
      <c r="F247" s="13">
        <f>IFERROR(__xludf.DUMMYFUNCTION("GOOGLEFINANCE(""NSE:""&amp;A247,""closeyest"")"),2689.5)</f>
        <v/>
      </c>
      <c r="G247" s="14">
        <f>(B247-C247)/B247</f>
        <v/>
      </c>
      <c r="H247" s="13">
        <f>IFERROR(__xludf.DUMMYFUNCTION("GOOGLEFINANCE(""NSE:""&amp;A247,""VOLUME"")"),31323)</f>
        <v/>
      </c>
      <c r="I247" s="13">
        <f>IFERROR(__xludf.DUMMYFUNCTION("AVERAGE(index(GOOGLEFINANCE(""NSE:""&amp;$A247, ""volume"", today()-21, today()-1), , 2))"),"#N/A")</f>
        <v/>
      </c>
      <c r="J247" s="14">
        <f>(H247-I247)/I247</f>
        <v/>
      </c>
      <c r="K247" s="13">
        <f>IFERROR(__xludf.DUMMYFUNCTION("AVERAGE(index(GOOGLEFINANCE(""NSE:""&amp;$A247, ""close"", today()-6, today()-1), , 2))"),"#N/A")</f>
        <v/>
      </c>
      <c r="L247" s="13">
        <f>IFERROR(__xludf.DUMMYFUNCTION("AVERAGE(index(GOOGLEFINANCE(""NSE:""&amp;$A247, ""close"", today()-14, today()-1), , 2))"),"#N/A")</f>
        <v/>
      </c>
      <c r="M247" s="13">
        <f>IFERROR(__xludf.DUMMYFUNCTION("AVERAGE(index(GOOGLEFINANCE(""NSE:""&amp;$A247, ""close"", today()-22, today()-1), , 2))"),"#N/A")</f>
        <v/>
      </c>
      <c r="N247" s="13">
        <f>AG247</f>
        <v/>
      </c>
      <c r="O247" s="13">
        <f>AI247</f>
        <v/>
      </c>
      <c r="P247" s="13">
        <f>W247</f>
        <v/>
      </c>
      <c r="Q247" s="13">
        <f>Y247</f>
        <v/>
      </c>
      <c r="R247" s="15" t="n"/>
      <c r="S247" s="15">
        <f>LEFT(W247,2)&amp;LEFT(Y247,2)</f>
        <v/>
      </c>
      <c r="T247" s="15" t="n"/>
      <c r="U247" s="15">
        <f>IF(K247&lt;L247,1,0)</f>
        <v/>
      </c>
      <c r="V247" s="15">
        <f>IF(H247&gt;I247,1,0)</f>
        <v/>
      </c>
      <c r="W247" s="15">
        <f>IF(SUM(U247:V247)=2,"Anticipatory_Sell","No_Action")</f>
        <v/>
      </c>
      <c r="X247" s="15" t="n"/>
      <c r="Y247" s="15">
        <f>IF(SUM(Z247:AA247)=2,"Confirm_Sell","No_Action")</f>
        <v/>
      </c>
      <c r="Z247" s="15">
        <f>IF(H247&gt;I247,1,0)</f>
        <v/>
      </c>
      <c r="AA247" s="15">
        <f>IF(K247&lt;M247,1,0)</f>
        <v/>
      </c>
      <c r="AB247" s="15" t="n"/>
      <c r="AC247" s="15">
        <f>LEFT(AG247,2)&amp;LEFT(AI247,2)</f>
        <v/>
      </c>
      <c r="AD247" s="15" t="n"/>
      <c r="AE247" s="15">
        <f>IF(K247&gt;L247,1,0)</f>
        <v/>
      </c>
      <c r="AF247" s="16">
        <f>IF(H247&gt;I247,1,0)</f>
        <v/>
      </c>
      <c r="AG247" s="16">
        <f>IF(SUM(AE247:AF247)=2,"Anticipatory_Buy","No_Action")</f>
        <v/>
      </c>
      <c r="AH247" s="15" t="n"/>
      <c r="AI247" s="15">
        <f>IF(SUM(AJ247:AK247)=2,"Confirm_Buy","No_Action")</f>
        <v/>
      </c>
      <c r="AJ247" s="15">
        <f>IF(H247&gt;I247,1,0)</f>
        <v/>
      </c>
      <c r="AK247" s="15">
        <f>IF(K247&gt;M247,1,0)</f>
        <v/>
      </c>
    </row>
    <row r="248" ht="14.5" customHeight="1">
      <c r="A248" s="12" t="inlineStr">
        <is>
          <t>PNBHOUSING</t>
        </is>
      </c>
      <c r="B248" s="13">
        <f>IFERROR(__xludf.DUMMYFUNCTION("GOOGLEFINANCE(""NSE:""&amp;A248,""PRICE"")"),958)</f>
        <v/>
      </c>
      <c r="C248" s="13">
        <f>IFERROR(__xludf.DUMMYFUNCTION("GOOGLEFINANCE(""NSE:""&amp;A248,""PRICEOPEN"")"),967.8)</f>
        <v/>
      </c>
      <c r="D248" s="13">
        <f>IFERROR(__xludf.DUMMYFUNCTION("GOOGLEFINANCE(""NSE:""&amp;A248,""HIGH"")"),976.65)</f>
        <v/>
      </c>
      <c r="E248" s="13">
        <f>IFERROR(__xludf.DUMMYFUNCTION("GOOGLEFINANCE(""NSE:""&amp;A248,""LOW"")"),948.85)</f>
        <v/>
      </c>
      <c r="F248" s="13">
        <f>IFERROR(__xludf.DUMMYFUNCTION("GOOGLEFINANCE(""NSE:""&amp;A248,""closeyest"")"),963.15)</f>
        <v/>
      </c>
      <c r="G248" s="14">
        <f>(B248-C248)/B248</f>
        <v/>
      </c>
      <c r="H248" s="13">
        <f>IFERROR(__xludf.DUMMYFUNCTION("GOOGLEFINANCE(""NSE:""&amp;A248,""VOLUME"")"),989760)</f>
        <v/>
      </c>
      <c r="I248" s="13">
        <f>IFERROR(__xludf.DUMMYFUNCTION("AVERAGE(index(GOOGLEFINANCE(""NSE:""&amp;$A248, ""volume"", today()-21, today()-1), , 2))"),"#N/A")</f>
        <v/>
      </c>
      <c r="J248" s="14">
        <f>(H248-I248)/I248</f>
        <v/>
      </c>
      <c r="K248" s="13">
        <f>IFERROR(__xludf.DUMMYFUNCTION("AVERAGE(index(GOOGLEFINANCE(""NSE:""&amp;$A248, ""close"", today()-6, today()-1), , 2))"),"#N/A")</f>
        <v/>
      </c>
      <c r="L248" s="13">
        <f>IFERROR(__xludf.DUMMYFUNCTION("AVERAGE(index(GOOGLEFINANCE(""NSE:""&amp;$A248, ""close"", today()-14, today()-1), , 2))"),"#N/A")</f>
        <v/>
      </c>
      <c r="M248" s="13">
        <f>IFERROR(__xludf.DUMMYFUNCTION("AVERAGE(index(GOOGLEFINANCE(""NSE:""&amp;$A248, ""close"", today()-22, today()-1), , 2))"),"#N/A")</f>
        <v/>
      </c>
      <c r="N248" s="13">
        <f>AG248</f>
        <v/>
      </c>
      <c r="O248" s="13">
        <f>AI248</f>
        <v/>
      </c>
      <c r="P248" s="13">
        <f>W248</f>
        <v/>
      </c>
      <c r="Q248" s="13">
        <f>Y248</f>
        <v/>
      </c>
      <c r="R248" s="15" t="n"/>
      <c r="S248" s="15">
        <f>LEFT(W248,2)&amp;LEFT(Y248,2)</f>
        <v/>
      </c>
      <c r="T248" s="15" t="n"/>
      <c r="U248" s="15">
        <f>IF(K248&lt;L248,1,0)</f>
        <v/>
      </c>
      <c r="V248" s="15">
        <f>IF(H248&gt;I248,1,0)</f>
        <v/>
      </c>
      <c r="W248" s="15">
        <f>IF(SUM(U248:V248)=2,"Anticipatory_Sell","No_Action")</f>
        <v/>
      </c>
      <c r="X248" s="15" t="n"/>
      <c r="Y248" s="15">
        <f>IF(SUM(Z248:AA248)=2,"Confirm_Sell","No_Action")</f>
        <v/>
      </c>
      <c r="Z248" s="15">
        <f>IF(H248&gt;I248,1,0)</f>
        <v/>
      </c>
      <c r="AA248" s="15">
        <f>IF(K248&lt;M248,1,0)</f>
        <v/>
      </c>
      <c r="AB248" s="15" t="n"/>
      <c r="AC248" s="15">
        <f>LEFT(AG248,2)&amp;LEFT(AI248,2)</f>
        <v/>
      </c>
      <c r="AD248" s="15" t="n"/>
      <c r="AE248" s="15">
        <f>IF(K248&gt;L248,1,0)</f>
        <v/>
      </c>
      <c r="AF248" s="16">
        <f>IF(H248&gt;I248,1,0)</f>
        <v/>
      </c>
      <c r="AG248" s="16">
        <f>IF(SUM(AE248:AF248)=2,"Anticipatory_Buy","No_Action")</f>
        <v/>
      </c>
      <c r="AH248" s="15" t="n"/>
      <c r="AI248" s="15">
        <f>IF(SUM(AJ248:AK248)=2,"Confirm_Buy","No_Action")</f>
        <v/>
      </c>
      <c r="AJ248" s="15">
        <f>IF(H248&gt;I248,1,0)</f>
        <v/>
      </c>
      <c r="AK248" s="15">
        <f>IF(K248&gt;M248,1,0)</f>
        <v/>
      </c>
    </row>
    <row r="249" ht="14.5" customHeight="1">
      <c r="A249" s="12" t="inlineStr">
        <is>
          <t>POKARNA</t>
        </is>
      </c>
      <c r="B249" s="13">
        <f>IFERROR(__xludf.DUMMYFUNCTION("GOOGLEFINANCE(""NSE:""&amp;A249,""PRICE"")"),1249)</f>
        <v/>
      </c>
      <c r="C249" s="13">
        <f>IFERROR(__xludf.DUMMYFUNCTION("GOOGLEFINANCE(""NSE:""&amp;A249,""PRICEOPEN"")"),1225)</f>
        <v/>
      </c>
      <c r="D249" s="13">
        <f>IFERROR(__xludf.DUMMYFUNCTION("GOOGLEFINANCE(""NSE:""&amp;A249,""HIGH"")"),1251)</f>
        <v/>
      </c>
      <c r="E249" s="13">
        <f>IFERROR(__xludf.DUMMYFUNCTION("GOOGLEFINANCE(""NSE:""&amp;A249,""LOW"")"),1211.55)</f>
        <v/>
      </c>
      <c r="F249" s="13">
        <f>IFERROR(__xludf.DUMMYFUNCTION("GOOGLEFINANCE(""NSE:""&amp;A249,""closeyest"")"),1223.55)</f>
        <v/>
      </c>
      <c r="G249" s="14">
        <f>(B249-C249)/B249</f>
        <v/>
      </c>
      <c r="H249" s="13">
        <f>IFERROR(__xludf.DUMMYFUNCTION("GOOGLEFINANCE(""NSE:""&amp;A249,""VOLUME"")"),85245)</f>
        <v/>
      </c>
      <c r="I249" s="13">
        <f>IFERROR(__xludf.DUMMYFUNCTION("AVERAGE(index(GOOGLEFINANCE(""NSE:""&amp;$A249, ""volume"", today()-21, today()-1), , 2))"),"#N/A")</f>
        <v/>
      </c>
      <c r="J249" s="14">
        <f>(H249-I249)/I249</f>
        <v/>
      </c>
      <c r="K249" s="13">
        <f>IFERROR(__xludf.DUMMYFUNCTION("AVERAGE(index(GOOGLEFINANCE(""NSE:""&amp;$A249, ""close"", today()-6, today()-1), , 2))"),"#N/A")</f>
        <v/>
      </c>
      <c r="L249" s="13">
        <f>IFERROR(__xludf.DUMMYFUNCTION("AVERAGE(index(GOOGLEFINANCE(""NSE:""&amp;$A249, ""close"", today()-14, today()-1), , 2))"),"#N/A")</f>
        <v/>
      </c>
      <c r="M249" s="13">
        <f>IFERROR(__xludf.DUMMYFUNCTION("AVERAGE(index(GOOGLEFINANCE(""NSE:""&amp;$A249, ""close"", today()-22, today()-1), , 2))"),"#N/A")</f>
        <v/>
      </c>
      <c r="N249" s="13">
        <f>AG249</f>
        <v/>
      </c>
      <c r="O249" s="13">
        <f>AI249</f>
        <v/>
      </c>
      <c r="P249" s="13">
        <f>W249</f>
        <v/>
      </c>
      <c r="Q249" s="13">
        <f>Y249</f>
        <v/>
      </c>
      <c r="R249" s="15" t="n"/>
      <c r="S249" s="15">
        <f>LEFT(W249,2)&amp;LEFT(Y249,2)</f>
        <v/>
      </c>
      <c r="T249" s="15" t="n"/>
      <c r="U249" s="15">
        <f>IF(K249&lt;L249,1,0)</f>
        <v/>
      </c>
      <c r="V249" s="15">
        <f>IF(H249&gt;I249,1,0)</f>
        <v/>
      </c>
      <c r="W249" s="15">
        <f>IF(SUM(U249:V249)=2,"Anticipatory_Sell","No_Action")</f>
        <v/>
      </c>
      <c r="X249" s="15" t="n"/>
      <c r="Y249" s="15">
        <f>IF(SUM(Z249:AA249)=2,"Confirm_Sell","No_Action")</f>
        <v/>
      </c>
      <c r="Z249" s="15">
        <f>IF(H249&gt;I249,1,0)</f>
        <v/>
      </c>
      <c r="AA249" s="15">
        <f>IF(K249&lt;M249,1,0)</f>
        <v/>
      </c>
      <c r="AB249" s="15" t="n"/>
      <c r="AC249" s="15">
        <f>LEFT(AG249,2)&amp;LEFT(AI249,2)</f>
        <v/>
      </c>
      <c r="AD249" s="15" t="n"/>
      <c r="AE249" s="15">
        <f>IF(K249&gt;L249,1,0)</f>
        <v/>
      </c>
      <c r="AF249" s="16">
        <f>IF(H249&gt;I249,1,0)</f>
        <v/>
      </c>
      <c r="AG249" s="16">
        <f>IF(SUM(AE249:AF249)=2,"Anticipatory_Buy","No_Action")</f>
        <v/>
      </c>
      <c r="AH249" s="15" t="n"/>
      <c r="AI249" s="15">
        <f>IF(SUM(AJ249:AK249)=2,"Confirm_Buy","No_Action")</f>
        <v/>
      </c>
      <c r="AJ249" s="15">
        <f>IF(H249&gt;I249,1,0)</f>
        <v/>
      </c>
      <c r="AK249" s="15">
        <f>IF(K249&gt;M249,1,0)</f>
        <v/>
      </c>
    </row>
    <row r="250" ht="14.5" customHeight="1">
      <c r="A250" s="12" t="inlineStr">
        <is>
          <t>POLYMED</t>
        </is>
      </c>
      <c r="B250" s="13">
        <f>IFERROR(__xludf.DUMMYFUNCTION("GOOGLEFINANCE(""NSE:""&amp;A250,""PRICE"")"),2875.55)</f>
        <v/>
      </c>
      <c r="C250" s="13">
        <f>IFERROR(__xludf.DUMMYFUNCTION("GOOGLEFINANCE(""NSE:""&amp;A250,""PRICEOPEN"")"),2822.5)</f>
        <v/>
      </c>
      <c r="D250" s="13">
        <f>IFERROR(__xludf.DUMMYFUNCTION("GOOGLEFINANCE(""NSE:""&amp;A250,""HIGH"")"),2894)</f>
        <v/>
      </c>
      <c r="E250" s="13">
        <f>IFERROR(__xludf.DUMMYFUNCTION("GOOGLEFINANCE(""NSE:""&amp;A250,""LOW"")"),2808.05)</f>
        <v/>
      </c>
      <c r="F250" s="13">
        <f>IFERROR(__xludf.DUMMYFUNCTION("GOOGLEFINANCE(""NSE:""&amp;A250,""closeyest"")"),2819.05)</f>
        <v/>
      </c>
      <c r="G250" s="14">
        <f>(B250-C250)/B250</f>
        <v/>
      </c>
      <c r="H250" s="13">
        <f>IFERROR(__xludf.DUMMYFUNCTION("GOOGLEFINANCE(""NSE:""&amp;A250,""VOLUME"")"),117162)</f>
        <v/>
      </c>
      <c r="I250" s="13">
        <f>IFERROR(__xludf.DUMMYFUNCTION("AVERAGE(index(GOOGLEFINANCE(""NSE:""&amp;$A250, ""volume"", today()-21, today()-1), , 2))"),"#N/A")</f>
        <v/>
      </c>
      <c r="J250" s="14">
        <f>(H250-I250)/I250</f>
        <v/>
      </c>
      <c r="K250" s="13">
        <f>IFERROR(__xludf.DUMMYFUNCTION("AVERAGE(index(GOOGLEFINANCE(""NSE:""&amp;$A250, ""close"", today()-6, today()-1), , 2))"),"#N/A")</f>
        <v/>
      </c>
      <c r="L250" s="13">
        <f>IFERROR(__xludf.DUMMYFUNCTION("AVERAGE(index(GOOGLEFINANCE(""NSE:""&amp;$A250, ""close"", today()-14, today()-1), , 2))"),"#N/A")</f>
        <v/>
      </c>
      <c r="M250" s="13">
        <f>IFERROR(__xludf.DUMMYFUNCTION("AVERAGE(index(GOOGLEFINANCE(""NSE:""&amp;$A250, ""close"", today()-22, today()-1), , 2))"),"#N/A")</f>
        <v/>
      </c>
      <c r="N250" s="13">
        <f>AG250</f>
        <v/>
      </c>
      <c r="O250" s="13">
        <f>AI250</f>
        <v/>
      </c>
      <c r="P250" s="13">
        <f>W250</f>
        <v/>
      </c>
      <c r="Q250" s="13">
        <f>Y250</f>
        <v/>
      </c>
      <c r="R250" s="15" t="n"/>
      <c r="S250" s="15">
        <f>LEFT(W250,2)&amp;LEFT(Y250,2)</f>
        <v/>
      </c>
      <c r="T250" s="15" t="n"/>
      <c r="U250" s="15">
        <f>IF(K250&lt;L250,1,0)</f>
        <v/>
      </c>
      <c r="V250" s="15">
        <f>IF(H250&gt;I250,1,0)</f>
        <v/>
      </c>
      <c r="W250" s="15">
        <f>IF(SUM(U250:V250)=2,"Anticipatory_Sell","No_Action")</f>
        <v/>
      </c>
      <c r="X250" s="15" t="n"/>
      <c r="Y250" s="15">
        <f>IF(SUM(Z250:AA250)=2,"Confirm_Sell","No_Action")</f>
        <v/>
      </c>
      <c r="Z250" s="15">
        <f>IF(H250&gt;I250,1,0)</f>
        <v/>
      </c>
      <c r="AA250" s="15">
        <f>IF(K250&lt;M250,1,0)</f>
        <v/>
      </c>
      <c r="AB250" s="15" t="n"/>
      <c r="AC250" s="15">
        <f>LEFT(AG250,2)&amp;LEFT(AI250,2)</f>
        <v/>
      </c>
      <c r="AD250" s="15" t="n"/>
      <c r="AE250" s="15">
        <f>IF(K250&gt;L250,1,0)</f>
        <v/>
      </c>
      <c r="AF250" s="16">
        <f>IF(H250&gt;I250,1,0)</f>
        <v/>
      </c>
      <c r="AG250" s="16">
        <f>IF(SUM(AE250:AF250)=2,"Anticipatory_Buy","No_Action")</f>
        <v/>
      </c>
      <c r="AH250" s="15" t="n"/>
      <c r="AI250" s="15">
        <f>IF(SUM(AJ250:AK250)=2,"Confirm_Buy","No_Action")</f>
        <v/>
      </c>
      <c r="AJ250" s="15">
        <f>IF(H250&gt;I250,1,0)</f>
        <v/>
      </c>
      <c r="AK250" s="15">
        <f>IF(K250&gt;M250,1,0)</f>
        <v/>
      </c>
    </row>
    <row r="251" ht="14.5" customHeight="1">
      <c r="A251" s="12" t="inlineStr">
        <is>
          <t>POLYCAB</t>
        </is>
      </c>
      <c r="B251" s="13">
        <f>IFERROR(__xludf.DUMMYFUNCTION("GOOGLEFINANCE(""NSE:""&amp;A251,""PRICE"")"),7434)</f>
        <v/>
      </c>
      <c r="C251" s="13">
        <f>IFERROR(__xludf.DUMMYFUNCTION("GOOGLEFINANCE(""NSE:""&amp;A251,""PRICEOPEN"")"),7317.95)</f>
        <v/>
      </c>
      <c r="D251" s="13">
        <f>IFERROR(__xludf.DUMMYFUNCTION("GOOGLEFINANCE(""NSE:""&amp;A251,""HIGH"")"),7451)</f>
        <v/>
      </c>
      <c r="E251" s="13">
        <f>IFERROR(__xludf.DUMMYFUNCTION("GOOGLEFINANCE(""NSE:""&amp;A251,""LOW"")"),7295.1)</f>
        <v/>
      </c>
      <c r="F251" s="13">
        <f>IFERROR(__xludf.DUMMYFUNCTION("GOOGLEFINANCE(""NSE:""&amp;A251,""closeyest"")"),7317.95)</f>
        <v/>
      </c>
      <c r="G251" s="14">
        <f>(B251-C251)/B251</f>
        <v/>
      </c>
      <c r="H251" s="13">
        <f>IFERROR(__xludf.DUMMYFUNCTION("GOOGLEFINANCE(""NSE:""&amp;A251,""VOLUME"")"),228256)</f>
        <v/>
      </c>
      <c r="I251" s="13">
        <f>IFERROR(__xludf.DUMMYFUNCTION("AVERAGE(index(GOOGLEFINANCE(""NSE:""&amp;$A251, ""volume"", today()-21, today()-1), , 2))"),"#N/A")</f>
        <v/>
      </c>
      <c r="J251" s="14">
        <f>(H251-I251)/I251</f>
        <v/>
      </c>
      <c r="K251" s="13">
        <f>IFERROR(__xludf.DUMMYFUNCTION("AVERAGE(index(GOOGLEFINANCE(""NSE:""&amp;$A251, ""close"", today()-6, today()-1), , 2))"),"#N/A")</f>
        <v/>
      </c>
      <c r="L251" s="13">
        <f>IFERROR(__xludf.DUMMYFUNCTION("AVERAGE(index(GOOGLEFINANCE(""NSE:""&amp;$A251, ""close"", today()-14, today()-1), , 2))"),"#N/A")</f>
        <v/>
      </c>
      <c r="M251" s="13">
        <f>IFERROR(__xludf.DUMMYFUNCTION("AVERAGE(index(GOOGLEFINANCE(""NSE:""&amp;$A251, ""close"", today()-22, today()-1), , 2))"),"#N/A")</f>
        <v/>
      </c>
      <c r="N251" s="13">
        <f>AG251</f>
        <v/>
      </c>
      <c r="O251" s="13">
        <f>AI251</f>
        <v/>
      </c>
      <c r="P251" s="13">
        <f>W251</f>
        <v/>
      </c>
      <c r="Q251" s="13">
        <f>Y251</f>
        <v/>
      </c>
      <c r="R251" s="15" t="n"/>
      <c r="S251" s="15">
        <f>LEFT(W251,2)&amp;LEFT(Y251,2)</f>
        <v/>
      </c>
      <c r="T251" s="15" t="n"/>
      <c r="U251" s="15">
        <f>IF(K251&lt;L251,1,0)</f>
        <v/>
      </c>
      <c r="V251" s="15">
        <f>IF(H251&gt;I251,1,0)</f>
        <v/>
      </c>
      <c r="W251" s="15">
        <f>IF(SUM(U251:V251)=2,"Anticipatory_Sell","No_Action")</f>
        <v/>
      </c>
      <c r="X251" s="15" t="n"/>
      <c r="Y251" s="15">
        <f>IF(SUM(Z251:AA251)=2,"Confirm_Sell","No_Action")</f>
        <v/>
      </c>
      <c r="Z251" s="15">
        <f>IF(H251&gt;I251,1,0)</f>
        <v/>
      </c>
      <c r="AA251" s="15">
        <f>IF(K251&lt;M251,1,0)</f>
        <v/>
      </c>
      <c r="AB251" s="15" t="n"/>
      <c r="AC251" s="15">
        <f>LEFT(AG251,2)&amp;LEFT(AI251,2)</f>
        <v/>
      </c>
      <c r="AD251" s="15" t="n"/>
      <c r="AE251" s="15">
        <f>IF(K251&gt;L251,1,0)</f>
        <v/>
      </c>
      <c r="AF251" s="16">
        <f>IF(H251&gt;I251,1,0)</f>
        <v/>
      </c>
      <c r="AG251" s="16">
        <f>IF(SUM(AE251:AF251)=2,"Anticipatory_Buy","No_Action")</f>
        <v/>
      </c>
      <c r="AH251" s="15" t="n"/>
      <c r="AI251" s="15">
        <f>IF(SUM(AJ251:AK251)=2,"Confirm_Buy","No_Action")</f>
        <v/>
      </c>
      <c r="AJ251" s="15">
        <f>IF(H251&gt;I251,1,0)</f>
        <v/>
      </c>
      <c r="AK251" s="15">
        <f>IF(K251&gt;M251,1,0)</f>
        <v/>
      </c>
    </row>
    <row r="252" ht="14.5" customHeight="1">
      <c r="A252" s="12" t="inlineStr">
        <is>
          <t>POWERGRID</t>
        </is>
      </c>
      <c r="B252" s="13">
        <f>IFERROR(__xludf.DUMMYFUNCTION("GOOGLEFINANCE(""NSE:""&amp;A252,""PRICE"")"),329.45)</f>
        <v/>
      </c>
      <c r="C252" s="13">
        <f>IFERROR(__xludf.DUMMYFUNCTION("GOOGLEFINANCE(""NSE:""&amp;A252,""PRICEOPEN"")"),327.75)</f>
        <v/>
      </c>
      <c r="D252" s="13">
        <f>IFERROR(__xludf.DUMMYFUNCTION("GOOGLEFINANCE(""NSE:""&amp;A252,""HIGH"")"),330.65)</f>
        <v/>
      </c>
      <c r="E252" s="13">
        <f>IFERROR(__xludf.DUMMYFUNCTION("GOOGLEFINANCE(""NSE:""&amp;A252,""LOW"")"),326.7)</f>
        <v/>
      </c>
      <c r="F252" s="13">
        <f>IFERROR(__xludf.DUMMYFUNCTION("GOOGLEFINANCE(""NSE:""&amp;A252,""closeyest"")"),328.9)</f>
        <v/>
      </c>
      <c r="G252" s="14">
        <f>(B252-C252)/B252</f>
        <v/>
      </c>
      <c r="H252" s="13">
        <f>IFERROR(__xludf.DUMMYFUNCTION("GOOGLEFINANCE(""NSE:""&amp;A252,""VOLUME"")"),9376929)</f>
        <v/>
      </c>
      <c r="I252" s="13">
        <f>IFERROR(__xludf.DUMMYFUNCTION("AVERAGE(index(GOOGLEFINANCE(""NSE:""&amp;$A252, ""volume"", today()-21, today()-1), , 2))"),"#N/A")</f>
        <v/>
      </c>
      <c r="J252" s="14">
        <f>(H252-I252)/I252</f>
        <v/>
      </c>
      <c r="K252" s="13">
        <f>IFERROR(__xludf.DUMMYFUNCTION("AVERAGE(index(GOOGLEFINANCE(""NSE:""&amp;$A252, ""close"", today()-6, today()-1), , 2))"),"#N/A")</f>
        <v/>
      </c>
      <c r="L252" s="13">
        <f>IFERROR(__xludf.DUMMYFUNCTION("AVERAGE(index(GOOGLEFINANCE(""NSE:""&amp;$A252, ""close"", today()-14, today()-1), , 2))"),"#N/A")</f>
        <v/>
      </c>
      <c r="M252" s="13">
        <f>IFERROR(__xludf.DUMMYFUNCTION("AVERAGE(index(GOOGLEFINANCE(""NSE:""&amp;$A252, ""close"", today()-22, today()-1), , 2))"),"#N/A")</f>
        <v/>
      </c>
      <c r="N252" s="13">
        <f>AG252</f>
        <v/>
      </c>
      <c r="O252" s="13">
        <f>AI252</f>
        <v/>
      </c>
      <c r="P252" s="13">
        <f>W252</f>
        <v/>
      </c>
      <c r="Q252" s="13">
        <f>Y252</f>
        <v/>
      </c>
      <c r="R252" s="15" t="n"/>
      <c r="S252" s="15">
        <f>LEFT(W252,2)&amp;LEFT(Y252,2)</f>
        <v/>
      </c>
      <c r="T252" s="15" t="n"/>
      <c r="U252" s="15">
        <f>IF(K252&lt;L252,1,0)</f>
        <v/>
      </c>
      <c r="V252" s="15">
        <f>IF(H252&gt;I252,1,0)</f>
        <v/>
      </c>
      <c r="W252" s="15">
        <f>IF(SUM(U252:V252)=2,"Anticipatory_Sell","No_Action")</f>
        <v/>
      </c>
      <c r="X252" s="15" t="n"/>
      <c r="Y252" s="15">
        <f>IF(SUM(Z252:AA252)=2,"Confirm_Sell","No_Action")</f>
        <v/>
      </c>
      <c r="Z252" s="15">
        <f>IF(H252&gt;I252,1,0)</f>
        <v/>
      </c>
      <c r="AA252" s="15">
        <f>IF(K252&lt;M252,1,0)</f>
        <v/>
      </c>
      <c r="AB252" s="15" t="n"/>
      <c r="AC252" s="15">
        <f>LEFT(AG252,2)&amp;LEFT(AI252,2)</f>
        <v/>
      </c>
      <c r="AD252" s="15" t="n"/>
      <c r="AE252" s="15">
        <f>IF(K252&gt;L252,1,0)</f>
        <v/>
      </c>
      <c r="AF252" s="16">
        <f>IF(H252&gt;I252,1,0)</f>
        <v/>
      </c>
      <c r="AG252" s="16">
        <f>IF(SUM(AE252:AF252)=2,"Anticipatory_Buy","No_Action")</f>
        <v/>
      </c>
      <c r="AH252" s="15" t="n"/>
      <c r="AI252" s="15">
        <f>IF(SUM(AJ252:AK252)=2,"Confirm_Buy","No_Action")</f>
        <v/>
      </c>
      <c r="AJ252" s="15">
        <f>IF(H252&gt;I252,1,0)</f>
        <v/>
      </c>
      <c r="AK252" s="15">
        <f>IF(K252&gt;M252,1,0)</f>
        <v/>
      </c>
    </row>
    <row r="253" ht="14.5" customHeight="1">
      <c r="A253" s="12" t="inlineStr">
        <is>
          <t>PGINVIT</t>
        </is>
      </c>
      <c r="B253" s="13">
        <f>IFERROR(__xludf.DUMMYFUNCTION("GOOGLEFINANCE(""NSE:""&amp;A253,""PRICE"")"),"#N/A")</f>
        <v/>
      </c>
      <c r="C253" s="13">
        <f>IFERROR(__xludf.DUMMYFUNCTION("GOOGLEFINANCE(""NSE:""&amp;A253,""PRICEOPEN"")"),"#N/A")</f>
        <v/>
      </c>
      <c r="D253" s="13">
        <f>IFERROR(__xludf.DUMMYFUNCTION("GOOGLEFINANCE(""NSE:""&amp;A253,""HIGH"")"),"#N/A")</f>
        <v/>
      </c>
      <c r="E253" s="13">
        <f>IFERROR(__xludf.DUMMYFUNCTION("GOOGLEFINANCE(""NSE:""&amp;A253,""LOW"")"),"#N/A")</f>
        <v/>
      </c>
      <c r="F253" s="13">
        <f>IFERROR(__xludf.DUMMYFUNCTION("GOOGLEFINANCE(""NSE:""&amp;A253,""closeyest"")"),"#N/A")</f>
        <v/>
      </c>
      <c r="G253" s="14">
        <f>(B253-C253)/B253</f>
        <v/>
      </c>
      <c r="H253" s="13">
        <f>IFERROR(__xludf.DUMMYFUNCTION("GOOGLEFINANCE(""NSE:""&amp;A253,""VOLUME"")"),"#N/A")</f>
        <v/>
      </c>
      <c r="I253" s="13">
        <f>IFERROR(__xludf.DUMMYFUNCTION("AVERAGE(index(GOOGLEFINANCE(""NSE:""&amp;$A253, ""volume"", today()-21, today()-1), , 2))"),"#N/A")</f>
        <v/>
      </c>
      <c r="J253" s="14">
        <f>(H253-I253)/I253</f>
        <v/>
      </c>
      <c r="K253" s="13">
        <f>IFERROR(__xludf.DUMMYFUNCTION("AVERAGE(index(GOOGLEFINANCE(""NSE:""&amp;$A253, ""close"", today()-6, today()-1), , 2))"),"#N/A")</f>
        <v/>
      </c>
      <c r="L253" s="13">
        <f>IFERROR(__xludf.DUMMYFUNCTION("AVERAGE(index(GOOGLEFINANCE(""NSE:""&amp;$A253, ""close"", today()-14, today()-1), , 2))"),"#N/A")</f>
        <v/>
      </c>
      <c r="M253" s="13">
        <f>IFERROR(__xludf.DUMMYFUNCTION("AVERAGE(index(GOOGLEFINANCE(""NSE:""&amp;$A253, ""close"", today()-22, today()-1), , 2))"),"#N/A")</f>
        <v/>
      </c>
      <c r="N253" s="13">
        <f>AG253</f>
        <v/>
      </c>
      <c r="O253" s="13">
        <f>AI253</f>
        <v/>
      </c>
      <c r="P253" s="13">
        <f>W253</f>
        <v/>
      </c>
      <c r="Q253" s="13">
        <f>Y253</f>
        <v/>
      </c>
      <c r="R253" s="15" t="n"/>
      <c r="S253" s="15">
        <f>LEFT(W253,2)&amp;LEFT(Y253,2)</f>
        <v/>
      </c>
      <c r="T253" s="15" t="n"/>
      <c r="U253" s="15">
        <f>IF(K253&lt;L253,1,0)</f>
        <v/>
      </c>
      <c r="V253" s="15">
        <f>IF(H253&gt;I253,1,0)</f>
        <v/>
      </c>
      <c r="W253" s="15">
        <f>IF(SUM(U253:V253)=2,"Anticipatory_Sell","No_Action")</f>
        <v/>
      </c>
      <c r="X253" s="15" t="n"/>
      <c r="Y253" s="15">
        <f>IF(SUM(Z253:AA253)=2,"Confirm_Sell","No_Action")</f>
        <v/>
      </c>
      <c r="Z253" s="15">
        <f>IF(H253&gt;I253,1,0)</f>
        <v/>
      </c>
      <c r="AA253" s="15">
        <f>IF(K253&lt;M253,1,0)</f>
        <v/>
      </c>
      <c r="AB253" s="15" t="n"/>
      <c r="AC253" s="15">
        <f>LEFT(AG253,2)&amp;LEFT(AI253,2)</f>
        <v/>
      </c>
      <c r="AD253" s="15" t="n"/>
      <c r="AE253" s="15">
        <f>IF(K253&gt;L253,1,0)</f>
        <v/>
      </c>
      <c r="AF253" s="16">
        <f>IF(H253&gt;I253,1,0)</f>
        <v/>
      </c>
      <c r="AG253" s="16">
        <f>IF(SUM(AE253:AF253)=2,"Anticipatory_Buy","No_Action")</f>
        <v/>
      </c>
      <c r="AH253" s="15" t="n"/>
      <c r="AI253" s="15">
        <f>IF(SUM(AJ253:AK253)=2,"Confirm_Buy","No_Action")</f>
        <v/>
      </c>
      <c r="AJ253" s="15">
        <f>IF(H253&gt;I253,1,0)</f>
        <v/>
      </c>
      <c r="AK253" s="15">
        <f>IF(K253&gt;M253,1,0)</f>
        <v/>
      </c>
    </row>
    <row r="254" ht="14.5" customHeight="1">
      <c r="A254" s="12" t="inlineStr">
        <is>
          <t>PRAKASH</t>
        </is>
      </c>
      <c r="B254" s="13">
        <f>IFERROR(__xludf.DUMMYFUNCTION("GOOGLEFINANCE(""NSE:""&amp;A254,""PRICE"")"),169.25)</f>
        <v/>
      </c>
      <c r="C254" s="13">
        <f>IFERROR(__xludf.DUMMYFUNCTION("GOOGLEFINANCE(""NSE:""&amp;A254,""PRICEOPEN"")"),171)</f>
        <v/>
      </c>
      <c r="D254" s="13">
        <f>IFERROR(__xludf.DUMMYFUNCTION("GOOGLEFINANCE(""NSE:""&amp;A254,""HIGH"")"),172.3)</f>
        <v/>
      </c>
      <c r="E254" s="13">
        <f>IFERROR(__xludf.DUMMYFUNCTION("GOOGLEFINANCE(""NSE:""&amp;A254,""LOW"")"),168.71)</f>
        <v/>
      </c>
      <c r="F254" s="13">
        <f>IFERROR(__xludf.DUMMYFUNCTION("GOOGLEFINANCE(""NSE:""&amp;A254,""closeyest"")"),170.89)</f>
        <v/>
      </c>
      <c r="G254" s="14">
        <f>(B254-C254)/B254</f>
        <v/>
      </c>
      <c r="H254" s="13">
        <f>IFERROR(__xludf.DUMMYFUNCTION("GOOGLEFINANCE(""NSE:""&amp;A254,""VOLUME"")"),772864)</f>
        <v/>
      </c>
      <c r="I254" s="13">
        <f>IFERROR(__xludf.DUMMYFUNCTION("AVERAGE(index(GOOGLEFINANCE(""NSE:""&amp;$A254, ""volume"", today()-21, today()-1), , 2))"),"#N/A")</f>
        <v/>
      </c>
      <c r="J254" s="14">
        <f>(H254-I254)/I254</f>
        <v/>
      </c>
      <c r="K254" s="13">
        <f>IFERROR(__xludf.DUMMYFUNCTION("AVERAGE(index(GOOGLEFINANCE(""NSE:""&amp;$A254, ""close"", today()-6, today()-1), , 2))"),"#N/A")</f>
        <v/>
      </c>
      <c r="L254" s="13">
        <f>IFERROR(__xludf.DUMMYFUNCTION("AVERAGE(index(GOOGLEFINANCE(""NSE:""&amp;$A254, ""close"", today()-14, today()-1), , 2))"),"#N/A")</f>
        <v/>
      </c>
      <c r="M254" s="13">
        <f>IFERROR(__xludf.DUMMYFUNCTION("AVERAGE(index(GOOGLEFINANCE(""NSE:""&amp;$A254, ""close"", today()-22, today()-1), , 2))"),"#N/A")</f>
        <v/>
      </c>
      <c r="N254" s="13">
        <f>AG254</f>
        <v/>
      </c>
      <c r="O254" s="13">
        <f>AI254</f>
        <v/>
      </c>
      <c r="P254" s="13">
        <f>W254</f>
        <v/>
      </c>
      <c r="Q254" s="13">
        <f>Y254</f>
        <v/>
      </c>
      <c r="R254" s="15" t="n"/>
      <c r="S254" s="15">
        <f>LEFT(W254,2)&amp;LEFT(Y254,2)</f>
        <v/>
      </c>
      <c r="T254" s="15" t="n"/>
      <c r="U254" s="15">
        <f>IF(K254&lt;L254,1,0)</f>
        <v/>
      </c>
      <c r="V254" s="15">
        <f>IF(H254&gt;I254,1,0)</f>
        <v/>
      </c>
      <c r="W254" s="15">
        <f>IF(SUM(U254:V254)=2,"Anticipatory_Sell","No_Action")</f>
        <v/>
      </c>
      <c r="X254" s="15" t="n"/>
      <c r="Y254" s="15">
        <f>IF(SUM(Z254:AA254)=2,"Confirm_Sell","No_Action")</f>
        <v/>
      </c>
      <c r="Z254" s="15">
        <f>IF(H254&gt;I254,1,0)</f>
        <v/>
      </c>
      <c r="AA254" s="15">
        <f>IF(K254&lt;M254,1,0)</f>
        <v/>
      </c>
      <c r="AB254" s="15" t="n"/>
      <c r="AC254" s="15">
        <f>LEFT(AG254,2)&amp;LEFT(AI254,2)</f>
        <v/>
      </c>
      <c r="AD254" s="15" t="n"/>
      <c r="AE254" s="15">
        <f>IF(K254&gt;L254,1,0)</f>
        <v/>
      </c>
      <c r="AF254" s="16">
        <f>IF(H254&gt;I254,1,0)</f>
        <v/>
      </c>
      <c r="AG254" s="16">
        <f>IF(SUM(AE254:AF254)=2,"Anticipatory_Buy","No_Action")</f>
        <v/>
      </c>
      <c r="AH254" s="15" t="n"/>
      <c r="AI254" s="15">
        <f>IF(SUM(AJ254:AK254)=2,"Confirm_Buy","No_Action")</f>
        <v/>
      </c>
      <c r="AJ254" s="15">
        <f>IF(H254&gt;I254,1,0)</f>
        <v/>
      </c>
      <c r="AK254" s="15">
        <f>IF(K254&gt;M254,1,0)</f>
        <v/>
      </c>
    </row>
    <row r="255" ht="14.5" customHeight="1">
      <c r="A255" s="12" t="inlineStr">
        <is>
          <t>PSPPROJECT</t>
        </is>
      </c>
      <c r="B255" s="13">
        <f>IFERROR(__xludf.DUMMYFUNCTION("GOOGLEFINANCE(""NSE:""&amp;A255,""PRICE"")"),673.4)</f>
        <v/>
      </c>
      <c r="C255" s="13">
        <f>IFERROR(__xludf.DUMMYFUNCTION("GOOGLEFINANCE(""NSE:""&amp;A255,""PRICEOPEN"")"),664.85)</f>
        <v/>
      </c>
      <c r="D255" s="13">
        <f>IFERROR(__xludf.DUMMYFUNCTION("GOOGLEFINANCE(""NSE:""&amp;A255,""HIGH"")"),680)</f>
        <v/>
      </c>
      <c r="E255" s="13">
        <f>IFERROR(__xludf.DUMMYFUNCTION("GOOGLEFINANCE(""NSE:""&amp;A255,""LOW"")"),662.55)</f>
        <v/>
      </c>
      <c r="F255" s="13">
        <f>IFERROR(__xludf.DUMMYFUNCTION("GOOGLEFINANCE(""NSE:""&amp;A255,""closeyest"")"),664.85)</f>
        <v/>
      </c>
      <c r="G255" s="14">
        <f>(B255-C255)/B255</f>
        <v/>
      </c>
      <c r="H255" s="13">
        <f>IFERROR(__xludf.DUMMYFUNCTION("GOOGLEFINANCE(""NSE:""&amp;A255,""VOLUME"")"),196093)</f>
        <v/>
      </c>
      <c r="I255" s="13">
        <f>IFERROR(__xludf.DUMMYFUNCTION("AVERAGE(index(GOOGLEFINANCE(""NSE:""&amp;$A255, ""volume"", today()-21, today()-1), , 2))"),"#N/A")</f>
        <v/>
      </c>
      <c r="J255" s="14">
        <f>(H255-I255)/I255</f>
        <v/>
      </c>
      <c r="K255" s="13">
        <f>IFERROR(__xludf.DUMMYFUNCTION("AVERAGE(index(GOOGLEFINANCE(""NSE:""&amp;$A255, ""close"", today()-6, today()-1), , 2))"),"#N/A")</f>
        <v/>
      </c>
      <c r="L255" s="13">
        <f>IFERROR(__xludf.DUMMYFUNCTION("AVERAGE(index(GOOGLEFINANCE(""NSE:""&amp;$A255, ""close"", today()-14, today()-1), , 2))"),"#N/A")</f>
        <v/>
      </c>
      <c r="M255" s="13">
        <f>IFERROR(__xludf.DUMMYFUNCTION("AVERAGE(index(GOOGLEFINANCE(""NSE:""&amp;$A255, ""close"", today()-22, today()-1), , 2))"),"#N/A")</f>
        <v/>
      </c>
      <c r="N255" s="13">
        <f>AG255</f>
        <v/>
      </c>
      <c r="O255" s="13">
        <f>AI255</f>
        <v/>
      </c>
      <c r="P255" s="13">
        <f>W255</f>
        <v/>
      </c>
      <c r="Q255" s="13">
        <f>Y255</f>
        <v/>
      </c>
      <c r="R255" s="15" t="n"/>
      <c r="S255" s="15">
        <f>LEFT(W255,2)&amp;LEFT(Y255,2)</f>
        <v/>
      </c>
      <c r="T255" s="15" t="n"/>
      <c r="U255" s="15">
        <f>IF(K255&lt;L255,1,0)</f>
        <v/>
      </c>
      <c r="V255" s="15">
        <f>IF(H255&gt;I255,1,0)</f>
        <v/>
      </c>
      <c r="W255" s="15">
        <f>IF(SUM(U255:V255)=2,"Anticipatory_Sell","No_Action")</f>
        <v/>
      </c>
      <c r="X255" s="15" t="n"/>
      <c r="Y255" s="15">
        <f>IF(SUM(Z255:AA255)=2,"Confirm_Sell","No_Action")</f>
        <v/>
      </c>
      <c r="Z255" s="15">
        <f>IF(H255&gt;I255,1,0)</f>
        <v/>
      </c>
      <c r="AA255" s="15">
        <f>IF(K255&lt;M255,1,0)</f>
        <v/>
      </c>
      <c r="AB255" s="15" t="n"/>
      <c r="AC255" s="15">
        <f>LEFT(AG255,2)&amp;LEFT(AI255,2)</f>
        <v/>
      </c>
      <c r="AD255" s="15" t="n"/>
      <c r="AE255" s="15">
        <f>IF(K255&gt;L255,1,0)</f>
        <v/>
      </c>
      <c r="AF255" s="16">
        <f>IF(H255&gt;I255,1,0)</f>
        <v/>
      </c>
      <c r="AG255" s="16">
        <f>IF(SUM(AE255:AF255)=2,"Anticipatory_Buy","No_Action")</f>
        <v/>
      </c>
      <c r="AH255" s="15" t="n"/>
      <c r="AI255" s="15">
        <f>IF(SUM(AJ255:AK255)=2,"Confirm_Buy","No_Action")</f>
        <v/>
      </c>
      <c r="AJ255" s="15">
        <f>IF(H255&gt;I255,1,0)</f>
        <v/>
      </c>
      <c r="AK255" s="15">
        <f>IF(K255&gt;M255,1,0)</f>
        <v/>
      </c>
    </row>
    <row r="256" ht="14.5" customHeight="1">
      <c r="A256" s="12" t="inlineStr">
        <is>
          <t>PUNJABCHEM</t>
        </is>
      </c>
      <c r="B256" s="13">
        <f>IFERROR(__xludf.DUMMYFUNCTION("GOOGLEFINANCE(""NSE:""&amp;A256,""PRICE"")"),1063)</f>
        <v/>
      </c>
      <c r="C256" s="13">
        <f>IFERROR(__xludf.DUMMYFUNCTION("GOOGLEFINANCE(""NSE:""&amp;A256,""PRICEOPEN"")"),1003.2)</f>
        <v/>
      </c>
      <c r="D256" s="13">
        <f>IFERROR(__xludf.DUMMYFUNCTION("GOOGLEFINANCE(""NSE:""&amp;A256,""HIGH"")"),1080)</f>
        <v/>
      </c>
      <c r="E256" s="13">
        <f>IFERROR(__xludf.DUMMYFUNCTION("GOOGLEFINANCE(""NSE:""&amp;A256,""LOW"")"),1003.2)</f>
        <v/>
      </c>
      <c r="F256" s="13">
        <f>IFERROR(__xludf.DUMMYFUNCTION("GOOGLEFINANCE(""NSE:""&amp;A256,""closeyest"")"),1017.1)</f>
        <v/>
      </c>
      <c r="G256" s="14">
        <f>(B256-C256)/B256</f>
        <v/>
      </c>
      <c r="H256" s="13">
        <f>IFERROR(__xludf.DUMMYFUNCTION("GOOGLEFINANCE(""NSE:""&amp;A256,""VOLUME"")"),12210)</f>
        <v/>
      </c>
      <c r="I256" s="13">
        <f>IFERROR(__xludf.DUMMYFUNCTION("AVERAGE(index(GOOGLEFINANCE(""NSE:""&amp;$A256, ""volume"", today()-21, today()-1), , 2))"),"#N/A")</f>
        <v/>
      </c>
      <c r="J256" s="14">
        <f>(H256-I256)/I256</f>
        <v/>
      </c>
      <c r="K256" s="13">
        <f>IFERROR(__xludf.DUMMYFUNCTION("AVERAGE(index(GOOGLEFINANCE(""NSE:""&amp;$A256, ""close"", today()-6, today()-1), , 2))"),"#N/A")</f>
        <v/>
      </c>
      <c r="L256" s="13">
        <f>IFERROR(__xludf.DUMMYFUNCTION("AVERAGE(index(GOOGLEFINANCE(""NSE:""&amp;$A256, ""close"", today()-14, today()-1), , 2))"),"#N/A")</f>
        <v/>
      </c>
      <c r="M256" s="13">
        <f>IFERROR(__xludf.DUMMYFUNCTION("AVERAGE(index(GOOGLEFINANCE(""NSE:""&amp;$A256, ""close"", today()-22, today()-1), , 2))"),"#N/A")</f>
        <v/>
      </c>
      <c r="N256" s="13">
        <f>AG256</f>
        <v/>
      </c>
      <c r="O256" s="13">
        <f>AI256</f>
        <v/>
      </c>
      <c r="P256" s="13">
        <f>W256</f>
        <v/>
      </c>
      <c r="Q256" s="13">
        <f>Y256</f>
        <v/>
      </c>
      <c r="R256" s="15" t="n"/>
      <c r="S256" s="15">
        <f>LEFT(W256,2)&amp;LEFT(Y256,2)</f>
        <v/>
      </c>
      <c r="T256" s="15" t="n"/>
      <c r="U256" s="15">
        <f>IF(K256&lt;L256,1,0)</f>
        <v/>
      </c>
      <c r="V256" s="15">
        <f>IF(H256&gt;I256,1,0)</f>
        <v/>
      </c>
      <c r="W256" s="15">
        <f>IF(SUM(U256:V256)=2,"Anticipatory_Sell","No_Action")</f>
        <v/>
      </c>
      <c r="X256" s="15" t="n"/>
      <c r="Y256" s="15">
        <f>IF(SUM(Z256:AA256)=2,"Confirm_Sell","No_Action")</f>
        <v/>
      </c>
      <c r="Z256" s="15">
        <f>IF(H256&gt;I256,1,0)</f>
        <v/>
      </c>
      <c r="AA256" s="15">
        <f>IF(K256&lt;M256,1,0)</f>
        <v/>
      </c>
      <c r="AB256" s="15" t="n"/>
      <c r="AC256" s="15">
        <f>LEFT(AG256,2)&amp;LEFT(AI256,2)</f>
        <v/>
      </c>
      <c r="AD256" s="15" t="n"/>
      <c r="AE256" s="15">
        <f>IF(K256&gt;L256,1,0)</f>
        <v/>
      </c>
      <c r="AF256" s="16">
        <f>IF(H256&gt;I256,1,0)</f>
        <v/>
      </c>
      <c r="AG256" s="16">
        <f>IF(SUM(AE256:AF256)=2,"Anticipatory_Buy","No_Action")</f>
        <v/>
      </c>
      <c r="AH256" s="15" t="n"/>
      <c r="AI256" s="15">
        <f>IF(SUM(AJ256:AK256)=2,"Confirm_Buy","No_Action")</f>
        <v/>
      </c>
      <c r="AJ256" s="15">
        <f>IF(H256&gt;I256,1,0)</f>
        <v/>
      </c>
      <c r="AK256" s="15">
        <f>IF(K256&gt;M256,1,0)</f>
        <v/>
      </c>
    </row>
    <row r="257" ht="14.5" customHeight="1">
      <c r="A257" s="12" t="inlineStr">
        <is>
          <t>RPEL</t>
        </is>
      </c>
      <c r="B257" s="13">
        <f>IFERROR(__xludf.DUMMYFUNCTION("GOOGLEFINANCE(""NSE:""&amp;A257,""PRICE"")"),724)</f>
        <v/>
      </c>
      <c r="C257" s="13">
        <f>IFERROR(__xludf.DUMMYFUNCTION("GOOGLEFINANCE(""NSE:""&amp;A257,""PRICEOPEN"")"),722.1)</f>
        <v/>
      </c>
      <c r="D257" s="13">
        <f>IFERROR(__xludf.DUMMYFUNCTION("GOOGLEFINANCE(""NSE:""&amp;A257,""HIGH"")"),739.45)</f>
        <v/>
      </c>
      <c r="E257" s="13">
        <f>IFERROR(__xludf.DUMMYFUNCTION("GOOGLEFINANCE(""NSE:""&amp;A257,""LOW"")"),715)</f>
        <v/>
      </c>
      <c r="F257" s="13">
        <f>IFERROR(__xludf.DUMMYFUNCTION("GOOGLEFINANCE(""NSE:""&amp;A257,""closeyest"")"),725.3)</f>
        <v/>
      </c>
      <c r="G257" s="14">
        <f>(B257-C257)/B257</f>
        <v/>
      </c>
      <c r="H257" s="13">
        <f>IFERROR(__xludf.DUMMYFUNCTION("GOOGLEFINANCE(""NSE:""&amp;A257,""VOLUME"")"),50177)</f>
        <v/>
      </c>
      <c r="I257" s="13">
        <f>IFERROR(__xludf.DUMMYFUNCTION("AVERAGE(index(GOOGLEFINANCE(""NSE:""&amp;$A257, ""volume"", today()-21, today()-1), , 2))"),"#N/A")</f>
        <v/>
      </c>
      <c r="J257" s="14">
        <f>(H257-I257)/I257</f>
        <v/>
      </c>
      <c r="K257" s="13">
        <f>IFERROR(__xludf.DUMMYFUNCTION("AVERAGE(index(GOOGLEFINANCE(""NSE:""&amp;$A257, ""close"", today()-6, today()-1), , 2))"),"#N/A")</f>
        <v/>
      </c>
      <c r="L257" s="13">
        <f>IFERROR(__xludf.DUMMYFUNCTION("AVERAGE(index(GOOGLEFINANCE(""NSE:""&amp;$A257, ""close"", today()-14, today()-1), , 2))"),"#N/A")</f>
        <v/>
      </c>
      <c r="M257" s="13">
        <f>IFERROR(__xludf.DUMMYFUNCTION("AVERAGE(index(GOOGLEFINANCE(""NSE:""&amp;$A257, ""close"", today()-22, today()-1), , 2))"),"#N/A")</f>
        <v/>
      </c>
      <c r="N257" s="13">
        <f>AG257</f>
        <v/>
      </c>
      <c r="O257" s="13">
        <f>AI257</f>
        <v/>
      </c>
      <c r="P257" s="13">
        <f>W257</f>
        <v/>
      </c>
      <c r="Q257" s="13">
        <f>Y257</f>
        <v/>
      </c>
      <c r="R257" s="15" t="n"/>
      <c r="S257" s="15">
        <f>LEFT(W257,2)&amp;LEFT(Y257,2)</f>
        <v/>
      </c>
      <c r="T257" s="15" t="n"/>
      <c r="U257" s="15">
        <f>IF(K257&lt;L257,1,0)</f>
        <v/>
      </c>
      <c r="V257" s="15">
        <f>IF(H257&gt;I257,1,0)</f>
        <v/>
      </c>
      <c r="W257" s="15">
        <f>IF(SUM(U257:V257)=2,"Anticipatory_Sell","No_Action")</f>
        <v/>
      </c>
      <c r="X257" s="15" t="n"/>
      <c r="Y257" s="15">
        <f>IF(SUM(Z257:AA257)=2,"Confirm_Sell","No_Action")</f>
        <v/>
      </c>
      <c r="Z257" s="15">
        <f>IF(H257&gt;I257,1,0)</f>
        <v/>
      </c>
      <c r="AA257" s="15">
        <f>IF(K257&lt;M257,1,0)</f>
        <v/>
      </c>
      <c r="AB257" s="15" t="n"/>
      <c r="AC257" s="15">
        <f>LEFT(AG257,2)&amp;LEFT(AI257,2)</f>
        <v/>
      </c>
      <c r="AD257" s="15" t="n"/>
      <c r="AE257" s="15">
        <f>IF(K257&gt;L257,1,0)</f>
        <v/>
      </c>
      <c r="AF257" s="16">
        <f>IF(H257&gt;I257,1,0)</f>
        <v/>
      </c>
      <c r="AG257" s="16">
        <f>IF(SUM(AE257:AF257)=2,"Anticipatory_Buy","No_Action")</f>
        <v/>
      </c>
      <c r="AH257" s="15" t="n"/>
      <c r="AI257" s="15">
        <f>IF(SUM(AJ257:AK257)=2,"Confirm_Buy","No_Action")</f>
        <v/>
      </c>
      <c r="AJ257" s="15">
        <f>IF(H257&gt;I257,1,0)</f>
        <v/>
      </c>
      <c r="AK257" s="15">
        <f>IF(K257&gt;M257,1,0)</f>
        <v/>
      </c>
    </row>
    <row r="258" ht="14.5" customHeight="1">
      <c r="A258" s="12" t="inlineStr">
        <is>
          <t>RAILTEL</t>
        </is>
      </c>
      <c r="B258" s="13">
        <f>IFERROR(__xludf.DUMMYFUNCTION("GOOGLEFINANCE(""NSE:""&amp;A258,""PRICE"")"),440.55)</f>
        <v/>
      </c>
      <c r="C258" s="13">
        <f>IFERROR(__xludf.DUMMYFUNCTION("GOOGLEFINANCE(""NSE:""&amp;A258,""PRICEOPEN"")"),438.65)</f>
        <v/>
      </c>
      <c r="D258" s="13">
        <f>IFERROR(__xludf.DUMMYFUNCTION("GOOGLEFINANCE(""NSE:""&amp;A258,""HIGH"")"),444.9)</f>
        <v/>
      </c>
      <c r="E258" s="13">
        <f>IFERROR(__xludf.DUMMYFUNCTION("GOOGLEFINANCE(""NSE:""&amp;A258,""LOW"")"),436.65)</f>
        <v/>
      </c>
      <c r="F258" s="13">
        <f>IFERROR(__xludf.DUMMYFUNCTION("GOOGLEFINANCE(""NSE:""&amp;A258,""closeyest"")"),435.85)</f>
        <v/>
      </c>
      <c r="G258" s="14">
        <f>(B258-C258)/B258</f>
        <v/>
      </c>
      <c r="H258" s="13">
        <f>IFERROR(__xludf.DUMMYFUNCTION("GOOGLEFINANCE(""NSE:""&amp;A258,""VOLUME"")"),2964318)</f>
        <v/>
      </c>
      <c r="I258" s="13">
        <f>IFERROR(__xludf.DUMMYFUNCTION("AVERAGE(index(GOOGLEFINANCE(""NSE:""&amp;$A258, ""volume"", today()-21, today()-1), , 2))"),"#N/A")</f>
        <v/>
      </c>
      <c r="J258" s="14">
        <f>(H258-I258)/I258</f>
        <v/>
      </c>
      <c r="K258" s="13">
        <f>IFERROR(__xludf.DUMMYFUNCTION("AVERAGE(index(GOOGLEFINANCE(""NSE:""&amp;$A258, ""close"", today()-6, today()-1), , 2))"),"#N/A")</f>
        <v/>
      </c>
      <c r="L258" s="13">
        <f>IFERROR(__xludf.DUMMYFUNCTION("AVERAGE(index(GOOGLEFINANCE(""NSE:""&amp;$A258, ""close"", today()-14, today()-1), , 2))"),"#N/A")</f>
        <v/>
      </c>
      <c r="M258" s="13">
        <f>IFERROR(__xludf.DUMMYFUNCTION("AVERAGE(index(GOOGLEFINANCE(""NSE:""&amp;$A258, ""close"", today()-22, today()-1), , 2))"),"#N/A")</f>
        <v/>
      </c>
      <c r="N258" s="13">
        <f>AG258</f>
        <v/>
      </c>
      <c r="O258" s="13">
        <f>AI258</f>
        <v/>
      </c>
      <c r="P258" s="13">
        <f>W258</f>
        <v/>
      </c>
      <c r="Q258" s="13">
        <f>Y258</f>
        <v/>
      </c>
      <c r="R258" s="15" t="n"/>
      <c r="S258" s="15">
        <f>LEFT(W258,2)&amp;LEFT(Y258,2)</f>
        <v/>
      </c>
      <c r="T258" s="15" t="n"/>
      <c r="U258" s="15">
        <f>IF(K258&lt;L258,1,0)</f>
        <v/>
      </c>
      <c r="V258" s="15">
        <f>IF(H258&gt;I258,1,0)</f>
        <v/>
      </c>
      <c r="W258" s="15">
        <f>IF(SUM(U258:V258)=2,"Anticipatory_Sell","No_Action")</f>
        <v/>
      </c>
      <c r="X258" s="15" t="n"/>
      <c r="Y258" s="15">
        <f>IF(SUM(Z258:AA258)=2,"Confirm_Sell","No_Action")</f>
        <v/>
      </c>
      <c r="Z258" s="15">
        <f>IF(H258&gt;I258,1,0)</f>
        <v/>
      </c>
      <c r="AA258" s="15">
        <f>IF(K258&lt;M258,1,0)</f>
        <v/>
      </c>
      <c r="AB258" s="15" t="n"/>
      <c r="AC258" s="15">
        <f>LEFT(AG258,2)&amp;LEFT(AI258,2)</f>
        <v/>
      </c>
      <c r="AD258" s="15" t="n"/>
      <c r="AE258" s="15">
        <f>IF(K258&gt;L258,1,0)</f>
        <v/>
      </c>
      <c r="AF258" s="16">
        <f>IF(H258&gt;I258,1,0)</f>
        <v/>
      </c>
      <c r="AG258" s="16">
        <f>IF(SUM(AE258:AF258)=2,"Anticipatory_Buy","No_Action")</f>
        <v/>
      </c>
      <c r="AH258" s="15" t="n"/>
      <c r="AI258" s="15">
        <f>IF(SUM(AJ258:AK258)=2,"Confirm_Buy","No_Action")</f>
        <v/>
      </c>
      <c r="AJ258" s="15">
        <f>IF(H258&gt;I258,1,0)</f>
        <v/>
      </c>
      <c r="AK258" s="15">
        <f>IF(K258&gt;M258,1,0)</f>
        <v/>
      </c>
    </row>
    <row r="259" ht="14.5" customHeight="1">
      <c r="A259" s="12" t="inlineStr">
        <is>
          <t>RAINBOW</t>
        </is>
      </c>
      <c r="B259" s="13">
        <f>IFERROR(__xludf.DUMMYFUNCTION("GOOGLEFINANCE(""NSE:""&amp;A259,""PRICE"")"),1668.95)</f>
        <v/>
      </c>
      <c r="C259" s="13">
        <f>IFERROR(__xludf.DUMMYFUNCTION("GOOGLEFINANCE(""NSE:""&amp;A259,""PRICEOPEN"")"),1649.8)</f>
        <v/>
      </c>
      <c r="D259" s="13">
        <f>IFERROR(__xludf.DUMMYFUNCTION("GOOGLEFINANCE(""NSE:""&amp;A259,""HIGH"")"),1680)</f>
        <v/>
      </c>
      <c r="E259" s="13">
        <f>IFERROR(__xludf.DUMMYFUNCTION("GOOGLEFINANCE(""NSE:""&amp;A259,""LOW"")"),1628)</f>
        <v/>
      </c>
      <c r="F259" s="13">
        <f>IFERROR(__xludf.DUMMYFUNCTION("GOOGLEFINANCE(""NSE:""&amp;A259,""closeyest"")"),1642.95)</f>
        <v/>
      </c>
      <c r="G259" s="14">
        <f>(B259-C259)/B259</f>
        <v/>
      </c>
      <c r="H259" s="13">
        <f>IFERROR(__xludf.DUMMYFUNCTION("GOOGLEFINANCE(""NSE:""&amp;A259,""VOLUME"")"),131214)</f>
        <v/>
      </c>
      <c r="I259" s="13">
        <f>IFERROR(__xludf.DUMMYFUNCTION("AVERAGE(index(GOOGLEFINANCE(""NSE:""&amp;$A259, ""volume"", today()-21, today()-1), , 2))"),"#N/A")</f>
        <v/>
      </c>
      <c r="J259" s="14">
        <f>(H259-I259)/I259</f>
        <v/>
      </c>
      <c r="K259" s="13">
        <f>IFERROR(__xludf.DUMMYFUNCTION("AVERAGE(index(GOOGLEFINANCE(""NSE:""&amp;$A259, ""close"", today()-6, today()-1), , 2))"),"#N/A")</f>
        <v/>
      </c>
      <c r="L259" s="13">
        <f>IFERROR(__xludf.DUMMYFUNCTION("AVERAGE(index(GOOGLEFINANCE(""NSE:""&amp;$A259, ""close"", today()-14, today()-1), , 2))"),"#N/A")</f>
        <v/>
      </c>
      <c r="M259" s="13">
        <f>IFERROR(__xludf.DUMMYFUNCTION("AVERAGE(index(GOOGLEFINANCE(""NSE:""&amp;$A259, ""close"", today()-22, today()-1), , 2))"),"#N/A")</f>
        <v/>
      </c>
      <c r="N259" s="13">
        <f>AG259</f>
        <v/>
      </c>
      <c r="O259" s="13">
        <f>AI259</f>
        <v/>
      </c>
      <c r="P259" s="13">
        <f>W259</f>
        <v/>
      </c>
      <c r="Q259" s="13">
        <f>Y259</f>
        <v/>
      </c>
      <c r="R259" s="15" t="n"/>
      <c r="S259" s="15">
        <f>LEFT(W259,2)&amp;LEFT(Y259,2)</f>
        <v/>
      </c>
      <c r="T259" s="15" t="n"/>
      <c r="U259" s="15">
        <f>IF(K259&lt;L259,1,0)</f>
        <v/>
      </c>
      <c r="V259" s="15">
        <f>IF(H259&gt;I259,1,0)</f>
        <v/>
      </c>
      <c r="W259" s="15">
        <f>IF(SUM(U259:V259)=2,"Anticipatory_Sell","No_Action")</f>
        <v/>
      </c>
      <c r="X259" s="15" t="n"/>
      <c r="Y259" s="15">
        <f>IF(SUM(Z259:AA259)=2,"Confirm_Sell","No_Action")</f>
        <v/>
      </c>
      <c r="Z259" s="15">
        <f>IF(H259&gt;I259,1,0)</f>
        <v/>
      </c>
      <c r="AA259" s="15">
        <f>IF(K259&lt;M259,1,0)</f>
        <v/>
      </c>
      <c r="AB259" s="15" t="n"/>
      <c r="AC259" s="15">
        <f>LEFT(AG259,2)&amp;LEFT(AI259,2)</f>
        <v/>
      </c>
      <c r="AD259" s="15" t="n"/>
      <c r="AE259" s="15">
        <f>IF(K259&gt;L259,1,0)</f>
        <v/>
      </c>
      <c r="AF259" s="16">
        <f>IF(H259&gt;I259,1,0)</f>
        <v/>
      </c>
      <c r="AG259" s="16">
        <f>IF(SUM(AE259:AF259)=2,"Anticipatory_Buy","No_Action")</f>
        <v/>
      </c>
      <c r="AH259" s="15" t="n"/>
      <c r="AI259" s="15">
        <f>IF(SUM(AJ259:AK259)=2,"Confirm_Buy","No_Action")</f>
        <v/>
      </c>
      <c r="AJ259" s="15">
        <f>IF(H259&gt;I259,1,0)</f>
        <v/>
      </c>
      <c r="AK259" s="15">
        <f>IF(K259&gt;M259,1,0)</f>
        <v/>
      </c>
    </row>
    <row r="260" ht="14.5" customHeight="1">
      <c r="A260" s="12" t="inlineStr">
        <is>
          <t>RKFORGE</t>
        </is>
      </c>
      <c r="B260" s="13">
        <f>IFERROR(__xludf.DUMMYFUNCTION("GOOGLEFINANCE(""NSE:""&amp;A260,""PRICE"")"),973)</f>
        <v/>
      </c>
      <c r="C260" s="13">
        <f>IFERROR(__xludf.DUMMYFUNCTION("GOOGLEFINANCE(""NSE:""&amp;A260,""PRICEOPEN"")"),965)</f>
        <v/>
      </c>
      <c r="D260" s="13">
        <f>IFERROR(__xludf.DUMMYFUNCTION("GOOGLEFINANCE(""NSE:""&amp;A260,""HIGH"")"),993.9)</f>
        <v/>
      </c>
      <c r="E260" s="13">
        <f>IFERROR(__xludf.DUMMYFUNCTION("GOOGLEFINANCE(""NSE:""&amp;A260,""LOW"")"),962)</f>
        <v/>
      </c>
      <c r="F260" s="13">
        <f>IFERROR(__xludf.DUMMYFUNCTION("GOOGLEFINANCE(""NSE:""&amp;A260,""closeyest"")"),968.7)</f>
        <v/>
      </c>
      <c r="G260" s="14">
        <f>(B260-C260)/B260</f>
        <v/>
      </c>
      <c r="H260" s="13">
        <f>IFERROR(__xludf.DUMMYFUNCTION("GOOGLEFINANCE(""NSE:""&amp;A260,""VOLUME"")"),648309)</f>
        <v/>
      </c>
      <c r="I260" s="13">
        <f>IFERROR(__xludf.DUMMYFUNCTION("AVERAGE(index(GOOGLEFINANCE(""NSE:""&amp;$A260, ""volume"", today()-21, today()-1), , 2))"),"#N/A")</f>
        <v/>
      </c>
      <c r="J260" s="14">
        <f>(H260-I260)/I260</f>
        <v/>
      </c>
      <c r="K260" s="13">
        <f>IFERROR(__xludf.DUMMYFUNCTION("AVERAGE(index(GOOGLEFINANCE(""NSE:""&amp;$A260, ""close"", today()-6, today()-1), , 2))"),"#N/A")</f>
        <v/>
      </c>
      <c r="L260" s="13">
        <f>IFERROR(__xludf.DUMMYFUNCTION("AVERAGE(index(GOOGLEFINANCE(""NSE:""&amp;$A260, ""close"", today()-14, today()-1), , 2))"),"#N/A")</f>
        <v/>
      </c>
      <c r="M260" s="13">
        <f>IFERROR(__xludf.DUMMYFUNCTION("AVERAGE(index(GOOGLEFINANCE(""NSE:""&amp;$A260, ""close"", today()-22, today()-1), , 2))"),"#N/A")</f>
        <v/>
      </c>
      <c r="N260" s="13">
        <f>AG260</f>
        <v/>
      </c>
      <c r="O260" s="13">
        <f>AI260</f>
        <v/>
      </c>
      <c r="P260" s="13">
        <f>W260</f>
        <v/>
      </c>
      <c r="Q260" s="13">
        <f>Y260</f>
        <v/>
      </c>
      <c r="R260" s="15" t="n"/>
      <c r="S260" s="15">
        <f>LEFT(W260,2)&amp;LEFT(Y260,2)</f>
        <v/>
      </c>
      <c r="T260" s="15" t="n"/>
      <c r="U260" s="15">
        <f>IF(K260&lt;L260,1,0)</f>
        <v/>
      </c>
      <c r="V260" s="15">
        <f>IF(H260&gt;I260,1,0)</f>
        <v/>
      </c>
      <c r="W260" s="15">
        <f>IF(SUM(U260:V260)=2,"Anticipatory_Sell","No_Action")</f>
        <v/>
      </c>
      <c r="X260" s="15" t="n"/>
      <c r="Y260" s="15">
        <f>IF(SUM(Z260:AA260)=2,"Confirm_Sell","No_Action")</f>
        <v/>
      </c>
      <c r="Z260" s="15">
        <f>IF(H260&gt;I260,1,0)</f>
        <v/>
      </c>
      <c r="AA260" s="15">
        <f>IF(K260&lt;M260,1,0)</f>
        <v/>
      </c>
      <c r="AB260" s="15" t="n"/>
      <c r="AC260" s="15">
        <f>LEFT(AG260,2)&amp;LEFT(AI260,2)</f>
        <v/>
      </c>
      <c r="AD260" s="15" t="n"/>
      <c r="AE260" s="15">
        <f>IF(K260&gt;L260,1,0)</f>
        <v/>
      </c>
      <c r="AF260" s="16">
        <f>IF(H260&gt;I260,1,0)</f>
        <v/>
      </c>
      <c r="AG260" s="16">
        <f>IF(SUM(AE260:AF260)=2,"Anticipatory_Buy","No_Action")</f>
        <v/>
      </c>
      <c r="AH260" s="15" t="n"/>
      <c r="AI260" s="15">
        <f>IF(SUM(AJ260:AK260)=2,"Confirm_Buy","No_Action")</f>
        <v/>
      </c>
      <c r="AJ260" s="15">
        <f>IF(H260&gt;I260,1,0)</f>
        <v/>
      </c>
      <c r="AK260" s="15">
        <f>IF(K260&gt;M260,1,0)</f>
        <v/>
      </c>
    </row>
    <row r="261" ht="14.5" customHeight="1">
      <c r="A261" s="12" t="inlineStr">
        <is>
          <t>RAMKY</t>
        </is>
      </c>
      <c r="B261" s="13">
        <f>IFERROR(__xludf.DUMMYFUNCTION("GOOGLEFINANCE(""NSE:""&amp;A261,""PRICE"")"),658)</f>
        <v/>
      </c>
      <c r="C261" s="13">
        <f>IFERROR(__xludf.DUMMYFUNCTION("GOOGLEFINANCE(""NSE:""&amp;A261,""PRICEOPEN"")"),656)</f>
        <v/>
      </c>
      <c r="D261" s="13">
        <f>IFERROR(__xludf.DUMMYFUNCTION("GOOGLEFINANCE(""NSE:""&amp;A261,""HIGH"")"),693.2)</f>
        <v/>
      </c>
      <c r="E261" s="13">
        <f>IFERROR(__xludf.DUMMYFUNCTION("GOOGLEFINANCE(""NSE:""&amp;A261,""LOW"")"),650.45)</f>
        <v/>
      </c>
      <c r="F261" s="13">
        <f>IFERROR(__xludf.DUMMYFUNCTION("GOOGLEFINANCE(""NSE:""&amp;A261,""closeyest"")"),663)</f>
        <v/>
      </c>
      <c r="G261" s="14">
        <f>(B261-C261)/B261</f>
        <v/>
      </c>
      <c r="H261" s="13">
        <f>IFERROR(__xludf.DUMMYFUNCTION("GOOGLEFINANCE(""NSE:""&amp;A261,""VOLUME"")"),199316)</f>
        <v/>
      </c>
      <c r="I261" s="13">
        <f>IFERROR(__xludf.DUMMYFUNCTION("AVERAGE(index(GOOGLEFINANCE(""NSE:""&amp;$A261, ""volume"", today()-21, today()-1), , 2))"),"#N/A")</f>
        <v/>
      </c>
      <c r="J261" s="14">
        <f>(H261-I261)/I261</f>
        <v/>
      </c>
      <c r="K261" s="13">
        <f>IFERROR(__xludf.DUMMYFUNCTION("AVERAGE(index(GOOGLEFINANCE(""NSE:""&amp;$A261, ""close"", today()-6, today()-1), , 2))"),"#N/A")</f>
        <v/>
      </c>
      <c r="L261" s="13">
        <f>IFERROR(__xludf.DUMMYFUNCTION("AVERAGE(index(GOOGLEFINANCE(""NSE:""&amp;$A261, ""close"", today()-14, today()-1), , 2))"),"#N/A")</f>
        <v/>
      </c>
      <c r="M261" s="13">
        <f>IFERROR(__xludf.DUMMYFUNCTION("AVERAGE(index(GOOGLEFINANCE(""NSE:""&amp;$A261, ""close"", today()-22, today()-1), , 2))"),"#N/A")</f>
        <v/>
      </c>
      <c r="N261" s="13">
        <f>AG261</f>
        <v/>
      </c>
      <c r="O261" s="13">
        <f>AI261</f>
        <v/>
      </c>
      <c r="P261" s="13">
        <f>W261</f>
        <v/>
      </c>
      <c r="Q261" s="13">
        <f>Y261</f>
        <v/>
      </c>
      <c r="R261" s="15" t="n"/>
      <c r="S261" s="15">
        <f>LEFT(W261,2)&amp;LEFT(Y261,2)</f>
        <v/>
      </c>
      <c r="T261" s="15" t="n"/>
      <c r="U261" s="15">
        <f>IF(K261&lt;L261,1,0)</f>
        <v/>
      </c>
      <c r="V261" s="15">
        <f>IF(H261&gt;I261,1,0)</f>
        <v/>
      </c>
      <c r="W261" s="15">
        <f>IF(SUM(U261:V261)=2,"Anticipatory_Sell","No_Action")</f>
        <v/>
      </c>
      <c r="X261" s="15" t="n"/>
      <c r="Y261" s="15">
        <f>IF(SUM(Z261:AA261)=2,"Confirm_Sell","No_Action")</f>
        <v/>
      </c>
      <c r="Z261" s="15">
        <f>IF(H261&gt;I261,1,0)</f>
        <v/>
      </c>
      <c r="AA261" s="15">
        <f>IF(K261&lt;M261,1,0)</f>
        <v/>
      </c>
      <c r="AB261" s="15" t="n"/>
      <c r="AC261" s="15">
        <f>LEFT(AG261,2)&amp;LEFT(AI261,2)</f>
        <v/>
      </c>
      <c r="AD261" s="15" t="n"/>
      <c r="AE261" s="15">
        <f>IF(K261&gt;L261,1,0)</f>
        <v/>
      </c>
      <c r="AF261" s="16">
        <f>IF(H261&gt;I261,1,0)</f>
        <v/>
      </c>
      <c r="AG261" s="16">
        <f>IF(SUM(AE261:AF261)=2,"Anticipatory_Buy","No_Action")</f>
        <v/>
      </c>
      <c r="AH261" s="15" t="n"/>
      <c r="AI261" s="15">
        <f>IF(SUM(AJ261:AK261)=2,"Confirm_Buy","No_Action")</f>
        <v/>
      </c>
      <c r="AJ261" s="15">
        <f>IF(H261&gt;I261,1,0)</f>
        <v/>
      </c>
      <c r="AK261" s="15">
        <f>IF(K261&gt;M261,1,0)</f>
        <v/>
      </c>
    </row>
    <row r="262" ht="14.5" customHeight="1">
      <c r="A262" s="12" t="inlineStr">
        <is>
          <t>RATNAMANI</t>
        </is>
      </c>
      <c r="B262" s="13">
        <f>IFERROR(__xludf.DUMMYFUNCTION("GOOGLEFINANCE(""NSE:""&amp;A262,""PRICE"")"),3409)</f>
        <v/>
      </c>
      <c r="C262" s="13">
        <f>IFERROR(__xludf.DUMMYFUNCTION("GOOGLEFINANCE(""NSE:""&amp;A262,""PRICEOPEN"")"),3326)</f>
        <v/>
      </c>
      <c r="D262" s="13">
        <f>IFERROR(__xludf.DUMMYFUNCTION("GOOGLEFINANCE(""NSE:""&amp;A262,""HIGH"")"),3430.5)</f>
        <v/>
      </c>
      <c r="E262" s="13">
        <f>IFERROR(__xludf.DUMMYFUNCTION("GOOGLEFINANCE(""NSE:""&amp;A262,""LOW"")"),3320)</f>
        <v/>
      </c>
      <c r="F262" s="13">
        <f>IFERROR(__xludf.DUMMYFUNCTION("GOOGLEFINANCE(""NSE:""&amp;A262,""closeyest"")"),3344.3)</f>
        <v/>
      </c>
      <c r="G262" s="14">
        <f>(B262-C262)/B262</f>
        <v/>
      </c>
      <c r="H262" s="13">
        <f>IFERROR(__xludf.DUMMYFUNCTION("GOOGLEFINANCE(""NSE:""&amp;A262,""VOLUME"")"),31916)</f>
        <v/>
      </c>
      <c r="I262" s="13">
        <f>IFERROR(__xludf.DUMMYFUNCTION("AVERAGE(index(GOOGLEFINANCE(""NSE:""&amp;$A262, ""volume"", today()-21, today()-1), , 2))"),"#N/A")</f>
        <v/>
      </c>
      <c r="J262" s="14">
        <f>(H262-I262)/I262</f>
        <v/>
      </c>
      <c r="K262" s="13">
        <f>IFERROR(__xludf.DUMMYFUNCTION("AVERAGE(index(GOOGLEFINANCE(""NSE:""&amp;$A262, ""close"", today()-6, today()-1), , 2))"),"#N/A")</f>
        <v/>
      </c>
      <c r="L262" s="13">
        <f>IFERROR(__xludf.DUMMYFUNCTION("AVERAGE(index(GOOGLEFINANCE(""NSE:""&amp;$A262, ""close"", today()-14, today()-1), , 2))"),"#N/A")</f>
        <v/>
      </c>
      <c r="M262" s="13">
        <f>IFERROR(__xludf.DUMMYFUNCTION("AVERAGE(index(GOOGLEFINANCE(""NSE:""&amp;$A262, ""close"", today()-22, today()-1), , 2))"),"#N/A")</f>
        <v/>
      </c>
      <c r="N262" s="13">
        <f>AG262</f>
        <v/>
      </c>
      <c r="O262" s="13">
        <f>AI262</f>
        <v/>
      </c>
      <c r="P262" s="13">
        <f>W262</f>
        <v/>
      </c>
      <c r="Q262" s="13">
        <f>Y262</f>
        <v/>
      </c>
      <c r="R262" s="15" t="n"/>
      <c r="S262" s="15">
        <f>LEFT(W262,2)&amp;LEFT(Y262,2)</f>
        <v/>
      </c>
      <c r="T262" s="15" t="n"/>
      <c r="U262" s="15">
        <f>IF(K262&lt;L262,1,0)</f>
        <v/>
      </c>
      <c r="V262" s="15">
        <f>IF(H262&gt;I262,1,0)</f>
        <v/>
      </c>
      <c r="W262" s="15">
        <f>IF(SUM(U262:V262)=2,"Anticipatory_Sell","No_Action")</f>
        <v/>
      </c>
      <c r="X262" s="15" t="n"/>
      <c r="Y262" s="15">
        <f>IF(SUM(Z262:AA262)=2,"Confirm_Sell","No_Action")</f>
        <v/>
      </c>
      <c r="Z262" s="15">
        <f>IF(H262&gt;I262,1,0)</f>
        <v/>
      </c>
      <c r="AA262" s="15">
        <f>IF(K262&lt;M262,1,0)</f>
        <v/>
      </c>
      <c r="AB262" s="15" t="n"/>
      <c r="AC262" s="15">
        <f>LEFT(AG262,2)&amp;LEFT(AI262,2)</f>
        <v/>
      </c>
      <c r="AD262" s="15" t="n"/>
      <c r="AE262" s="15">
        <f>IF(K262&gt;L262,1,0)</f>
        <v/>
      </c>
      <c r="AF262" s="16">
        <f>IF(H262&gt;I262,1,0)</f>
        <v/>
      </c>
      <c r="AG262" s="16">
        <f>IF(SUM(AE262:AF262)=2,"Anticipatory_Buy","No_Action")</f>
        <v/>
      </c>
      <c r="AH262" s="15" t="n"/>
      <c r="AI262" s="15">
        <f>IF(SUM(AJ262:AK262)=2,"Confirm_Buy","No_Action")</f>
        <v/>
      </c>
      <c r="AJ262" s="15">
        <f>IF(H262&gt;I262,1,0)</f>
        <v/>
      </c>
      <c r="AK262" s="15">
        <f>IF(K262&gt;M262,1,0)</f>
        <v/>
      </c>
    </row>
    <row r="263" ht="14.5" customHeight="1">
      <c r="A263" s="12" t="inlineStr">
        <is>
          <t>RELIANCE</t>
        </is>
      </c>
      <c r="B263" s="13">
        <f>IFERROR(__xludf.DUMMYFUNCTION("GOOGLEFINANCE(""NSE:""&amp;A263,""PRICE"")"),1296.4)</f>
        <v/>
      </c>
      <c r="C263" s="13">
        <f>IFERROR(__xludf.DUMMYFUNCTION("GOOGLEFINANCE(""NSE:""&amp;A263,""PRICEOPEN"")"),1303)</f>
        <v/>
      </c>
      <c r="D263" s="13">
        <f>IFERROR(__xludf.DUMMYFUNCTION("GOOGLEFINANCE(""NSE:""&amp;A263,""HIGH"")"),1315)</f>
        <v/>
      </c>
      <c r="E263" s="13">
        <f>IFERROR(__xludf.DUMMYFUNCTION("GOOGLEFINANCE(""NSE:""&amp;A263,""LOW"")"),1293.1)</f>
        <v/>
      </c>
      <c r="F263" s="13">
        <f>IFERROR(__xludf.DUMMYFUNCTION("GOOGLEFINANCE(""NSE:""&amp;A263,""closeyest"")"),1311.55)</f>
        <v/>
      </c>
      <c r="G263" s="14">
        <f>(B263-C263)/B263</f>
        <v/>
      </c>
      <c r="H263" s="13">
        <f>IFERROR(__xludf.DUMMYFUNCTION("GOOGLEFINANCE(""NSE:""&amp;A263,""VOLUME"")"),14650002)</f>
        <v/>
      </c>
      <c r="I263" s="13">
        <f>IFERROR(__xludf.DUMMYFUNCTION("AVERAGE(index(GOOGLEFINANCE(""NSE:""&amp;$A263, ""volume"", today()-21, today()-1), , 2))"),"#N/A")</f>
        <v/>
      </c>
      <c r="J263" s="14">
        <f>(H263-I263)/I263</f>
        <v/>
      </c>
      <c r="K263" s="13">
        <f>IFERROR(__xludf.DUMMYFUNCTION("AVERAGE(index(GOOGLEFINANCE(""NSE:""&amp;$A263, ""close"", today()-6, today()-1), , 2))"),"#N/A")</f>
        <v/>
      </c>
      <c r="L263" s="13">
        <f>IFERROR(__xludf.DUMMYFUNCTION("AVERAGE(index(GOOGLEFINANCE(""NSE:""&amp;$A263, ""close"", today()-14, today()-1), , 2))"),"#N/A")</f>
        <v/>
      </c>
      <c r="M263" s="13">
        <f>IFERROR(__xludf.DUMMYFUNCTION("AVERAGE(index(GOOGLEFINANCE(""NSE:""&amp;$A263, ""close"", today()-22, today()-1), , 2))"),"#N/A")</f>
        <v/>
      </c>
      <c r="N263" s="13">
        <f>AG263</f>
        <v/>
      </c>
      <c r="O263" s="13">
        <f>AI263</f>
        <v/>
      </c>
      <c r="P263" s="13">
        <f>W263</f>
        <v/>
      </c>
      <c r="Q263" s="13">
        <f>Y263</f>
        <v/>
      </c>
      <c r="R263" s="15" t="n"/>
      <c r="S263" s="15">
        <f>LEFT(W263,2)&amp;LEFT(Y263,2)</f>
        <v/>
      </c>
      <c r="T263" s="15" t="n"/>
      <c r="U263" s="15">
        <f>IF(K263&lt;L263,1,0)</f>
        <v/>
      </c>
      <c r="V263" s="15">
        <f>IF(H263&gt;I263,1,0)</f>
        <v/>
      </c>
      <c r="W263" s="15">
        <f>IF(SUM(U263:V263)=2,"Anticipatory_Sell","No_Action")</f>
        <v/>
      </c>
      <c r="X263" s="15" t="n"/>
      <c r="Y263" s="15">
        <f>IF(SUM(Z263:AA263)=2,"Confirm_Sell","No_Action")</f>
        <v/>
      </c>
      <c r="Z263" s="15">
        <f>IF(H263&gt;I263,1,0)</f>
        <v/>
      </c>
      <c r="AA263" s="15">
        <f>IF(K263&lt;M263,1,0)</f>
        <v/>
      </c>
      <c r="AB263" s="15" t="n"/>
      <c r="AC263" s="15">
        <f>LEFT(AG263,2)&amp;LEFT(AI263,2)</f>
        <v/>
      </c>
      <c r="AD263" s="15" t="n"/>
      <c r="AE263" s="15">
        <f>IF(K263&gt;L263,1,0)</f>
        <v/>
      </c>
      <c r="AF263" s="16">
        <f>IF(H263&gt;I263,1,0)</f>
        <v/>
      </c>
      <c r="AG263" s="16">
        <f>IF(SUM(AE263:AF263)=2,"Anticipatory_Buy","No_Action")</f>
        <v/>
      </c>
      <c r="AH263" s="15" t="n"/>
      <c r="AI263" s="15">
        <f>IF(SUM(AJ263:AK263)=2,"Confirm_Buy","No_Action")</f>
        <v/>
      </c>
      <c r="AJ263" s="15">
        <f>IF(H263&gt;I263,1,0)</f>
        <v/>
      </c>
      <c r="AK263" s="15">
        <f>IF(K263&gt;M263,1,0)</f>
        <v/>
      </c>
    </row>
    <row r="264" ht="14.5" customHeight="1">
      <c r="A264" s="12" t="inlineStr">
        <is>
          <t>REPCOHOME</t>
        </is>
      </c>
      <c r="B264" s="13">
        <f>IFERROR(__xludf.DUMMYFUNCTION("GOOGLEFINANCE(""NSE:""&amp;A264,""PRICE"")"),474)</f>
        <v/>
      </c>
      <c r="C264" s="13">
        <f>IFERROR(__xludf.DUMMYFUNCTION("GOOGLEFINANCE(""NSE:""&amp;A264,""PRICEOPEN"")"),479.45)</f>
        <v/>
      </c>
      <c r="D264" s="13">
        <f>IFERROR(__xludf.DUMMYFUNCTION("GOOGLEFINANCE(""NSE:""&amp;A264,""HIGH"")"),493)</f>
        <v/>
      </c>
      <c r="E264" s="13">
        <f>IFERROR(__xludf.DUMMYFUNCTION("GOOGLEFINANCE(""NSE:""&amp;A264,""LOW"")"),472)</f>
        <v/>
      </c>
      <c r="F264" s="13">
        <f>IFERROR(__xludf.DUMMYFUNCTION("GOOGLEFINANCE(""NSE:""&amp;A264,""closeyest"")"),474.55)</f>
        <v/>
      </c>
      <c r="G264" s="14">
        <f>(B264-C264)/B264</f>
        <v/>
      </c>
      <c r="H264" s="13">
        <f>IFERROR(__xludf.DUMMYFUNCTION("GOOGLEFINANCE(""NSE:""&amp;A264,""VOLUME"")"),276843)</f>
        <v/>
      </c>
      <c r="I264" s="13">
        <f>IFERROR(__xludf.DUMMYFUNCTION("AVERAGE(index(GOOGLEFINANCE(""NSE:""&amp;$A264, ""volume"", today()-21, today()-1), , 2))"),"#N/A")</f>
        <v/>
      </c>
      <c r="J264" s="14">
        <f>(H264-I264)/I264</f>
        <v/>
      </c>
      <c r="K264" s="13">
        <f>IFERROR(__xludf.DUMMYFUNCTION("AVERAGE(index(GOOGLEFINANCE(""NSE:""&amp;$A264, ""close"", today()-6, today()-1), , 2))"),"#N/A")</f>
        <v/>
      </c>
      <c r="L264" s="13">
        <f>IFERROR(__xludf.DUMMYFUNCTION("AVERAGE(index(GOOGLEFINANCE(""NSE:""&amp;$A264, ""close"", today()-14, today()-1), , 2))"),"#N/A")</f>
        <v/>
      </c>
      <c r="M264" s="13">
        <f>IFERROR(__xludf.DUMMYFUNCTION("AVERAGE(index(GOOGLEFINANCE(""NSE:""&amp;$A264, ""close"", today()-22, today()-1), , 2))"),"#N/A")</f>
        <v/>
      </c>
      <c r="N264" s="13">
        <f>AG264</f>
        <v/>
      </c>
      <c r="O264" s="13">
        <f>AI264</f>
        <v/>
      </c>
      <c r="P264" s="13">
        <f>W264</f>
        <v/>
      </c>
      <c r="Q264" s="13">
        <f>Y264</f>
        <v/>
      </c>
      <c r="R264" s="15" t="n"/>
      <c r="S264" s="15">
        <f>LEFT(W264,2)&amp;LEFT(Y264,2)</f>
        <v/>
      </c>
      <c r="T264" s="15" t="n"/>
      <c r="U264" s="15">
        <f>IF(K264&lt;L264,1,0)</f>
        <v/>
      </c>
      <c r="V264" s="15">
        <f>IF(H264&gt;I264,1,0)</f>
        <v/>
      </c>
      <c r="W264" s="15">
        <f>IF(SUM(U264:V264)=2,"Anticipatory_Sell","No_Action")</f>
        <v/>
      </c>
      <c r="X264" s="15" t="n"/>
      <c r="Y264" s="15">
        <f>IF(SUM(Z264:AA264)=2,"Confirm_Sell","No_Action")</f>
        <v/>
      </c>
      <c r="Z264" s="15">
        <f>IF(H264&gt;I264,1,0)</f>
        <v/>
      </c>
      <c r="AA264" s="15">
        <f>IF(K264&lt;M264,1,0)</f>
        <v/>
      </c>
      <c r="AB264" s="15" t="n"/>
      <c r="AC264" s="15">
        <f>LEFT(AG264,2)&amp;LEFT(AI264,2)</f>
        <v/>
      </c>
      <c r="AD264" s="15" t="n"/>
      <c r="AE264" s="15">
        <f>IF(K264&gt;L264,1,0)</f>
        <v/>
      </c>
      <c r="AF264" s="16">
        <f>IF(H264&gt;I264,1,0)</f>
        <v/>
      </c>
      <c r="AG264" s="16">
        <f>IF(SUM(AE264:AF264)=2,"Anticipatory_Buy","No_Action")</f>
        <v/>
      </c>
      <c r="AH264" s="15" t="n"/>
      <c r="AI264" s="15">
        <f>IF(SUM(AJ264:AK264)=2,"Confirm_Buy","No_Action")</f>
        <v/>
      </c>
      <c r="AJ264" s="15">
        <f>IF(H264&gt;I264,1,0)</f>
        <v/>
      </c>
      <c r="AK264" s="15">
        <f>IF(K264&gt;M264,1,0)</f>
        <v/>
      </c>
    </row>
    <row r="265" ht="14.5" customHeight="1">
      <c r="A265" s="12" t="inlineStr">
        <is>
          <t>RESPONIND</t>
        </is>
      </c>
      <c r="B265" s="13">
        <f>IFERROR(__xludf.DUMMYFUNCTION("GOOGLEFINANCE(""NSE:""&amp;A265,""PRICE"")"),268)</f>
        <v/>
      </c>
      <c r="C265" s="13">
        <f>IFERROR(__xludf.DUMMYFUNCTION("GOOGLEFINANCE(""NSE:""&amp;A265,""PRICEOPEN"")"),269)</f>
        <v/>
      </c>
      <c r="D265" s="13">
        <f>IFERROR(__xludf.DUMMYFUNCTION("GOOGLEFINANCE(""NSE:""&amp;A265,""HIGH"")"),269.9)</f>
        <v/>
      </c>
      <c r="E265" s="13">
        <f>IFERROR(__xludf.DUMMYFUNCTION("GOOGLEFINANCE(""NSE:""&amp;A265,""LOW"")"),266)</f>
        <v/>
      </c>
      <c r="F265" s="13">
        <f>IFERROR(__xludf.DUMMYFUNCTION("GOOGLEFINANCE(""NSE:""&amp;A265,""closeyest"")"),268.8)</f>
        <v/>
      </c>
      <c r="G265" s="14">
        <f>(B265-C265)/B265</f>
        <v/>
      </c>
      <c r="H265" s="13">
        <f>IFERROR(__xludf.DUMMYFUNCTION("GOOGLEFINANCE(""NSE:""&amp;A265,""VOLUME"")"),173871)</f>
        <v/>
      </c>
      <c r="I265" s="13">
        <f>IFERROR(__xludf.DUMMYFUNCTION("AVERAGE(index(GOOGLEFINANCE(""NSE:""&amp;$A265, ""volume"", today()-21, today()-1), , 2))"),"#N/A")</f>
        <v/>
      </c>
      <c r="J265" s="14">
        <f>(H265-I265)/I265</f>
        <v/>
      </c>
      <c r="K265" s="13">
        <f>IFERROR(__xludf.DUMMYFUNCTION("AVERAGE(index(GOOGLEFINANCE(""NSE:""&amp;$A265, ""close"", today()-6, today()-1), , 2))"),"#N/A")</f>
        <v/>
      </c>
      <c r="L265" s="13">
        <f>IFERROR(__xludf.DUMMYFUNCTION("AVERAGE(index(GOOGLEFINANCE(""NSE:""&amp;$A265, ""close"", today()-14, today()-1), , 2))"),"#N/A")</f>
        <v/>
      </c>
      <c r="M265" s="13">
        <f>IFERROR(__xludf.DUMMYFUNCTION("AVERAGE(index(GOOGLEFINANCE(""NSE:""&amp;$A265, ""close"", today()-22, today()-1), , 2))"),"#N/A")</f>
        <v/>
      </c>
      <c r="N265" s="13">
        <f>AG265</f>
        <v/>
      </c>
      <c r="O265" s="13">
        <f>AI265</f>
        <v/>
      </c>
      <c r="P265" s="13">
        <f>W265</f>
        <v/>
      </c>
      <c r="Q265" s="13">
        <f>Y265</f>
        <v/>
      </c>
      <c r="R265" s="15" t="n"/>
      <c r="S265" s="15">
        <f>LEFT(W265,2)&amp;LEFT(Y265,2)</f>
        <v/>
      </c>
      <c r="T265" s="15" t="n"/>
      <c r="U265" s="15">
        <f>IF(K265&lt;L265,1,0)</f>
        <v/>
      </c>
      <c r="V265" s="15">
        <f>IF(H265&gt;I265,1,0)</f>
        <v/>
      </c>
      <c r="W265" s="15">
        <f>IF(SUM(U265:V265)=2,"Anticipatory_Sell","No_Action")</f>
        <v/>
      </c>
      <c r="X265" s="15" t="n"/>
      <c r="Y265" s="15">
        <f>IF(SUM(Z265:AA265)=2,"Confirm_Sell","No_Action")</f>
        <v/>
      </c>
      <c r="Z265" s="15">
        <f>IF(H265&gt;I265,1,0)</f>
        <v/>
      </c>
      <c r="AA265" s="15">
        <f>IF(K265&lt;M265,1,0)</f>
        <v/>
      </c>
      <c r="AB265" s="15" t="n"/>
      <c r="AC265" s="15">
        <f>LEFT(AG265,2)&amp;LEFT(AI265,2)</f>
        <v/>
      </c>
      <c r="AD265" s="15" t="n"/>
      <c r="AE265" s="15">
        <f>IF(K265&gt;L265,1,0)</f>
        <v/>
      </c>
      <c r="AF265" s="16">
        <f>IF(H265&gt;I265,1,0)</f>
        <v/>
      </c>
      <c r="AG265" s="16">
        <f>IF(SUM(AE265:AF265)=2,"Anticipatory_Buy","No_Action")</f>
        <v/>
      </c>
      <c r="AH265" s="15" t="n"/>
      <c r="AI265" s="15">
        <f>IF(SUM(AJ265:AK265)=2,"Confirm_Buy","No_Action")</f>
        <v/>
      </c>
      <c r="AJ265" s="15">
        <f>IF(H265&gt;I265,1,0)</f>
        <v/>
      </c>
      <c r="AK265" s="15">
        <f>IF(K265&gt;M265,1,0)</f>
        <v/>
      </c>
    </row>
    <row r="266" ht="14.5" customHeight="1">
      <c r="A266" s="12" t="inlineStr">
        <is>
          <t>RITES</t>
        </is>
      </c>
      <c r="B266" s="13">
        <f>IFERROR(__xludf.DUMMYFUNCTION("GOOGLEFINANCE(""NSE:""&amp;A266,""PRICE"")"),302.2)</f>
        <v/>
      </c>
      <c r="C266" s="13">
        <f>IFERROR(__xludf.DUMMYFUNCTION("GOOGLEFINANCE(""NSE:""&amp;A266,""PRICEOPEN"")"),303)</f>
        <v/>
      </c>
      <c r="D266" s="13">
        <f>IFERROR(__xludf.DUMMYFUNCTION("GOOGLEFINANCE(""NSE:""&amp;A266,""HIGH"")"),309.85)</f>
        <v/>
      </c>
      <c r="E266" s="13">
        <f>IFERROR(__xludf.DUMMYFUNCTION("GOOGLEFINANCE(""NSE:""&amp;A266,""LOW"")"),299.7)</f>
        <v/>
      </c>
      <c r="F266" s="13">
        <f>IFERROR(__xludf.DUMMYFUNCTION("GOOGLEFINANCE(""NSE:""&amp;A266,""closeyest"")"),296.2)</f>
        <v/>
      </c>
      <c r="G266" s="14">
        <f>(B266-C266)/B266</f>
        <v/>
      </c>
      <c r="H266" s="13">
        <f>IFERROR(__xludf.DUMMYFUNCTION("GOOGLEFINANCE(""NSE:""&amp;A266,""VOLUME"")"),6341544)</f>
        <v/>
      </c>
      <c r="I266" s="13">
        <f>IFERROR(__xludf.DUMMYFUNCTION("AVERAGE(index(GOOGLEFINANCE(""NSE:""&amp;$A266, ""volume"", today()-21, today()-1), , 2))"),"#N/A")</f>
        <v/>
      </c>
      <c r="J266" s="14">
        <f>(H266-I266)/I266</f>
        <v/>
      </c>
      <c r="K266" s="13">
        <f>IFERROR(__xludf.DUMMYFUNCTION("AVERAGE(index(GOOGLEFINANCE(""NSE:""&amp;$A266, ""close"", today()-6, today()-1), , 2))"),"#N/A")</f>
        <v/>
      </c>
      <c r="L266" s="13">
        <f>IFERROR(__xludf.DUMMYFUNCTION("AVERAGE(index(GOOGLEFINANCE(""NSE:""&amp;$A266, ""close"", today()-14, today()-1), , 2))"),"#N/A")</f>
        <v/>
      </c>
      <c r="M266" s="13">
        <f>IFERROR(__xludf.DUMMYFUNCTION("AVERAGE(index(GOOGLEFINANCE(""NSE:""&amp;$A266, ""close"", today()-22, today()-1), , 2))"),"#N/A")</f>
        <v/>
      </c>
      <c r="N266" s="13">
        <f>AG266</f>
        <v/>
      </c>
      <c r="O266" s="13">
        <f>AI266</f>
        <v/>
      </c>
      <c r="P266" s="13">
        <f>W266</f>
        <v/>
      </c>
      <c r="Q266" s="13">
        <f>Y266</f>
        <v/>
      </c>
      <c r="R266" s="15" t="n"/>
      <c r="S266" s="15">
        <f>LEFT(W266,2)&amp;LEFT(Y266,2)</f>
        <v/>
      </c>
      <c r="T266" s="15" t="n"/>
      <c r="U266" s="15">
        <f>IF(K266&lt;L266,1,0)</f>
        <v/>
      </c>
      <c r="V266" s="15">
        <f>IF(H266&gt;I266,1,0)</f>
        <v/>
      </c>
      <c r="W266" s="15">
        <f>IF(SUM(U266:V266)=2,"Anticipatory_Sell","No_Action")</f>
        <v/>
      </c>
      <c r="X266" s="15" t="n"/>
      <c r="Y266" s="15">
        <f>IF(SUM(Z266:AA266)=2,"Confirm_Sell","No_Action")</f>
        <v/>
      </c>
      <c r="Z266" s="15">
        <f>IF(H266&gt;I266,1,0)</f>
        <v/>
      </c>
      <c r="AA266" s="15">
        <f>IF(K266&lt;M266,1,0)</f>
        <v/>
      </c>
      <c r="AB266" s="15" t="n"/>
      <c r="AC266" s="15">
        <f>LEFT(AG266,2)&amp;LEFT(AI266,2)</f>
        <v/>
      </c>
      <c r="AD266" s="15" t="n"/>
      <c r="AE266" s="15">
        <f>IF(K266&gt;L266,1,0)</f>
        <v/>
      </c>
      <c r="AF266" s="16">
        <f>IF(H266&gt;I266,1,0)</f>
        <v/>
      </c>
      <c r="AG266" s="16">
        <f>IF(SUM(AE266:AF266)=2,"Anticipatory_Buy","No_Action")</f>
        <v/>
      </c>
      <c r="AH266" s="15" t="n"/>
      <c r="AI266" s="15">
        <f>IF(SUM(AJ266:AK266)=2,"Confirm_Buy","No_Action")</f>
        <v/>
      </c>
      <c r="AJ266" s="15">
        <f>IF(H266&gt;I266,1,0)</f>
        <v/>
      </c>
      <c r="AK266" s="15">
        <f>IF(K266&gt;M266,1,0)</f>
        <v/>
      </c>
    </row>
    <row r="267" ht="14.5" customHeight="1">
      <c r="A267" s="12" t="inlineStr">
        <is>
          <t>ROSSARI</t>
        </is>
      </c>
      <c r="B267" s="13">
        <f>IFERROR(__xludf.DUMMYFUNCTION("GOOGLEFINANCE(""NSE:""&amp;A267,""PRICE"")"),819.55)</f>
        <v/>
      </c>
      <c r="C267" s="13">
        <f>IFERROR(__xludf.DUMMYFUNCTION("GOOGLEFINANCE(""NSE:""&amp;A267,""PRICEOPEN"")"),825)</f>
        <v/>
      </c>
      <c r="D267" s="13">
        <f>IFERROR(__xludf.DUMMYFUNCTION("GOOGLEFINANCE(""NSE:""&amp;A267,""HIGH"")"),831.5)</f>
        <v/>
      </c>
      <c r="E267" s="13">
        <f>IFERROR(__xludf.DUMMYFUNCTION("GOOGLEFINANCE(""NSE:""&amp;A267,""LOW"")"),818.05)</f>
        <v/>
      </c>
      <c r="F267" s="13">
        <f>IFERROR(__xludf.DUMMYFUNCTION("GOOGLEFINANCE(""NSE:""&amp;A267,""closeyest"")"),822.4)</f>
        <v/>
      </c>
      <c r="G267" s="14">
        <f>(B267-C267)/B267</f>
        <v/>
      </c>
      <c r="H267" s="13">
        <f>IFERROR(__xludf.DUMMYFUNCTION("GOOGLEFINANCE(""NSE:""&amp;A267,""VOLUME"")"),34729)</f>
        <v/>
      </c>
      <c r="I267" s="13">
        <f>IFERROR(__xludf.DUMMYFUNCTION("AVERAGE(index(GOOGLEFINANCE(""NSE:""&amp;$A267, ""volume"", today()-21, today()-1), , 2))"),"#N/A")</f>
        <v/>
      </c>
      <c r="J267" s="14">
        <f>(H267-I267)/I267</f>
        <v/>
      </c>
      <c r="K267" s="13">
        <f>IFERROR(__xludf.DUMMYFUNCTION("AVERAGE(index(GOOGLEFINANCE(""NSE:""&amp;$A267, ""close"", today()-6, today()-1), , 2))"),"#N/A")</f>
        <v/>
      </c>
      <c r="L267" s="13">
        <f>IFERROR(__xludf.DUMMYFUNCTION("AVERAGE(index(GOOGLEFINANCE(""NSE:""&amp;$A267, ""close"", today()-14, today()-1), , 2))"),"#N/A")</f>
        <v/>
      </c>
      <c r="M267" s="13">
        <f>IFERROR(__xludf.DUMMYFUNCTION("AVERAGE(index(GOOGLEFINANCE(""NSE:""&amp;$A267, ""close"", today()-22, today()-1), , 2))"),"#N/A")</f>
        <v/>
      </c>
      <c r="N267" s="13">
        <f>AG267</f>
        <v/>
      </c>
      <c r="O267" s="13">
        <f>AI267</f>
        <v/>
      </c>
      <c r="P267" s="13">
        <f>W267</f>
        <v/>
      </c>
      <c r="Q267" s="13">
        <f>Y267</f>
        <v/>
      </c>
      <c r="R267" s="15" t="n"/>
      <c r="S267" s="15">
        <f>LEFT(W267,2)&amp;LEFT(Y267,2)</f>
        <v/>
      </c>
      <c r="T267" s="15" t="n"/>
      <c r="U267" s="15">
        <f>IF(K267&lt;L267,1,0)</f>
        <v/>
      </c>
      <c r="V267" s="15">
        <f>IF(H267&gt;I267,1,0)</f>
        <v/>
      </c>
      <c r="W267" s="15">
        <f>IF(SUM(U267:V267)=2,"Anticipatory_Sell","No_Action")</f>
        <v/>
      </c>
      <c r="X267" s="15" t="n"/>
      <c r="Y267" s="15">
        <f>IF(SUM(Z267:AA267)=2,"Confirm_Sell","No_Action")</f>
        <v/>
      </c>
      <c r="Z267" s="15">
        <f>IF(H267&gt;I267,1,0)</f>
        <v/>
      </c>
      <c r="AA267" s="15">
        <f>IF(K267&lt;M267,1,0)</f>
        <v/>
      </c>
      <c r="AB267" s="15" t="n"/>
      <c r="AC267" s="15">
        <f>LEFT(AG267,2)&amp;LEFT(AI267,2)</f>
        <v/>
      </c>
      <c r="AD267" s="15" t="n"/>
      <c r="AE267" s="15">
        <f>IF(K267&gt;L267,1,0)</f>
        <v/>
      </c>
      <c r="AF267" s="16">
        <f>IF(H267&gt;I267,1,0)</f>
        <v/>
      </c>
      <c r="AG267" s="16">
        <f>IF(SUM(AE267:AF267)=2,"Anticipatory_Buy","No_Action")</f>
        <v/>
      </c>
      <c r="AH267" s="15" t="n"/>
      <c r="AI267" s="15">
        <f>IF(SUM(AJ267:AK267)=2,"Confirm_Buy","No_Action")</f>
        <v/>
      </c>
      <c r="AJ267" s="15">
        <f>IF(H267&gt;I267,1,0)</f>
        <v/>
      </c>
      <c r="AK267" s="15">
        <f>IF(K267&gt;M267,1,0)</f>
        <v/>
      </c>
    </row>
    <row r="268" ht="14.5" customHeight="1">
      <c r="A268" s="12" t="inlineStr">
        <is>
          <t>ROTO</t>
        </is>
      </c>
      <c r="B268" s="13">
        <f>IFERROR(__xludf.DUMMYFUNCTION("GOOGLEFINANCE(""NSE:""&amp;A268,""PRICE"")"),304.7)</f>
        <v/>
      </c>
      <c r="C268" s="13">
        <f>IFERROR(__xludf.DUMMYFUNCTION("GOOGLEFINANCE(""NSE:""&amp;A268,""PRICEOPEN"")"),303)</f>
        <v/>
      </c>
      <c r="D268" s="13">
        <f>IFERROR(__xludf.DUMMYFUNCTION("GOOGLEFINANCE(""NSE:""&amp;A268,""HIGH"")"),320)</f>
        <v/>
      </c>
      <c r="E268" s="13">
        <f>IFERROR(__xludf.DUMMYFUNCTION("GOOGLEFINANCE(""NSE:""&amp;A268,""LOW"")"),297.1)</f>
        <v/>
      </c>
      <c r="F268" s="13">
        <f>IFERROR(__xludf.DUMMYFUNCTION("GOOGLEFINANCE(""NSE:""&amp;A268,""closeyest"")"),282.2)</f>
        <v/>
      </c>
      <c r="G268" s="14">
        <f>(B268-C268)/B268</f>
        <v/>
      </c>
      <c r="H268" s="13">
        <f>IFERROR(__xludf.DUMMYFUNCTION("GOOGLEFINANCE(""NSE:""&amp;A268,""VOLUME"")"),2652122)</f>
        <v/>
      </c>
      <c r="I268" s="13">
        <f>IFERROR(__xludf.DUMMYFUNCTION("AVERAGE(index(GOOGLEFINANCE(""NSE:""&amp;$A268, ""volume"", today()-21, today()-1), , 2))"),"#N/A")</f>
        <v/>
      </c>
      <c r="J268" s="14">
        <f>(H268-I268)/I268</f>
        <v/>
      </c>
      <c r="K268" s="13">
        <f>IFERROR(__xludf.DUMMYFUNCTION("AVERAGE(index(GOOGLEFINANCE(""NSE:""&amp;$A268, ""close"", today()-6, today()-1), , 2))"),"#N/A")</f>
        <v/>
      </c>
      <c r="L268" s="13">
        <f>IFERROR(__xludf.DUMMYFUNCTION("AVERAGE(index(GOOGLEFINANCE(""NSE:""&amp;$A268, ""close"", today()-14, today()-1), , 2))"),"#N/A")</f>
        <v/>
      </c>
      <c r="M268" s="13">
        <f>IFERROR(__xludf.DUMMYFUNCTION("AVERAGE(index(GOOGLEFINANCE(""NSE:""&amp;$A268, ""close"", today()-22, today()-1), , 2))"),"#N/A")</f>
        <v/>
      </c>
      <c r="N268" s="13">
        <f>AG268</f>
        <v/>
      </c>
      <c r="O268" s="13">
        <f>AI268</f>
        <v/>
      </c>
      <c r="P268" s="13">
        <f>W268</f>
        <v/>
      </c>
      <c r="Q268" s="13">
        <f>Y268</f>
        <v/>
      </c>
      <c r="R268" s="15" t="n"/>
      <c r="S268" s="15">
        <f>LEFT(W268,2)&amp;LEFT(Y268,2)</f>
        <v/>
      </c>
      <c r="T268" s="15" t="n"/>
      <c r="U268" s="15">
        <f>IF(K268&lt;L268,1,0)</f>
        <v/>
      </c>
      <c r="V268" s="15">
        <f>IF(H268&gt;I268,1,0)</f>
        <v/>
      </c>
      <c r="W268" s="15">
        <f>IF(SUM(U268:V268)=2,"Anticipatory_Sell","No_Action")</f>
        <v/>
      </c>
      <c r="X268" s="15" t="n"/>
      <c r="Y268" s="15">
        <f>IF(SUM(Z268:AA268)=2,"Confirm_Sell","No_Action")</f>
        <v/>
      </c>
      <c r="Z268" s="15">
        <f>IF(H268&gt;I268,1,0)</f>
        <v/>
      </c>
      <c r="AA268" s="15">
        <f>IF(K268&lt;M268,1,0)</f>
        <v/>
      </c>
      <c r="AB268" s="15" t="n"/>
      <c r="AC268" s="15">
        <f>LEFT(AG268,2)&amp;LEFT(AI268,2)</f>
        <v/>
      </c>
      <c r="AD268" s="15" t="n"/>
      <c r="AE268" s="15">
        <f>IF(K268&gt;L268,1,0)</f>
        <v/>
      </c>
      <c r="AF268" s="16">
        <f>IF(H268&gt;I268,1,0)</f>
        <v/>
      </c>
      <c r="AG268" s="16">
        <f>IF(SUM(AE268:AF268)=2,"Anticipatory_Buy","No_Action")</f>
        <v/>
      </c>
      <c r="AH268" s="15" t="n"/>
      <c r="AI268" s="15">
        <f>IF(SUM(AJ268:AK268)=2,"Confirm_Buy","No_Action")</f>
        <v/>
      </c>
      <c r="AJ268" s="15">
        <f>IF(H268&gt;I268,1,0)</f>
        <v/>
      </c>
      <c r="AK268" s="15">
        <f>IF(K268&gt;M268,1,0)</f>
        <v/>
      </c>
    </row>
    <row r="269" ht="14.5" customHeight="1">
      <c r="A269" s="12" t="inlineStr">
        <is>
          <t>ROHLTD</t>
        </is>
      </c>
      <c r="B269" s="13">
        <f>IFERROR(__xludf.DUMMYFUNCTION("GOOGLEFINANCE(""NSE:""&amp;A269,""PRICE"")"),345)</f>
        <v/>
      </c>
      <c r="C269" s="13">
        <f>IFERROR(__xludf.DUMMYFUNCTION("GOOGLEFINANCE(""NSE:""&amp;A269,""PRICEOPEN"")"),345)</f>
        <v/>
      </c>
      <c r="D269" s="13">
        <f>IFERROR(__xludf.DUMMYFUNCTION("GOOGLEFINANCE(""NSE:""&amp;A269,""HIGH"")"),348.1)</f>
        <v/>
      </c>
      <c r="E269" s="13">
        <f>IFERROR(__xludf.DUMMYFUNCTION("GOOGLEFINANCE(""NSE:""&amp;A269,""LOW"")"),341.15)</f>
        <v/>
      </c>
      <c r="F269" s="13">
        <f>IFERROR(__xludf.DUMMYFUNCTION("GOOGLEFINANCE(""NSE:""&amp;A269,""closeyest"")"),345.15)</f>
        <v/>
      </c>
      <c r="G269" s="14">
        <f>(B269-C269)/B269</f>
        <v/>
      </c>
      <c r="H269" s="13">
        <f>IFERROR(__xludf.DUMMYFUNCTION("GOOGLEFINANCE(""NSE:""&amp;A269,""VOLUME"")"),43287)</f>
        <v/>
      </c>
      <c r="I269" s="13">
        <f>IFERROR(__xludf.DUMMYFUNCTION("AVERAGE(index(GOOGLEFINANCE(""NSE:""&amp;$A269, ""volume"", today()-21, today()-1), , 2))"),"#N/A")</f>
        <v/>
      </c>
      <c r="J269" s="14">
        <f>(H269-I269)/I269</f>
        <v/>
      </c>
      <c r="K269" s="13">
        <f>IFERROR(__xludf.DUMMYFUNCTION("AVERAGE(index(GOOGLEFINANCE(""NSE:""&amp;$A269, ""close"", today()-6, today()-1), , 2))"),"#N/A")</f>
        <v/>
      </c>
      <c r="L269" s="13">
        <f>IFERROR(__xludf.DUMMYFUNCTION("AVERAGE(index(GOOGLEFINANCE(""NSE:""&amp;$A269, ""close"", today()-14, today()-1), , 2))"),"#N/A")</f>
        <v/>
      </c>
      <c r="M269" s="13">
        <f>IFERROR(__xludf.DUMMYFUNCTION("AVERAGE(index(GOOGLEFINANCE(""NSE:""&amp;$A269, ""close"", today()-22, today()-1), , 2))"),"#N/A")</f>
        <v/>
      </c>
      <c r="N269" s="13">
        <f>AG269</f>
        <v/>
      </c>
      <c r="O269" s="13">
        <f>AI269</f>
        <v/>
      </c>
      <c r="P269" s="13">
        <f>W269</f>
        <v/>
      </c>
      <c r="Q269" s="13">
        <f>Y269</f>
        <v/>
      </c>
      <c r="R269" s="15" t="n"/>
      <c r="S269" s="15">
        <f>LEFT(W269,2)&amp;LEFT(Y269,2)</f>
        <v/>
      </c>
      <c r="T269" s="15" t="n"/>
      <c r="U269" s="15">
        <f>IF(K269&lt;L269,1,0)</f>
        <v/>
      </c>
      <c r="V269" s="15">
        <f>IF(H269&gt;I269,1,0)</f>
        <v/>
      </c>
      <c r="W269" s="15">
        <f>IF(SUM(U269:V269)=2,"Anticipatory_Sell","No_Action")</f>
        <v/>
      </c>
      <c r="X269" s="15" t="n"/>
      <c r="Y269" s="15">
        <f>IF(SUM(Z269:AA269)=2,"Confirm_Sell","No_Action")</f>
        <v/>
      </c>
      <c r="Z269" s="15">
        <f>IF(H269&gt;I269,1,0)</f>
        <v/>
      </c>
      <c r="AA269" s="15">
        <f>IF(K269&lt;M269,1,0)</f>
        <v/>
      </c>
      <c r="AB269" s="15" t="n"/>
      <c r="AC269" s="15">
        <f>LEFT(AG269,2)&amp;LEFT(AI269,2)</f>
        <v/>
      </c>
      <c r="AD269" s="15" t="n"/>
      <c r="AE269" s="15">
        <f>IF(K269&gt;L269,1,0)</f>
        <v/>
      </c>
      <c r="AF269" s="16">
        <f>IF(H269&gt;I269,1,0)</f>
        <v/>
      </c>
      <c r="AG269" s="16">
        <f>IF(SUM(AE269:AF269)=2,"Anticipatory_Buy","No_Action")</f>
        <v/>
      </c>
      <c r="AH269" s="15" t="n"/>
      <c r="AI269" s="15">
        <f>IF(SUM(AJ269:AK269)=2,"Confirm_Buy","No_Action")</f>
        <v/>
      </c>
      <c r="AJ269" s="15">
        <f>IF(H269&gt;I269,1,0)</f>
        <v/>
      </c>
      <c r="AK269" s="15">
        <f>IF(K269&gt;M269,1,0)</f>
        <v/>
      </c>
    </row>
    <row r="270" ht="14.5" customHeight="1">
      <c r="A270" s="12" t="inlineStr">
        <is>
          <t>SCI</t>
        </is>
      </c>
      <c r="B270" s="13">
        <f>IFERROR(__xludf.DUMMYFUNCTION("GOOGLEFINANCE(""NSE:""&amp;A270,""PRICE"")"),237.75)</f>
        <v/>
      </c>
      <c r="C270" s="13">
        <f>IFERROR(__xludf.DUMMYFUNCTION("GOOGLEFINANCE(""NSE:""&amp;A270,""PRICEOPEN"")"),239.06)</f>
        <v/>
      </c>
      <c r="D270" s="13">
        <f>IFERROR(__xludf.DUMMYFUNCTION("GOOGLEFINANCE(""NSE:""&amp;A270,""HIGH"")"),241.78)</f>
        <v/>
      </c>
      <c r="E270" s="13">
        <f>IFERROR(__xludf.DUMMYFUNCTION("GOOGLEFINANCE(""NSE:""&amp;A270,""LOW"")"),237.5)</f>
        <v/>
      </c>
      <c r="F270" s="13">
        <f>IFERROR(__xludf.DUMMYFUNCTION("GOOGLEFINANCE(""NSE:""&amp;A270,""closeyest"")"),238.86)</f>
        <v/>
      </c>
      <c r="G270" s="14">
        <f>(B270-C270)/B270</f>
        <v/>
      </c>
      <c r="H270" s="13">
        <f>IFERROR(__xludf.DUMMYFUNCTION("GOOGLEFINANCE(""NSE:""&amp;A270,""VOLUME"")"),1289079)</f>
        <v/>
      </c>
      <c r="I270" s="13">
        <f>IFERROR(__xludf.DUMMYFUNCTION("AVERAGE(index(GOOGLEFINANCE(""NSE:""&amp;$A270, ""volume"", today()-21, today()-1), , 2))"),"#N/A")</f>
        <v/>
      </c>
      <c r="J270" s="14">
        <f>(H270-I270)/I270</f>
        <v/>
      </c>
      <c r="K270" s="13">
        <f>IFERROR(__xludf.DUMMYFUNCTION("AVERAGE(index(GOOGLEFINANCE(""NSE:""&amp;$A270, ""close"", today()-6, today()-1), , 2))"),"#N/A")</f>
        <v/>
      </c>
      <c r="L270" s="13">
        <f>IFERROR(__xludf.DUMMYFUNCTION("AVERAGE(index(GOOGLEFINANCE(""NSE:""&amp;$A270, ""close"", today()-14, today()-1), , 2))"),"#N/A")</f>
        <v/>
      </c>
      <c r="M270" s="13">
        <f>IFERROR(__xludf.DUMMYFUNCTION("AVERAGE(index(GOOGLEFINANCE(""NSE:""&amp;$A270, ""close"", today()-22, today()-1), , 2))"),"#N/A")</f>
        <v/>
      </c>
      <c r="N270" s="13">
        <f>AG270</f>
        <v/>
      </c>
      <c r="O270" s="13">
        <f>AI270</f>
        <v/>
      </c>
      <c r="P270" s="13">
        <f>W270</f>
        <v/>
      </c>
      <c r="Q270" s="13">
        <f>Y270</f>
        <v/>
      </c>
      <c r="R270" s="15" t="n"/>
      <c r="S270" s="15">
        <f>LEFT(W270,2)&amp;LEFT(Y270,2)</f>
        <v/>
      </c>
      <c r="T270" s="15" t="n"/>
      <c r="U270" s="15">
        <f>IF(K270&lt;L270,1,0)</f>
        <v/>
      </c>
      <c r="V270" s="15">
        <f>IF(H270&gt;I270,1,0)</f>
        <v/>
      </c>
      <c r="W270" s="15">
        <f>IF(SUM(U270:V270)=2,"Anticipatory_Sell","No_Action")</f>
        <v/>
      </c>
      <c r="X270" s="15" t="n"/>
      <c r="Y270" s="15">
        <f>IF(SUM(Z270:AA270)=2,"Confirm_Sell","No_Action")</f>
        <v/>
      </c>
      <c r="Z270" s="15">
        <f>IF(H270&gt;I270,1,0)</f>
        <v/>
      </c>
      <c r="AA270" s="15">
        <f>IF(K270&lt;M270,1,0)</f>
        <v/>
      </c>
      <c r="AB270" s="15" t="n"/>
      <c r="AC270" s="15">
        <f>LEFT(AG270,2)&amp;LEFT(AI270,2)</f>
        <v/>
      </c>
      <c r="AD270" s="15" t="n"/>
      <c r="AE270" s="15">
        <f>IF(K270&gt;L270,1,0)</f>
        <v/>
      </c>
      <c r="AF270" s="16">
        <f>IF(H270&gt;I270,1,0)</f>
        <v/>
      </c>
      <c r="AG270" s="16">
        <f>IF(SUM(AE270:AF270)=2,"Anticipatory_Buy","No_Action")</f>
        <v/>
      </c>
      <c r="AH270" s="15" t="n"/>
      <c r="AI270" s="15">
        <f>IF(SUM(AJ270:AK270)=2,"Confirm_Buy","No_Action")</f>
        <v/>
      </c>
      <c r="AJ270" s="15">
        <f>IF(H270&gt;I270,1,0)</f>
        <v/>
      </c>
      <c r="AK270" s="15">
        <f>IF(K270&gt;M270,1,0)</f>
        <v/>
      </c>
    </row>
    <row r="271" ht="14.5" customHeight="1">
      <c r="A271" s="12" t="inlineStr">
        <is>
          <t>SPAL</t>
        </is>
      </c>
      <c r="B271" s="13">
        <f>IFERROR(__xludf.DUMMYFUNCTION("GOOGLEFINANCE(""NSE:""&amp;A271,""PRICE"")"),947.95)</f>
        <v/>
      </c>
      <c r="C271" s="13">
        <f>IFERROR(__xludf.DUMMYFUNCTION("GOOGLEFINANCE(""NSE:""&amp;A271,""PRICEOPEN"")"),928.25)</f>
        <v/>
      </c>
      <c r="D271" s="13">
        <f>IFERROR(__xludf.DUMMYFUNCTION("GOOGLEFINANCE(""NSE:""&amp;A271,""HIGH"")"),965)</f>
        <v/>
      </c>
      <c r="E271" s="13">
        <f>IFERROR(__xludf.DUMMYFUNCTION("GOOGLEFINANCE(""NSE:""&amp;A271,""LOW"")"),928.25)</f>
        <v/>
      </c>
      <c r="F271" s="13">
        <f>IFERROR(__xludf.DUMMYFUNCTION("GOOGLEFINANCE(""NSE:""&amp;A271,""closeyest"")"),919.45)</f>
        <v/>
      </c>
      <c r="G271" s="14">
        <f>(B271-C271)/B271</f>
        <v/>
      </c>
      <c r="H271" s="13">
        <f>IFERROR(__xludf.DUMMYFUNCTION("GOOGLEFINANCE(""NSE:""&amp;A271,""VOLUME"")"),84525)</f>
        <v/>
      </c>
      <c r="I271" s="13">
        <f>IFERROR(__xludf.DUMMYFUNCTION("AVERAGE(index(GOOGLEFINANCE(""NSE:""&amp;$A271, ""volume"", today()-21, today()-1), , 2))"),"#N/A")</f>
        <v/>
      </c>
      <c r="J271" s="14">
        <f>(H271-I271)/I271</f>
        <v/>
      </c>
      <c r="K271" s="13">
        <f>IFERROR(__xludf.DUMMYFUNCTION("AVERAGE(index(GOOGLEFINANCE(""NSE:""&amp;$A271, ""close"", today()-6, today()-1), , 2))"),"#N/A")</f>
        <v/>
      </c>
      <c r="L271" s="13">
        <f>IFERROR(__xludf.DUMMYFUNCTION("AVERAGE(index(GOOGLEFINANCE(""NSE:""&amp;$A271, ""close"", today()-14, today()-1), , 2))"),"#N/A")</f>
        <v/>
      </c>
      <c r="M271" s="13">
        <f>IFERROR(__xludf.DUMMYFUNCTION("AVERAGE(index(GOOGLEFINANCE(""NSE:""&amp;$A271, ""close"", today()-22, today()-1), , 2))"),"#N/A")</f>
        <v/>
      </c>
      <c r="N271" s="13">
        <f>AG271</f>
        <v/>
      </c>
      <c r="O271" s="13">
        <f>AI271</f>
        <v/>
      </c>
      <c r="P271" s="13">
        <f>W271</f>
        <v/>
      </c>
      <c r="Q271" s="13">
        <f>Y271</f>
        <v/>
      </c>
      <c r="R271" s="15" t="n"/>
      <c r="S271" s="15">
        <f>LEFT(W271,2)&amp;LEFT(Y271,2)</f>
        <v/>
      </c>
      <c r="T271" s="15" t="n"/>
      <c r="U271" s="15">
        <f>IF(K271&lt;L271,1,0)</f>
        <v/>
      </c>
      <c r="V271" s="15">
        <f>IF(H271&gt;I271,1,0)</f>
        <v/>
      </c>
      <c r="W271" s="15">
        <f>IF(SUM(U271:V271)=2,"Anticipatory_Sell","No_Action")</f>
        <v/>
      </c>
      <c r="X271" s="15" t="n"/>
      <c r="Y271" s="15">
        <f>IF(SUM(Z271:AA271)=2,"Confirm_Sell","No_Action")</f>
        <v/>
      </c>
      <c r="Z271" s="15">
        <f>IF(H271&gt;I271,1,0)</f>
        <v/>
      </c>
      <c r="AA271" s="15">
        <f>IF(K271&lt;M271,1,0)</f>
        <v/>
      </c>
      <c r="AB271" s="15" t="n"/>
      <c r="AC271" s="15">
        <f>LEFT(AG271,2)&amp;LEFT(AI271,2)</f>
        <v/>
      </c>
      <c r="AD271" s="15" t="n"/>
      <c r="AE271" s="15">
        <f>IF(K271&gt;L271,1,0)</f>
        <v/>
      </c>
      <c r="AF271" s="16">
        <f>IF(H271&gt;I271,1,0)</f>
        <v/>
      </c>
      <c r="AG271" s="16">
        <f>IF(SUM(AE271:AF271)=2,"Anticipatory_Buy","No_Action")</f>
        <v/>
      </c>
      <c r="AH271" s="15" t="n"/>
      <c r="AI271" s="15">
        <f>IF(SUM(AJ271:AK271)=2,"Confirm_Buy","No_Action")</f>
        <v/>
      </c>
      <c r="AJ271" s="15">
        <f>IF(H271&gt;I271,1,0)</f>
        <v/>
      </c>
      <c r="AK271" s="15">
        <f>IF(K271&gt;M271,1,0)</f>
        <v/>
      </c>
    </row>
    <row r="272" ht="14.5" customHeight="1">
      <c r="A272" s="12" t="inlineStr">
        <is>
          <t>SAFARI</t>
        </is>
      </c>
      <c r="B272" s="13">
        <f>IFERROR(__xludf.DUMMYFUNCTION("GOOGLEFINANCE(""NSE:""&amp;A272,""PRICE"")"),2622.95)</f>
        <v/>
      </c>
      <c r="C272" s="13">
        <f>IFERROR(__xludf.DUMMYFUNCTION("GOOGLEFINANCE(""NSE:""&amp;A272,""PRICEOPEN"")"),2685)</f>
        <v/>
      </c>
      <c r="D272" s="13">
        <f>IFERROR(__xludf.DUMMYFUNCTION("GOOGLEFINANCE(""NSE:""&amp;A272,""HIGH"")"),2685)</f>
        <v/>
      </c>
      <c r="E272" s="13">
        <f>IFERROR(__xludf.DUMMYFUNCTION("GOOGLEFINANCE(""NSE:""&amp;A272,""LOW"")"),2612)</f>
        <v/>
      </c>
      <c r="F272" s="13">
        <f>IFERROR(__xludf.DUMMYFUNCTION("GOOGLEFINANCE(""NSE:""&amp;A272,""closeyest"")"),2661.05)</f>
        <v/>
      </c>
      <c r="G272" s="14">
        <f>(B272-C272)/B272</f>
        <v/>
      </c>
      <c r="H272" s="13">
        <f>IFERROR(__xludf.DUMMYFUNCTION("GOOGLEFINANCE(""NSE:""&amp;A272,""VOLUME"")"),50582)</f>
        <v/>
      </c>
      <c r="I272" s="13">
        <f>IFERROR(__xludf.DUMMYFUNCTION("AVERAGE(index(GOOGLEFINANCE(""NSE:""&amp;$A272, ""volume"", today()-21, today()-1), , 2))"),"#N/A")</f>
        <v/>
      </c>
      <c r="J272" s="14">
        <f>(H272-I272)/I272</f>
        <v/>
      </c>
      <c r="K272" s="13">
        <f>IFERROR(__xludf.DUMMYFUNCTION("AVERAGE(index(GOOGLEFINANCE(""NSE:""&amp;$A272, ""close"", today()-6, today()-1), , 2))"),"#N/A")</f>
        <v/>
      </c>
      <c r="L272" s="13">
        <f>IFERROR(__xludf.DUMMYFUNCTION("AVERAGE(index(GOOGLEFINANCE(""NSE:""&amp;$A272, ""close"", today()-14, today()-1), , 2))"),"#N/A")</f>
        <v/>
      </c>
      <c r="M272" s="13">
        <f>IFERROR(__xludf.DUMMYFUNCTION("AVERAGE(index(GOOGLEFINANCE(""NSE:""&amp;$A272, ""close"", today()-22, today()-1), , 2))"),"#N/A")</f>
        <v/>
      </c>
      <c r="N272" s="13">
        <f>AG272</f>
        <v/>
      </c>
      <c r="O272" s="13">
        <f>AI272</f>
        <v/>
      </c>
      <c r="P272" s="13">
        <f>W272</f>
        <v/>
      </c>
      <c r="Q272" s="13">
        <f>Y272</f>
        <v/>
      </c>
      <c r="R272" s="15" t="n"/>
      <c r="S272" s="15">
        <f>LEFT(W272,2)&amp;LEFT(Y272,2)</f>
        <v/>
      </c>
      <c r="T272" s="15" t="n"/>
      <c r="U272" s="15">
        <f>IF(K272&lt;L272,1,0)</f>
        <v/>
      </c>
      <c r="V272" s="15">
        <f>IF(H272&gt;I272,1,0)</f>
        <v/>
      </c>
      <c r="W272" s="15">
        <f>IF(SUM(U272:V272)=2,"Anticipatory_Sell","No_Action")</f>
        <v/>
      </c>
      <c r="X272" s="15" t="n"/>
      <c r="Y272" s="15">
        <f>IF(SUM(Z272:AA272)=2,"Confirm_Sell","No_Action")</f>
        <v/>
      </c>
      <c r="Z272" s="15">
        <f>IF(H272&gt;I272,1,0)</f>
        <v/>
      </c>
      <c r="AA272" s="15">
        <f>IF(K272&lt;M272,1,0)</f>
        <v/>
      </c>
      <c r="AB272" s="15" t="n"/>
      <c r="AC272" s="15">
        <f>LEFT(AG272,2)&amp;LEFT(AI272,2)</f>
        <v/>
      </c>
      <c r="AD272" s="15" t="n"/>
      <c r="AE272" s="15">
        <f>IF(K272&gt;L272,1,0)</f>
        <v/>
      </c>
      <c r="AF272" s="16">
        <f>IF(H272&gt;I272,1,0)</f>
        <v/>
      </c>
      <c r="AG272" s="16">
        <f>IF(SUM(AE272:AF272)=2,"Anticipatory_Buy","No_Action")</f>
        <v/>
      </c>
      <c r="AH272" s="15" t="n"/>
      <c r="AI272" s="15">
        <f>IF(SUM(AJ272:AK272)=2,"Confirm_Buy","No_Action")</f>
        <v/>
      </c>
      <c r="AJ272" s="15">
        <f>IF(H272&gt;I272,1,0)</f>
        <v/>
      </c>
      <c r="AK272" s="15">
        <f>IF(K272&gt;M272,1,0)</f>
        <v/>
      </c>
    </row>
    <row r="273" ht="14.5" customHeight="1">
      <c r="A273" s="12" t="inlineStr">
        <is>
          <t>SAMMAANCAP</t>
        </is>
      </c>
      <c r="B273" s="13">
        <f>IFERROR(__xludf.DUMMYFUNCTION("GOOGLEFINANCE(""NSE:""&amp;A273,""PRICE"")"),167.51)</f>
        <v/>
      </c>
      <c r="C273" s="13">
        <f>IFERROR(__xludf.DUMMYFUNCTION("GOOGLEFINANCE(""NSE:""&amp;A273,""PRICEOPEN"")"),162.2)</f>
        <v/>
      </c>
      <c r="D273" s="13">
        <f>IFERROR(__xludf.DUMMYFUNCTION("GOOGLEFINANCE(""NSE:""&amp;A273,""HIGH"")"),168.7)</f>
        <v/>
      </c>
      <c r="E273" s="13">
        <f>IFERROR(__xludf.DUMMYFUNCTION("GOOGLEFINANCE(""NSE:""&amp;A273,""LOW"")"),160.5)</f>
        <v/>
      </c>
      <c r="F273" s="13">
        <f>IFERROR(__xludf.DUMMYFUNCTION("GOOGLEFINANCE(""NSE:""&amp;A273,""closeyest"")"),161.02)</f>
        <v/>
      </c>
      <c r="G273" s="14">
        <f>(B273-C273)/B273</f>
        <v/>
      </c>
      <c r="H273" s="13">
        <f>IFERROR(__xludf.DUMMYFUNCTION("GOOGLEFINANCE(""NSE:""&amp;A273,""VOLUME"")"),15521205)</f>
        <v/>
      </c>
      <c r="I273" s="13">
        <f>IFERROR(__xludf.DUMMYFUNCTION("AVERAGE(index(GOOGLEFINANCE(""NSE:""&amp;$A273, ""volume"", today()-21, today()-1), , 2))"),"#N/A")</f>
        <v/>
      </c>
      <c r="J273" s="14">
        <f>(H273-I273)/I273</f>
        <v/>
      </c>
      <c r="K273" s="13">
        <f>IFERROR(__xludf.DUMMYFUNCTION("AVERAGE(index(GOOGLEFINANCE(""NSE:""&amp;$A273, ""close"", today()-6, today()-1), , 2))"),"#N/A")</f>
        <v/>
      </c>
      <c r="L273" s="13">
        <f>IFERROR(__xludf.DUMMYFUNCTION("AVERAGE(index(GOOGLEFINANCE(""NSE:""&amp;$A273, ""close"", today()-14, today()-1), , 2))"),"#N/A")</f>
        <v/>
      </c>
      <c r="M273" s="13">
        <f>IFERROR(__xludf.DUMMYFUNCTION("AVERAGE(index(GOOGLEFINANCE(""NSE:""&amp;$A273, ""close"", today()-22, today()-1), , 2))"),"#N/A")</f>
        <v/>
      </c>
      <c r="N273" s="13">
        <f>AG273</f>
        <v/>
      </c>
      <c r="O273" s="13">
        <f>AI273</f>
        <v/>
      </c>
      <c r="P273" s="13">
        <f>W273</f>
        <v/>
      </c>
      <c r="Q273" s="13">
        <f>Y273</f>
        <v/>
      </c>
      <c r="R273" s="15" t="n"/>
      <c r="S273" s="15">
        <f>LEFT(W273,2)&amp;LEFT(Y273,2)</f>
        <v/>
      </c>
      <c r="T273" s="15" t="n"/>
      <c r="U273" s="15">
        <f>IF(K273&lt;L273,1,0)</f>
        <v/>
      </c>
      <c r="V273" s="15">
        <f>IF(H273&gt;I273,1,0)</f>
        <v/>
      </c>
      <c r="W273" s="15">
        <f>IF(SUM(U273:V273)=2,"Anticipatory_Sell","No_Action")</f>
        <v/>
      </c>
      <c r="X273" s="15" t="n"/>
      <c r="Y273" s="15">
        <f>IF(SUM(Z273:AA273)=2,"Confirm_Sell","No_Action")</f>
        <v/>
      </c>
      <c r="Z273" s="15">
        <f>IF(H273&gt;I273,1,0)</f>
        <v/>
      </c>
      <c r="AA273" s="15">
        <f>IF(K273&lt;M273,1,0)</f>
        <v/>
      </c>
      <c r="AB273" s="15" t="n"/>
      <c r="AC273" s="15">
        <f>LEFT(AG273,2)&amp;LEFT(AI273,2)</f>
        <v/>
      </c>
      <c r="AD273" s="15" t="n"/>
      <c r="AE273" s="15">
        <f>IF(K273&gt;L273,1,0)</f>
        <v/>
      </c>
      <c r="AF273" s="16">
        <f>IF(H273&gt;I273,1,0)</f>
        <v/>
      </c>
      <c r="AG273" s="16">
        <f>IF(SUM(AE273:AF273)=2,"Anticipatory_Buy","No_Action")</f>
        <v/>
      </c>
      <c r="AH273" s="15" t="n"/>
      <c r="AI273" s="15">
        <f>IF(SUM(AJ273:AK273)=2,"Confirm_Buy","No_Action")</f>
        <v/>
      </c>
      <c r="AJ273" s="15">
        <f>IF(H273&gt;I273,1,0)</f>
        <v/>
      </c>
      <c r="AK273" s="15">
        <f>IF(K273&gt;M273,1,0)</f>
        <v/>
      </c>
    </row>
    <row r="274" ht="14.5" customHeight="1">
      <c r="A274" s="12" t="inlineStr">
        <is>
          <t>SANDUMA</t>
        </is>
      </c>
      <c r="B274" s="13">
        <f>IFERROR(__xludf.DUMMYFUNCTION("GOOGLEFINANCE(""NSE:""&amp;A274,""PRICE"")"),532.5)</f>
        <v/>
      </c>
      <c r="C274" s="13">
        <f>IFERROR(__xludf.DUMMYFUNCTION("GOOGLEFINANCE(""NSE:""&amp;A274,""PRICEOPEN"")"),530)</f>
        <v/>
      </c>
      <c r="D274" s="13">
        <f>IFERROR(__xludf.DUMMYFUNCTION("GOOGLEFINANCE(""NSE:""&amp;A274,""HIGH"")"),540)</f>
        <v/>
      </c>
      <c r="E274" s="13">
        <f>IFERROR(__xludf.DUMMYFUNCTION("GOOGLEFINANCE(""NSE:""&amp;A274,""LOW"")"),528.05)</f>
        <v/>
      </c>
      <c r="F274" s="13">
        <f>IFERROR(__xludf.DUMMYFUNCTION("GOOGLEFINANCE(""NSE:""&amp;A274,""closeyest"")"),527.5)</f>
        <v/>
      </c>
      <c r="G274" s="14">
        <f>(B274-C274)/B274</f>
        <v/>
      </c>
      <c r="H274" s="13">
        <f>IFERROR(__xludf.DUMMYFUNCTION("GOOGLEFINANCE(""NSE:""&amp;A274,""VOLUME"")"),148788)</f>
        <v/>
      </c>
      <c r="I274" s="13">
        <f>IFERROR(__xludf.DUMMYFUNCTION("AVERAGE(index(GOOGLEFINANCE(""NSE:""&amp;$A274, ""volume"", today()-21, today()-1), , 2))"),"#N/A")</f>
        <v/>
      </c>
      <c r="J274" s="14">
        <f>(H274-I274)/I274</f>
        <v/>
      </c>
      <c r="K274" s="13">
        <f>IFERROR(__xludf.DUMMYFUNCTION("AVERAGE(index(GOOGLEFINANCE(""NSE:""&amp;$A274, ""close"", today()-6, today()-1), , 2))"),"#N/A")</f>
        <v/>
      </c>
      <c r="L274" s="13">
        <f>IFERROR(__xludf.DUMMYFUNCTION("AVERAGE(index(GOOGLEFINANCE(""NSE:""&amp;$A274, ""close"", today()-14, today()-1), , 2))"),"#N/A")</f>
        <v/>
      </c>
      <c r="M274" s="13">
        <f>IFERROR(__xludf.DUMMYFUNCTION("AVERAGE(index(GOOGLEFINANCE(""NSE:""&amp;$A274, ""close"", today()-22, today()-1), , 2))"),"#N/A")</f>
        <v/>
      </c>
      <c r="N274" s="13">
        <f>AG274</f>
        <v/>
      </c>
      <c r="O274" s="13">
        <f>AI274</f>
        <v/>
      </c>
      <c r="P274" s="13">
        <f>W274</f>
        <v/>
      </c>
      <c r="Q274" s="13">
        <f>Y274</f>
        <v/>
      </c>
      <c r="R274" s="15" t="n"/>
      <c r="S274" s="15">
        <f>LEFT(W274,2)&amp;LEFT(Y274,2)</f>
        <v/>
      </c>
      <c r="T274" s="15" t="n"/>
      <c r="U274" s="15">
        <f>IF(K274&lt;L274,1,0)</f>
        <v/>
      </c>
      <c r="V274" s="15">
        <f>IF(H274&gt;I274,1,0)</f>
        <v/>
      </c>
      <c r="W274" s="15">
        <f>IF(SUM(U274:V274)=2,"Anticipatory_Sell","No_Action")</f>
        <v/>
      </c>
      <c r="X274" s="15" t="n"/>
      <c r="Y274" s="15">
        <f>IF(SUM(Z274:AA274)=2,"Confirm_Sell","No_Action")</f>
        <v/>
      </c>
      <c r="Z274" s="15">
        <f>IF(H274&gt;I274,1,0)</f>
        <v/>
      </c>
      <c r="AA274" s="15">
        <f>IF(K274&lt;M274,1,0)</f>
        <v/>
      </c>
      <c r="AB274" s="15" t="n"/>
      <c r="AC274" s="15">
        <f>LEFT(AG274,2)&amp;LEFT(AI274,2)</f>
        <v/>
      </c>
      <c r="AD274" s="15" t="n"/>
      <c r="AE274" s="15">
        <f>IF(K274&gt;L274,1,0)</f>
        <v/>
      </c>
      <c r="AF274" s="16">
        <f>IF(H274&gt;I274,1,0)</f>
        <v/>
      </c>
      <c r="AG274" s="16">
        <f>IF(SUM(AE274:AF274)=2,"Anticipatory_Buy","No_Action")</f>
        <v/>
      </c>
      <c r="AH274" s="15" t="n"/>
      <c r="AI274" s="15">
        <f>IF(SUM(AJ274:AK274)=2,"Confirm_Buy","No_Action")</f>
        <v/>
      </c>
      <c r="AJ274" s="15">
        <f>IF(H274&gt;I274,1,0)</f>
        <v/>
      </c>
      <c r="AK274" s="15">
        <f>IF(K274&gt;M274,1,0)</f>
        <v/>
      </c>
    </row>
    <row r="275" ht="14.5" customHeight="1">
      <c r="A275" s="12" t="inlineStr">
        <is>
          <t>SANGHVIMOV</t>
        </is>
      </c>
      <c r="B275" s="13">
        <f>IFERROR(__xludf.DUMMYFUNCTION("GOOGLEFINANCE(""NSE:""&amp;A275,""PRICE"")"),346.8)</f>
        <v/>
      </c>
      <c r="C275" s="13">
        <f>IFERROR(__xludf.DUMMYFUNCTION("GOOGLEFINANCE(""NSE:""&amp;A275,""PRICEOPEN"")"),332)</f>
        <v/>
      </c>
      <c r="D275" s="13">
        <f>IFERROR(__xludf.DUMMYFUNCTION("GOOGLEFINANCE(""NSE:""&amp;A275,""HIGH"")"),350.95)</f>
        <v/>
      </c>
      <c r="E275" s="13">
        <f>IFERROR(__xludf.DUMMYFUNCTION("GOOGLEFINANCE(""NSE:""&amp;A275,""LOW"")"),330.05)</f>
        <v/>
      </c>
      <c r="F275" s="13">
        <f>IFERROR(__xludf.DUMMYFUNCTION("GOOGLEFINANCE(""NSE:""&amp;A275,""closeyest"")"),331.7)</f>
        <v/>
      </c>
      <c r="G275" s="14">
        <f>(B275-C275)/B275</f>
        <v/>
      </c>
      <c r="H275" s="13">
        <f>IFERROR(__xludf.DUMMYFUNCTION("GOOGLEFINANCE(""NSE:""&amp;A275,""VOLUME"")"),755410)</f>
        <v/>
      </c>
      <c r="I275" s="13">
        <f>IFERROR(__xludf.DUMMYFUNCTION("AVERAGE(index(GOOGLEFINANCE(""NSE:""&amp;$A275, ""volume"", today()-21, today()-1), , 2))"),"#N/A")</f>
        <v/>
      </c>
      <c r="J275" s="14">
        <f>(H275-I275)/I275</f>
        <v/>
      </c>
      <c r="K275" s="13">
        <f>IFERROR(__xludf.DUMMYFUNCTION("AVERAGE(index(GOOGLEFINANCE(""NSE:""&amp;$A275, ""close"", today()-6, today()-1), , 2))"),"#N/A")</f>
        <v/>
      </c>
      <c r="L275" s="13">
        <f>IFERROR(__xludf.DUMMYFUNCTION("AVERAGE(index(GOOGLEFINANCE(""NSE:""&amp;$A275, ""close"", today()-14, today()-1), , 2))"),"#N/A")</f>
        <v/>
      </c>
      <c r="M275" s="13">
        <f>IFERROR(__xludf.DUMMYFUNCTION("AVERAGE(index(GOOGLEFINANCE(""NSE:""&amp;$A275, ""close"", today()-22, today()-1), , 2))"),"#N/A")</f>
        <v/>
      </c>
      <c r="N275" s="13">
        <f>AG275</f>
        <v/>
      </c>
      <c r="O275" s="13">
        <f>AI275</f>
        <v/>
      </c>
      <c r="P275" s="13">
        <f>W275</f>
        <v/>
      </c>
      <c r="Q275" s="13">
        <f>Y275</f>
        <v/>
      </c>
      <c r="R275" s="15" t="n"/>
      <c r="S275" s="15">
        <f>LEFT(W275,2)&amp;LEFT(Y275,2)</f>
        <v/>
      </c>
      <c r="T275" s="15" t="n"/>
      <c r="U275" s="15">
        <f>IF(K275&lt;L275,1,0)</f>
        <v/>
      </c>
      <c r="V275" s="15">
        <f>IF(H275&gt;I275,1,0)</f>
        <v/>
      </c>
      <c r="W275" s="15">
        <f>IF(SUM(U275:V275)=2,"Anticipatory_Sell","No_Action")</f>
        <v/>
      </c>
      <c r="X275" s="15" t="n"/>
      <c r="Y275" s="15">
        <f>IF(SUM(Z275:AA275)=2,"Confirm_Sell","No_Action")</f>
        <v/>
      </c>
      <c r="Z275" s="15">
        <f>IF(H275&gt;I275,1,0)</f>
        <v/>
      </c>
      <c r="AA275" s="15">
        <f>IF(K275&lt;M275,1,0)</f>
        <v/>
      </c>
      <c r="AB275" s="15" t="n"/>
      <c r="AC275" s="15">
        <f>LEFT(AG275,2)&amp;LEFT(AI275,2)</f>
        <v/>
      </c>
      <c r="AD275" s="15" t="n"/>
      <c r="AE275" s="15">
        <f>IF(K275&gt;L275,1,0)</f>
        <v/>
      </c>
      <c r="AF275" s="16">
        <f>IF(H275&gt;I275,1,0)</f>
        <v/>
      </c>
      <c r="AG275" s="16">
        <f>IF(SUM(AE275:AF275)=2,"Anticipatory_Buy","No_Action")</f>
        <v/>
      </c>
      <c r="AH275" s="15" t="n"/>
      <c r="AI275" s="15">
        <f>IF(SUM(AJ275:AK275)=2,"Confirm_Buy","No_Action")</f>
        <v/>
      </c>
      <c r="AJ275" s="15">
        <f>IF(H275&gt;I275,1,0)</f>
        <v/>
      </c>
      <c r="AK275" s="15">
        <f>IF(K275&gt;M275,1,0)</f>
        <v/>
      </c>
    </row>
    <row r="276" ht="14.5" customHeight="1">
      <c r="A276" s="12" t="inlineStr">
        <is>
          <t>SANOFI</t>
        </is>
      </c>
      <c r="B276" s="13">
        <f>IFERROR(__xludf.DUMMYFUNCTION("GOOGLEFINANCE(""NSE:""&amp;A276,""PRICE"")"),6265)</f>
        <v/>
      </c>
      <c r="C276" s="13">
        <f>IFERROR(__xludf.DUMMYFUNCTION("GOOGLEFINANCE(""NSE:""&amp;A276,""PRICEOPEN"")"),6242)</f>
        <v/>
      </c>
      <c r="D276" s="13">
        <f>IFERROR(__xludf.DUMMYFUNCTION("GOOGLEFINANCE(""NSE:""&amp;A276,""HIGH"")"),6354.65)</f>
        <v/>
      </c>
      <c r="E276" s="13">
        <f>IFERROR(__xludf.DUMMYFUNCTION("GOOGLEFINANCE(""NSE:""&amp;A276,""LOW"")"),6182.85)</f>
        <v/>
      </c>
      <c r="F276" s="13">
        <f>IFERROR(__xludf.DUMMYFUNCTION("GOOGLEFINANCE(""NSE:""&amp;A276,""closeyest"")"),6242.3)</f>
        <v/>
      </c>
      <c r="G276" s="14">
        <f>(B276-C276)/B276</f>
        <v/>
      </c>
      <c r="H276" s="13">
        <f>IFERROR(__xludf.DUMMYFUNCTION("GOOGLEFINANCE(""NSE:""&amp;A276,""VOLUME"")"),9455)</f>
        <v/>
      </c>
      <c r="I276" s="13">
        <f>IFERROR(__xludf.DUMMYFUNCTION("AVERAGE(index(GOOGLEFINANCE(""NSE:""&amp;$A276, ""volume"", today()-21, today()-1), , 2))"),"#N/A")</f>
        <v/>
      </c>
      <c r="J276" s="14">
        <f>(H276-I276)/I276</f>
        <v/>
      </c>
      <c r="K276" s="13">
        <f>IFERROR(__xludf.DUMMYFUNCTION("AVERAGE(index(GOOGLEFINANCE(""NSE:""&amp;$A276, ""close"", today()-6, today()-1), , 2))"),"#N/A")</f>
        <v/>
      </c>
      <c r="L276" s="13">
        <f>IFERROR(__xludf.DUMMYFUNCTION("AVERAGE(index(GOOGLEFINANCE(""NSE:""&amp;$A276, ""close"", today()-14, today()-1), , 2))"),"#N/A")</f>
        <v/>
      </c>
      <c r="M276" s="13">
        <f>IFERROR(__xludf.DUMMYFUNCTION("AVERAGE(index(GOOGLEFINANCE(""NSE:""&amp;$A276, ""close"", today()-22, today()-1), , 2))"),"#N/A")</f>
        <v/>
      </c>
      <c r="N276" s="13">
        <f>AG276</f>
        <v/>
      </c>
      <c r="O276" s="13">
        <f>AI276</f>
        <v/>
      </c>
      <c r="P276" s="13">
        <f>W276</f>
        <v/>
      </c>
      <c r="Q276" s="13">
        <f>Y276</f>
        <v/>
      </c>
      <c r="R276" s="15" t="n"/>
      <c r="S276" s="15">
        <f>LEFT(W276,2)&amp;LEFT(Y276,2)</f>
        <v/>
      </c>
      <c r="T276" s="15" t="n"/>
      <c r="U276" s="15">
        <f>IF(K276&lt;L276,1,0)</f>
        <v/>
      </c>
      <c r="V276" s="15">
        <f>IF(H276&gt;I276,1,0)</f>
        <v/>
      </c>
      <c r="W276" s="15">
        <f>IF(SUM(U276:V276)=2,"Anticipatory_Sell","No_Action")</f>
        <v/>
      </c>
      <c r="X276" s="15" t="n"/>
      <c r="Y276" s="15">
        <f>IF(SUM(Z276:AA276)=2,"Confirm_Sell","No_Action")</f>
        <v/>
      </c>
      <c r="Z276" s="15">
        <f>IF(H276&gt;I276,1,0)</f>
        <v/>
      </c>
      <c r="AA276" s="15">
        <f>IF(K276&lt;M276,1,0)</f>
        <v/>
      </c>
      <c r="AB276" s="15" t="n"/>
      <c r="AC276" s="15">
        <f>LEFT(AG276,2)&amp;LEFT(AI276,2)</f>
        <v/>
      </c>
      <c r="AD276" s="15" t="n"/>
      <c r="AE276" s="15">
        <f>IF(K276&gt;L276,1,0)</f>
        <v/>
      </c>
      <c r="AF276" s="16">
        <f>IF(H276&gt;I276,1,0)</f>
        <v/>
      </c>
      <c r="AG276" s="16">
        <f>IF(SUM(AE276:AF276)=2,"Anticipatory_Buy","No_Action")</f>
        <v/>
      </c>
      <c r="AH276" s="15" t="n"/>
      <c r="AI276" s="15">
        <f>IF(SUM(AJ276:AK276)=2,"Confirm_Buy","No_Action")</f>
        <v/>
      </c>
      <c r="AJ276" s="15">
        <f>IF(H276&gt;I276,1,0)</f>
        <v/>
      </c>
      <c r="AK276" s="15">
        <f>IF(K276&gt;M276,1,0)</f>
        <v/>
      </c>
    </row>
    <row r="277" ht="14.5" customHeight="1">
      <c r="A277" s="12" t="inlineStr">
        <is>
          <t>SARDAEN</t>
        </is>
      </c>
      <c r="B277" s="13">
        <f>IFERROR(__xludf.DUMMYFUNCTION("GOOGLEFINANCE(""NSE:""&amp;A277,""PRICE"")"),486)</f>
        <v/>
      </c>
      <c r="C277" s="13">
        <f>IFERROR(__xludf.DUMMYFUNCTION("GOOGLEFINANCE(""NSE:""&amp;A277,""PRICEOPEN"")"),471.7)</f>
        <v/>
      </c>
      <c r="D277" s="13">
        <f>IFERROR(__xludf.DUMMYFUNCTION("GOOGLEFINANCE(""NSE:""&amp;A277,""HIGH"")"),488.7)</f>
        <v/>
      </c>
      <c r="E277" s="13">
        <f>IFERROR(__xludf.DUMMYFUNCTION("GOOGLEFINANCE(""NSE:""&amp;A277,""LOW"")"),469.7)</f>
        <v/>
      </c>
      <c r="F277" s="13">
        <f>IFERROR(__xludf.DUMMYFUNCTION("GOOGLEFINANCE(""NSE:""&amp;A277,""closeyest"")"),472.5)</f>
        <v/>
      </c>
      <c r="G277" s="14">
        <f>(B277-C277)/B277</f>
        <v/>
      </c>
      <c r="H277" s="13">
        <f>IFERROR(__xludf.DUMMYFUNCTION("GOOGLEFINANCE(""NSE:""&amp;A277,""VOLUME"")"),502887)</f>
        <v/>
      </c>
      <c r="I277" s="13">
        <f>IFERROR(__xludf.DUMMYFUNCTION("AVERAGE(index(GOOGLEFINANCE(""NSE:""&amp;$A277, ""volume"", today()-21, today()-1), , 2))"),"#N/A")</f>
        <v/>
      </c>
      <c r="J277" s="14">
        <f>(H277-I277)/I277</f>
        <v/>
      </c>
      <c r="K277" s="13">
        <f>IFERROR(__xludf.DUMMYFUNCTION("AVERAGE(index(GOOGLEFINANCE(""NSE:""&amp;$A277, ""close"", today()-6, today()-1), , 2))"),"#N/A")</f>
        <v/>
      </c>
      <c r="L277" s="13">
        <f>IFERROR(__xludf.DUMMYFUNCTION("AVERAGE(index(GOOGLEFINANCE(""NSE:""&amp;$A277, ""close"", today()-14, today()-1), , 2))"),"#N/A")</f>
        <v/>
      </c>
      <c r="M277" s="13">
        <f>IFERROR(__xludf.DUMMYFUNCTION("AVERAGE(index(GOOGLEFINANCE(""NSE:""&amp;$A277, ""close"", today()-22, today()-1), , 2))"),"#N/A")</f>
        <v/>
      </c>
      <c r="N277" s="13">
        <f>AG277</f>
        <v/>
      </c>
      <c r="O277" s="13">
        <f>AI277</f>
        <v/>
      </c>
      <c r="P277" s="13">
        <f>W277</f>
        <v/>
      </c>
      <c r="Q277" s="13">
        <f>Y277</f>
        <v/>
      </c>
      <c r="R277" s="15" t="n"/>
      <c r="S277" s="15">
        <f>LEFT(W277,2)&amp;LEFT(Y277,2)</f>
        <v/>
      </c>
      <c r="T277" s="15" t="n"/>
      <c r="U277" s="15">
        <f>IF(K277&lt;L277,1,0)</f>
        <v/>
      </c>
      <c r="V277" s="15">
        <f>IF(H277&gt;I277,1,0)</f>
        <v/>
      </c>
      <c r="W277" s="15">
        <f>IF(SUM(U277:V277)=2,"Anticipatory_Sell","No_Action")</f>
        <v/>
      </c>
      <c r="X277" s="15" t="n"/>
      <c r="Y277" s="15">
        <f>IF(SUM(Z277:AA277)=2,"Confirm_Sell","No_Action")</f>
        <v/>
      </c>
      <c r="Z277" s="15">
        <f>IF(H277&gt;I277,1,0)</f>
        <v/>
      </c>
      <c r="AA277" s="15">
        <f>IF(K277&lt;M277,1,0)</f>
        <v/>
      </c>
      <c r="AB277" s="15" t="n"/>
      <c r="AC277" s="15">
        <f>LEFT(AG277,2)&amp;LEFT(AI277,2)</f>
        <v/>
      </c>
      <c r="AD277" s="15" t="n"/>
      <c r="AE277" s="15">
        <f>IF(K277&gt;L277,1,0)</f>
        <v/>
      </c>
      <c r="AF277" s="16">
        <f>IF(H277&gt;I277,1,0)</f>
        <v/>
      </c>
      <c r="AG277" s="16">
        <f>IF(SUM(AE277:AF277)=2,"Anticipatory_Buy","No_Action")</f>
        <v/>
      </c>
      <c r="AH277" s="15" t="n"/>
      <c r="AI277" s="15">
        <f>IF(SUM(AJ277:AK277)=2,"Confirm_Buy","No_Action")</f>
        <v/>
      </c>
      <c r="AJ277" s="15">
        <f>IF(H277&gt;I277,1,0)</f>
        <v/>
      </c>
      <c r="AK277" s="15">
        <f>IF(K277&gt;M277,1,0)</f>
        <v/>
      </c>
    </row>
    <row r="278" ht="14.5" customHeight="1">
      <c r="A278" s="12" t="inlineStr">
        <is>
          <t>SATINDLTD</t>
        </is>
      </c>
      <c r="B278" s="13">
        <f>IFERROR(__xludf.DUMMYFUNCTION("GOOGLEFINANCE(""NSE:""&amp;A278,""PRICE"")"),119.59)</f>
        <v/>
      </c>
      <c r="C278" s="13">
        <f>IFERROR(__xludf.DUMMYFUNCTION("GOOGLEFINANCE(""NSE:""&amp;A278,""PRICEOPEN"")"),120.95)</f>
        <v/>
      </c>
      <c r="D278" s="13">
        <f>IFERROR(__xludf.DUMMYFUNCTION("GOOGLEFINANCE(""NSE:""&amp;A278,""HIGH"")"),122.45)</f>
        <v/>
      </c>
      <c r="E278" s="13">
        <f>IFERROR(__xludf.DUMMYFUNCTION("GOOGLEFINANCE(""NSE:""&amp;A278,""LOW"")"),118.71)</f>
        <v/>
      </c>
      <c r="F278" s="13">
        <f>IFERROR(__xludf.DUMMYFUNCTION("GOOGLEFINANCE(""NSE:""&amp;A278,""closeyest"")"),121.37)</f>
        <v/>
      </c>
      <c r="G278" s="14">
        <f>(B278-C278)/B278</f>
        <v/>
      </c>
      <c r="H278" s="13">
        <f>IFERROR(__xludf.DUMMYFUNCTION("GOOGLEFINANCE(""NSE:""&amp;A278,""VOLUME"")"),238245)</f>
        <v/>
      </c>
      <c r="I278" s="13">
        <f>IFERROR(__xludf.DUMMYFUNCTION("AVERAGE(index(GOOGLEFINANCE(""NSE:""&amp;$A278, ""volume"", today()-21, today()-1), , 2))"),"#N/A")</f>
        <v/>
      </c>
      <c r="J278" s="14">
        <f>(H278-I278)/I278</f>
        <v/>
      </c>
      <c r="K278" s="13">
        <f>IFERROR(__xludf.DUMMYFUNCTION("AVERAGE(index(GOOGLEFINANCE(""NSE:""&amp;$A278, ""close"", today()-6, today()-1), , 2))"),"#N/A")</f>
        <v/>
      </c>
      <c r="L278" s="13">
        <f>IFERROR(__xludf.DUMMYFUNCTION("AVERAGE(index(GOOGLEFINANCE(""NSE:""&amp;$A278, ""close"", today()-14, today()-1), , 2))"),"#N/A")</f>
        <v/>
      </c>
      <c r="M278" s="13">
        <f>IFERROR(__xludf.DUMMYFUNCTION("AVERAGE(index(GOOGLEFINANCE(""NSE:""&amp;$A278, ""close"", today()-22, today()-1), , 2))"),"#N/A")</f>
        <v/>
      </c>
      <c r="N278" s="13">
        <f>AG278</f>
        <v/>
      </c>
      <c r="O278" s="13">
        <f>AI278</f>
        <v/>
      </c>
      <c r="P278" s="13">
        <f>W278</f>
        <v/>
      </c>
      <c r="Q278" s="13">
        <f>Y278</f>
        <v/>
      </c>
      <c r="R278" s="15" t="n"/>
      <c r="S278" s="15">
        <f>LEFT(W278,2)&amp;LEFT(Y278,2)</f>
        <v/>
      </c>
      <c r="T278" s="15" t="n"/>
      <c r="U278" s="15">
        <f>IF(K278&lt;L278,1,0)</f>
        <v/>
      </c>
      <c r="V278" s="15">
        <f>IF(H278&gt;I278,1,0)</f>
        <v/>
      </c>
      <c r="W278" s="15">
        <f>IF(SUM(U278:V278)=2,"Anticipatory_Sell","No_Action")</f>
        <v/>
      </c>
      <c r="X278" s="15" t="n"/>
      <c r="Y278" s="15">
        <f>IF(SUM(Z278:AA278)=2,"Confirm_Sell","No_Action")</f>
        <v/>
      </c>
      <c r="Z278" s="15">
        <f>IF(H278&gt;I278,1,0)</f>
        <v/>
      </c>
      <c r="AA278" s="15">
        <f>IF(K278&lt;M278,1,0)</f>
        <v/>
      </c>
      <c r="AB278" s="15" t="n"/>
      <c r="AC278" s="15">
        <f>LEFT(AG278,2)&amp;LEFT(AI278,2)</f>
        <v/>
      </c>
      <c r="AD278" s="15" t="n"/>
      <c r="AE278" s="15">
        <f>IF(K278&gt;L278,1,0)</f>
        <v/>
      </c>
      <c r="AF278" s="16">
        <f>IF(H278&gt;I278,1,0)</f>
        <v/>
      </c>
      <c r="AG278" s="16">
        <f>IF(SUM(AE278:AF278)=2,"Anticipatory_Buy","No_Action")</f>
        <v/>
      </c>
      <c r="AH278" s="15" t="n"/>
      <c r="AI278" s="15">
        <f>IF(SUM(AJ278:AK278)=2,"Confirm_Buy","No_Action")</f>
        <v/>
      </c>
      <c r="AJ278" s="15">
        <f>IF(H278&gt;I278,1,0)</f>
        <v/>
      </c>
      <c r="AK278" s="15">
        <f>IF(K278&gt;M278,1,0)</f>
        <v/>
      </c>
    </row>
    <row r="279" ht="14.5" customHeight="1">
      <c r="A279" s="12" t="inlineStr">
        <is>
          <t>SEAMECLTD</t>
        </is>
      </c>
      <c r="B279" s="13">
        <f>IFERROR(__xludf.DUMMYFUNCTION("GOOGLEFINANCE(""NSE:""&amp;A279,""PRICE"")"),1198.5)</f>
        <v/>
      </c>
      <c r="C279" s="13">
        <f>IFERROR(__xludf.DUMMYFUNCTION("GOOGLEFINANCE(""NSE:""&amp;A279,""PRICEOPEN"")"),1186.15)</f>
        <v/>
      </c>
      <c r="D279" s="13">
        <f>IFERROR(__xludf.DUMMYFUNCTION("GOOGLEFINANCE(""NSE:""&amp;A279,""HIGH"")"),1221)</f>
        <v/>
      </c>
      <c r="E279" s="13">
        <f>IFERROR(__xludf.DUMMYFUNCTION("GOOGLEFINANCE(""NSE:""&amp;A279,""LOW"")"),1186.15)</f>
        <v/>
      </c>
      <c r="F279" s="13">
        <f>IFERROR(__xludf.DUMMYFUNCTION("GOOGLEFINANCE(""NSE:""&amp;A279,""closeyest"")"),1195.3)</f>
        <v/>
      </c>
      <c r="G279" s="14">
        <f>(B279-C279)/B279</f>
        <v/>
      </c>
      <c r="H279" s="13">
        <f>IFERROR(__xludf.DUMMYFUNCTION("GOOGLEFINANCE(""NSE:""&amp;A279,""VOLUME"")"),10849)</f>
        <v/>
      </c>
      <c r="I279" s="13">
        <f>IFERROR(__xludf.DUMMYFUNCTION("AVERAGE(index(GOOGLEFINANCE(""NSE:""&amp;$A279, ""volume"", today()-21, today()-1), , 2))"),"#N/A")</f>
        <v/>
      </c>
      <c r="J279" s="14">
        <f>(H279-I279)/I279</f>
        <v/>
      </c>
      <c r="K279" s="13">
        <f>IFERROR(__xludf.DUMMYFUNCTION("AVERAGE(index(GOOGLEFINANCE(""NSE:""&amp;$A279, ""close"", today()-6, today()-1), , 2))"),"#N/A")</f>
        <v/>
      </c>
      <c r="L279" s="13">
        <f>IFERROR(__xludf.DUMMYFUNCTION("AVERAGE(index(GOOGLEFINANCE(""NSE:""&amp;$A279, ""close"", today()-14, today()-1), , 2))"),"#N/A")</f>
        <v/>
      </c>
      <c r="M279" s="13">
        <f>IFERROR(__xludf.DUMMYFUNCTION("AVERAGE(index(GOOGLEFINANCE(""NSE:""&amp;$A279, ""close"", today()-22, today()-1), , 2))"),"#N/A")</f>
        <v/>
      </c>
      <c r="N279" s="13">
        <f>AG279</f>
        <v/>
      </c>
      <c r="O279" s="13">
        <f>AI279</f>
        <v/>
      </c>
      <c r="P279" s="13">
        <f>W279</f>
        <v/>
      </c>
      <c r="Q279" s="13">
        <f>Y279</f>
        <v/>
      </c>
      <c r="R279" s="15" t="n"/>
      <c r="S279" s="15">
        <f>LEFT(W279,2)&amp;LEFT(Y279,2)</f>
        <v/>
      </c>
      <c r="T279" s="15" t="n"/>
      <c r="U279" s="15">
        <f>IF(K279&lt;L279,1,0)</f>
        <v/>
      </c>
      <c r="V279" s="15">
        <f>IF(H279&gt;I279,1,0)</f>
        <v/>
      </c>
      <c r="W279" s="15">
        <f>IF(SUM(U279:V279)=2,"Anticipatory_Sell","No_Action")</f>
        <v/>
      </c>
      <c r="X279" s="15" t="n"/>
      <c r="Y279" s="15">
        <f>IF(SUM(Z279:AA279)=2,"Confirm_Sell","No_Action")</f>
        <v/>
      </c>
      <c r="Z279" s="15">
        <f>IF(H279&gt;I279,1,0)</f>
        <v/>
      </c>
      <c r="AA279" s="15">
        <f>IF(K279&lt;M279,1,0)</f>
        <v/>
      </c>
      <c r="AB279" s="15" t="n"/>
      <c r="AC279" s="15">
        <f>LEFT(AG279,2)&amp;LEFT(AI279,2)</f>
        <v/>
      </c>
      <c r="AD279" s="15" t="n"/>
      <c r="AE279" s="15">
        <f>IF(K279&gt;L279,1,0)</f>
        <v/>
      </c>
      <c r="AF279" s="16">
        <f>IF(H279&gt;I279,1,0)</f>
        <v/>
      </c>
      <c r="AG279" s="16">
        <f>IF(SUM(AE279:AF279)=2,"Anticipatory_Buy","No_Action")</f>
        <v/>
      </c>
      <c r="AH279" s="15" t="n"/>
      <c r="AI279" s="15">
        <f>IF(SUM(AJ279:AK279)=2,"Confirm_Buy","No_Action")</f>
        <v/>
      </c>
      <c r="AJ279" s="15">
        <f>IF(H279&gt;I279,1,0)</f>
        <v/>
      </c>
      <c r="AK279" s="15">
        <f>IF(K279&gt;M279,1,0)</f>
        <v/>
      </c>
    </row>
    <row r="280" ht="14.5" customHeight="1">
      <c r="A280" s="12" t="inlineStr">
        <is>
          <t>SESHAPAPER</t>
        </is>
      </c>
      <c r="B280" s="13">
        <f>IFERROR(__xludf.DUMMYFUNCTION("GOOGLEFINANCE(""NSE:""&amp;A280,""PRICE"")"),316.6)</f>
        <v/>
      </c>
      <c r="C280" s="13">
        <f>IFERROR(__xludf.DUMMYFUNCTION("GOOGLEFINANCE(""NSE:""&amp;A280,""PRICEOPEN"")"),322.1)</f>
        <v/>
      </c>
      <c r="D280" s="13">
        <f>IFERROR(__xludf.DUMMYFUNCTION("GOOGLEFINANCE(""NSE:""&amp;A280,""HIGH"")"),323.15)</f>
        <v/>
      </c>
      <c r="E280" s="13">
        <f>IFERROR(__xludf.DUMMYFUNCTION("GOOGLEFINANCE(""NSE:""&amp;A280,""LOW"")"),316.6)</f>
        <v/>
      </c>
      <c r="F280" s="13">
        <f>IFERROR(__xludf.DUMMYFUNCTION("GOOGLEFINANCE(""NSE:""&amp;A280,""closeyest"")"),320.2)</f>
        <v/>
      </c>
      <c r="G280" s="14">
        <f>(B280-C280)/B280</f>
        <v/>
      </c>
      <c r="H280" s="13">
        <f>IFERROR(__xludf.DUMMYFUNCTION("GOOGLEFINANCE(""NSE:""&amp;A280,""VOLUME"")"),10307)</f>
        <v/>
      </c>
      <c r="I280" s="13">
        <f>IFERROR(__xludf.DUMMYFUNCTION("AVERAGE(index(GOOGLEFINANCE(""NSE:""&amp;$A280, ""volume"", today()-21, today()-1), , 2))"),"#N/A")</f>
        <v/>
      </c>
      <c r="J280" s="14">
        <f>(H280-I280)/I280</f>
        <v/>
      </c>
      <c r="K280" s="13">
        <f>IFERROR(__xludf.DUMMYFUNCTION("AVERAGE(index(GOOGLEFINANCE(""NSE:""&amp;$A280, ""close"", today()-6, today()-1), , 2))"),"#N/A")</f>
        <v/>
      </c>
      <c r="L280" s="13">
        <f>IFERROR(__xludf.DUMMYFUNCTION("AVERAGE(index(GOOGLEFINANCE(""NSE:""&amp;$A280, ""close"", today()-14, today()-1), , 2))"),"#N/A")</f>
        <v/>
      </c>
      <c r="M280" s="13">
        <f>IFERROR(__xludf.DUMMYFUNCTION("AVERAGE(index(GOOGLEFINANCE(""NSE:""&amp;$A280, ""close"", today()-22, today()-1), , 2))"),"#N/A")</f>
        <v/>
      </c>
      <c r="N280" s="13">
        <f>AG280</f>
        <v/>
      </c>
      <c r="O280" s="13">
        <f>AI280</f>
        <v/>
      </c>
      <c r="P280" s="13">
        <f>W280</f>
        <v/>
      </c>
      <c r="Q280" s="13">
        <f>Y280</f>
        <v/>
      </c>
      <c r="R280" s="15" t="n"/>
      <c r="S280" s="15">
        <f>LEFT(W280,2)&amp;LEFT(Y280,2)</f>
        <v/>
      </c>
      <c r="T280" s="15" t="n"/>
      <c r="U280" s="15">
        <f>IF(K280&lt;L280,1,0)</f>
        <v/>
      </c>
      <c r="V280" s="15">
        <f>IF(H280&gt;I280,1,0)</f>
        <v/>
      </c>
      <c r="W280" s="15">
        <f>IF(SUM(U280:V280)=2,"Anticipatory_Sell","No_Action")</f>
        <v/>
      </c>
      <c r="X280" s="15" t="n"/>
      <c r="Y280" s="15">
        <f>IF(SUM(Z280:AA280)=2,"Confirm_Sell","No_Action")</f>
        <v/>
      </c>
      <c r="Z280" s="15">
        <f>IF(H280&gt;I280,1,0)</f>
        <v/>
      </c>
      <c r="AA280" s="15">
        <f>IF(K280&lt;M280,1,0)</f>
        <v/>
      </c>
      <c r="AB280" s="15" t="n"/>
      <c r="AC280" s="15">
        <f>LEFT(AG280,2)&amp;LEFT(AI280,2)</f>
        <v/>
      </c>
      <c r="AD280" s="15" t="n"/>
      <c r="AE280" s="15">
        <f>IF(K280&gt;L280,1,0)</f>
        <v/>
      </c>
      <c r="AF280" s="16">
        <f>IF(H280&gt;I280,1,0)</f>
        <v/>
      </c>
      <c r="AG280" s="16">
        <f>IF(SUM(AE280:AF280)=2,"Anticipatory_Buy","No_Action")</f>
        <v/>
      </c>
      <c r="AH280" s="15" t="n"/>
      <c r="AI280" s="15">
        <f>IF(SUM(AJ280:AK280)=2,"Confirm_Buy","No_Action")</f>
        <v/>
      </c>
      <c r="AJ280" s="15">
        <f>IF(H280&gt;I280,1,0)</f>
        <v/>
      </c>
      <c r="AK280" s="15">
        <f>IF(K280&gt;M280,1,0)</f>
        <v/>
      </c>
    </row>
    <row r="281" ht="14.5" customHeight="1">
      <c r="A281" s="12" t="inlineStr">
        <is>
          <t>SHREDIGCEM</t>
        </is>
      </c>
      <c r="B281" s="13">
        <f>IFERROR(__xludf.DUMMYFUNCTION("GOOGLEFINANCE(""NSE:""&amp;A281,""PRICE"")"),90.73)</f>
        <v/>
      </c>
      <c r="C281" s="13">
        <f>IFERROR(__xludf.DUMMYFUNCTION("GOOGLEFINANCE(""NSE:""&amp;A281,""PRICEOPEN"")"),91)</f>
        <v/>
      </c>
      <c r="D281" s="13">
        <f>IFERROR(__xludf.DUMMYFUNCTION("GOOGLEFINANCE(""NSE:""&amp;A281,""HIGH"")"),91.99)</f>
        <v/>
      </c>
      <c r="E281" s="13">
        <f>IFERROR(__xludf.DUMMYFUNCTION("GOOGLEFINANCE(""NSE:""&amp;A281,""LOW"")"),90.07)</f>
        <v/>
      </c>
      <c r="F281" s="13">
        <f>IFERROR(__xludf.DUMMYFUNCTION("GOOGLEFINANCE(""NSE:""&amp;A281,""closeyest"")"),91.63)</f>
        <v/>
      </c>
      <c r="G281" s="14">
        <f>(B281-C281)/B281</f>
        <v/>
      </c>
      <c r="H281" s="13">
        <f>IFERROR(__xludf.DUMMYFUNCTION("GOOGLEFINANCE(""NSE:""&amp;A281,""VOLUME"")"),250262)</f>
        <v/>
      </c>
      <c r="I281" s="13">
        <f>IFERROR(__xludf.DUMMYFUNCTION("AVERAGE(index(GOOGLEFINANCE(""NSE:""&amp;$A281, ""volume"", today()-21, today()-1), , 2))"),"#N/A")</f>
        <v/>
      </c>
      <c r="J281" s="14">
        <f>(H281-I281)/I281</f>
        <v/>
      </c>
      <c r="K281" s="13">
        <f>IFERROR(__xludf.DUMMYFUNCTION("AVERAGE(index(GOOGLEFINANCE(""NSE:""&amp;$A281, ""close"", today()-6, today()-1), , 2))"),"#N/A")</f>
        <v/>
      </c>
      <c r="L281" s="13">
        <f>IFERROR(__xludf.DUMMYFUNCTION("AVERAGE(index(GOOGLEFINANCE(""NSE:""&amp;$A281, ""close"", today()-14, today()-1), , 2))"),"#N/A")</f>
        <v/>
      </c>
      <c r="M281" s="13">
        <f>IFERROR(__xludf.DUMMYFUNCTION("AVERAGE(index(GOOGLEFINANCE(""NSE:""&amp;$A281, ""close"", today()-22, today()-1), , 2))"),"#N/A")</f>
        <v/>
      </c>
      <c r="N281" s="13">
        <f>AG281</f>
        <v/>
      </c>
      <c r="O281" s="13">
        <f>AI281</f>
        <v/>
      </c>
      <c r="P281" s="13">
        <f>W281</f>
        <v/>
      </c>
      <c r="Q281" s="13">
        <f>Y281</f>
        <v/>
      </c>
      <c r="R281" s="15" t="n"/>
      <c r="S281" s="15">
        <f>LEFT(W281,2)&amp;LEFT(Y281,2)</f>
        <v/>
      </c>
      <c r="T281" s="15" t="n"/>
      <c r="U281" s="15">
        <f>IF(K281&lt;L281,1,0)</f>
        <v/>
      </c>
      <c r="V281" s="15">
        <f>IF(H281&gt;I281,1,0)</f>
        <v/>
      </c>
      <c r="W281" s="15">
        <f>IF(SUM(U281:V281)=2,"Anticipatory_Sell","No_Action")</f>
        <v/>
      </c>
      <c r="X281" s="15" t="n"/>
      <c r="Y281" s="15">
        <f>IF(SUM(Z281:AA281)=2,"Confirm_Sell","No_Action")</f>
        <v/>
      </c>
      <c r="Z281" s="15">
        <f>IF(H281&gt;I281,1,0)</f>
        <v/>
      </c>
      <c r="AA281" s="15">
        <f>IF(K281&lt;M281,1,0)</f>
        <v/>
      </c>
      <c r="AB281" s="15" t="n"/>
      <c r="AC281" s="15">
        <f>LEFT(AG281,2)&amp;LEFT(AI281,2)</f>
        <v/>
      </c>
      <c r="AD281" s="15" t="n"/>
      <c r="AE281" s="15">
        <f>IF(K281&gt;L281,1,0)</f>
        <v/>
      </c>
      <c r="AF281" s="16">
        <f>IF(H281&gt;I281,1,0)</f>
        <v/>
      </c>
      <c r="AG281" s="16">
        <f>IF(SUM(AE281:AF281)=2,"Anticipatory_Buy","No_Action")</f>
        <v/>
      </c>
      <c r="AH281" s="15" t="n"/>
      <c r="AI281" s="15">
        <f>IF(SUM(AJ281:AK281)=2,"Confirm_Buy","No_Action")</f>
        <v/>
      </c>
      <c r="AJ281" s="15">
        <f>IF(H281&gt;I281,1,0)</f>
        <v/>
      </c>
      <c r="AK281" s="15">
        <f>IF(K281&gt;M281,1,0)</f>
        <v/>
      </c>
    </row>
    <row r="282" ht="14.5" customHeight="1">
      <c r="A282" s="12" t="inlineStr">
        <is>
          <t>SBCL</t>
        </is>
      </c>
      <c r="B282" s="13">
        <f>IFERROR(__xludf.DUMMYFUNCTION("GOOGLEFINANCE(""NSE:""&amp;A282,""PRICE"")"),583.9)</f>
        <v/>
      </c>
      <c r="C282" s="13">
        <f>IFERROR(__xludf.DUMMYFUNCTION("GOOGLEFINANCE(""NSE:""&amp;A282,""PRICEOPEN"")"),590)</f>
        <v/>
      </c>
      <c r="D282" s="13">
        <f>IFERROR(__xludf.DUMMYFUNCTION("GOOGLEFINANCE(""NSE:""&amp;A282,""HIGH"")"),598.95)</f>
        <v/>
      </c>
      <c r="E282" s="13">
        <f>IFERROR(__xludf.DUMMYFUNCTION("GOOGLEFINANCE(""NSE:""&amp;A282,""LOW"")"),578)</f>
        <v/>
      </c>
      <c r="F282" s="13">
        <f>IFERROR(__xludf.DUMMYFUNCTION("GOOGLEFINANCE(""NSE:""&amp;A282,""closeyest"")"),589.1)</f>
        <v/>
      </c>
      <c r="G282" s="14">
        <f>(B282-C282)/B282</f>
        <v/>
      </c>
      <c r="H282" s="13">
        <f>IFERROR(__xludf.DUMMYFUNCTION("GOOGLEFINANCE(""NSE:""&amp;A282,""VOLUME"")"),67950)</f>
        <v/>
      </c>
      <c r="I282" s="13">
        <f>IFERROR(__xludf.DUMMYFUNCTION("AVERAGE(index(GOOGLEFINANCE(""NSE:""&amp;$A282, ""volume"", today()-21, today()-1), , 2))"),"#N/A")</f>
        <v/>
      </c>
      <c r="J282" s="14">
        <f>(H282-I282)/I282</f>
        <v/>
      </c>
      <c r="K282" s="13">
        <f>IFERROR(__xludf.DUMMYFUNCTION("AVERAGE(index(GOOGLEFINANCE(""NSE:""&amp;$A282, ""close"", today()-6, today()-1), , 2))"),"#N/A")</f>
        <v/>
      </c>
      <c r="L282" s="13">
        <f>IFERROR(__xludf.DUMMYFUNCTION("AVERAGE(index(GOOGLEFINANCE(""NSE:""&amp;$A282, ""close"", today()-14, today()-1), , 2))"),"#N/A")</f>
        <v/>
      </c>
      <c r="M282" s="13">
        <f>IFERROR(__xludf.DUMMYFUNCTION("AVERAGE(index(GOOGLEFINANCE(""NSE:""&amp;$A282, ""close"", today()-22, today()-1), , 2))"),"#N/A")</f>
        <v/>
      </c>
      <c r="N282" s="13">
        <f>AG282</f>
        <v/>
      </c>
      <c r="O282" s="13">
        <f>AI282</f>
        <v/>
      </c>
      <c r="P282" s="13">
        <f>W282</f>
        <v/>
      </c>
      <c r="Q282" s="13">
        <f>Y282</f>
        <v/>
      </c>
      <c r="R282" s="15" t="n"/>
      <c r="S282" s="15">
        <f>LEFT(W282,2)&amp;LEFT(Y282,2)</f>
        <v/>
      </c>
      <c r="T282" s="15" t="n"/>
      <c r="U282" s="15">
        <f>IF(K282&lt;L282,1,0)</f>
        <v/>
      </c>
      <c r="V282" s="15">
        <f>IF(H282&gt;I282,1,0)</f>
        <v/>
      </c>
      <c r="W282" s="15">
        <f>IF(SUM(U282:V282)=2,"Anticipatory_Sell","No_Action")</f>
        <v/>
      </c>
      <c r="X282" s="15" t="n"/>
      <c r="Y282" s="15">
        <f>IF(SUM(Z282:AA282)=2,"Confirm_Sell","No_Action")</f>
        <v/>
      </c>
      <c r="Z282" s="15">
        <f>IF(H282&gt;I282,1,0)</f>
        <v/>
      </c>
      <c r="AA282" s="15">
        <f>IF(K282&lt;M282,1,0)</f>
        <v/>
      </c>
      <c r="AB282" s="15" t="n"/>
      <c r="AC282" s="15">
        <f>LEFT(AG282,2)&amp;LEFT(AI282,2)</f>
        <v/>
      </c>
      <c r="AD282" s="15" t="n"/>
      <c r="AE282" s="15">
        <f>IF(K282&gt;L282,1,0)</f>
        <v/>
      </c>
      <c r="AF282" s="16">
        <f>IF(H282&gt;I282,1,0)</f>
        <v/>
      </c>
      <c r="AG282" s="16">
        <f>IF(SUM(AE282:AF282)=2,"Anticipatory_Buy","No_Action")</f>
        <v/>
      </c>
      <c r="AH282" s="15" t="n"/>
      <c r="AI282" s="15">
        <f>IF(SUM(AJ282:AK282)=2,"Confirm_Buy","No_Action")</f>
        <v/>
      </c>
      <c r="AJ282" s="15">
        <f>IF(H282&gt;I282,1,0)</f>
        <v/>
      </c>
      <c r="AK282" s="15">
        <f>IF(K282&gt;M282,1,0)</f>
        <v/>
      </c>
    </row>
    <row r="283" ht="14.5" customHeight="1">
      <c r="A283" s="12" t="inlineStr">
        <is>
          <t>SHREECEM</t>
        </is>
      </c>
      <c r="B283" s="13">
        <f>IFERROR(__xludf.DUMMYFUNCTION("GOOGLEFINANCE(""NSE:""&amp;A283,""PRICE"")"),26748)</f>
        <v/>
      </c>
      <c r="C283" s="13">
        <f>IFERROR(__xludf.DUMMYFUNCTION("GOOGLEFINANCE(""NSE:""&amp;A283,""PRICEOPEN"")"),27076)</f>
        <v/>
      </c>
      <c r="D283" s="13">
        <f>IFERROR(__xludf.DUMMYFUNCTION("GOOGLEFINANCE(""NSE:""&amp;A283,""HIGH"")"),27097)</f>
        <v/>
      </c>
      <c r="E283" s="13">
        <f>IFERROR(__xludf.DUMMYFUNCTION("GOOGLEFINANCE(""NSE:""&amp;A283,""LOW"")"),26453.05)</f>
        <v/>
      </c>
      <c r="F283" s="13">
        <f>IFERROR(__xludf.DUMMYFUNCTION("GOOGLEFINANCE(""NSE:""&amp;A283,""closeyest"")"),27076.65)</f>
        <v/>
      </c>
      <c r="G283" s="14">
        <f>(B283-C283)/B283</f>
        <v/>
      </c>
      <c r="H283" s="13">
        <f>IFERROR(__xludf.DUMMYFUNCTION("GOOGLEFINANCE(""NSE:""&amp;A283,""VOLUME"")"),24896)</f>
        <v/>
      </c>
      <c r="I283" s="13">
        <f>IFERROR(__xludf.DUMMYFUNCTION("AVERAGE(index(GOOGLEFINANCE(""NSE:""&amp;$A283, ""volume"", today()-21, today()-1), , 2))"),"#N/A")</f>
        <v/>
      </c>
      <c r="J283" s="14">
        <f>(H283-I283)/I283</f>
        <v/>
      </c>
      <c r="K283" s="13">
        <f>IFERROR(__xludf.DUMMYFUNCTION("AVERAGE(index(GOOGLEFINANCE(""NSE:""&amp;$A283, ""close"", today()-6, today()-1), , 2))"),"#N/A")</f>
        <v/>
      </c>
      <c r="L283" s="13">
        <f>IFERROR(__xludf.DUMMYFUNCTION("AVERAGE(index(GOOGLEFINANCE(""NSE:""&amp;$A283, ""close"", today()-14, today()-1), , 2))"),"#N/A")</f>
        <v/>
      </c>
      <c r="M283" s="13">
        <f>IFERROR(__xludf.DUMMYFUNCTION("AVERAGE(index(GOOGLEFINANCE(""NSE:""&amp;$A283, ""close"", today()-22, today()-1), , 2))"),"#N/A")</f>
        <v/>
      </c>
      <c r="N283" s="13">
        <f>AG283</f>
        <v/>
      </c>
      <c r="O283" s="13">
        <f>AI283</f>
        <v/>
      </c>
      <c r="P283" s="13">
        <f>W283</f>
        <v/>
      </c>
      <c r="Q283" s="13">
        <f>Y283</f>
        <v/>
      </c>
      <c r="R283" s="15" t="n"/>
      <c r="S283" s="15">
        <f>LEFT(W283,2)&amp;LEFT(Y283,2)</f>
        <v/>
      </c>
      <c r="T283" s="15" t="n"/>
      <c r="U283" s="15">
        <f>IF(K283&lt;L283,1,0)</f>
        <v/>
      </c>
      <c r="V283" s="15">
        <f>IF(H283&gt;I283,1,0)</f>
        <v/>
      </c>
      <c r="W283" s="15">
        <f>IF(SUM(U283:V283)=2,"Anticipatory_Sell","No_Action")</f>
        <v/>
      </c>
      <c r="X283" s="15" t="n"/>
      <c r="Y283" s="15">
        <f>IF(SUM(Z283:AA283)=2,"Confirm_Sell","No_Action")</f>
        <v/>
      </c>
      <c r="Z283" s="15">
        <f>IF(H283&gt;I283,1,0)</f>
        <v/>
      </c>
      <c r="AA283" s="15">
        <f>IF(K283&lt;M283,1,0)</f>
        <v/>
      </c>
      <c r="AB283" s="15" t="n"/>
      <c r="AC283" s="15">
        <f>LEFT(AG283,2)&amp;LEFT(AI283,2)</f>
        <v/>
      </c>
      <c r="AD283" s="15" t="n"/>
      <c r="AE283" s="15">
        <f>IF(K283&gt;L283,1,0)</f>
        <v/>
      </c>
      <c r="AF283" s="16">
        <f>IF(H283&gt;I283,1,0)</f>
        <v/>
      </c>
      <c r="AG283" s="16">
        <f>IF(SUM(AE283:AF283)=2,"Anticipatory_Buy","No_Action")</f>
        <v/>
      </c>
      <c r="AH283" s="15" t="n"/>
      <c r="AI283" s="15">
        <f>IF(SUM(AJ283:AK283)=2,"Confirm_Buy","No_Action")</f>
        <v/>
      </c>
      <c r="AJ283" s="15">
        <f>IF(H283&gt;I283,1,0)</f>
        <v/>
      </c>
      <c r="AK283" s="15">
        <f>IF(K283&gt;M283,1,0)</f>
        <v/>
      </c>
    </row>
    <row r="284" ht="14.5" customHeight="1">
      <c r="A284" s="12" t="inlineStr">
        <is>
          <t>SHRIRAMFIN</t>
        </is>
      </c>
      <c r="B284" s="13">
        <f>IFERROR(__xludf.DUMMYFUNCTION("GOOGLEFINANCE(""NSE:""&amp;A284,""PRICE"")"),3105)</f>
        <v/>
      </c>
      <c r="C284" s="13">
        <f>IFERROR(__xludf.DUMMYFUNCTION("GOOGLEFINANCE(""NSE:""&amp;A284,""PRICEOPEN"")"),3100.6)</f>
        <v/>
      </c>
      <c r="D284" s="13">
        <f>IFERROR(__xludf.DUMMYFUNCTION("GOOGLEFINANCE(""NSE:""&amp;A284,""HIGH"")"),3163.35)</f>
        <v/>
      </c>
      <c r="E284" s="13">
        <f>IFERROR(__xludf.DUMMYFUNCTION("GOOGLEFINANCE(""NSE:""&amp;A284,""LOW"")"),3095.5)</f>
        <v/>
      </c>
      <c r="F284" s="13">
        <f>IFERROR(__xludf.DUMMYFUNCTION("GOOGLEFINANCE(""NSE:""&amp;A284,""closeyest"")"),3126.35)</f>
        <v/>
      </c>
      <c r="G284" s="14">
        <f>(B284-C284)/B284</f>
        <v/>
      </c>
      <c r="H284" s="13">
        <f>IFERROR(__xludf.DUMMYFUNCTION("GOOGLEFINANCE(""NSE:""&amp;A284,""VOLUME"")"),792799)</f>
        <v/>
      </c>
      <c r="I284" s="13">
        <f>IFERROR(__xludf.DUMMYFUNCTION("AVERAGE(index(GOOGLEFINANCE(""NSE:""&amp;$A284, ""volume"", today()-21, today()-1), , 2))"),"#N/A")</f>
        <v/>
      </c>
      <c r="J284" s="14">
        <f>(H284-I284)/I284</f>
        <v/>
      </c>
      <c r="K284" s="13">
        <f>IFERROR(__xludf.DUMMYFUNCTION("AVERAGE(index(GOOGLEFINANCE(""NSE:""&amp;$A284, ""close"", today()-6, today()-1), , 2))"),"#N/A")</f>
        <v/>
      </c>
      <c r="L284" s="13">
        <f>IFERROR(__xludf.DUMMYFUNCTION("AVERAGE(index(GOOGLEFINANCE(""NSE:""&amp;$A284, ""close"", today()-14, today()-1), , 2))"),"#N/A")</f>
        <v/>
      </c>
      <c r="M284" s="13">
        <f>IFERROR(__xludf.DUMMYFUNCTION("AVERAGE(index(GOOGLEFINANCE(""NSE:""&amp;$A284, ""close"", today()-22, today()-1), , 2))"),"#N/A")</f>
        <v/>
      </c>
      <c r="N284" s="13">
        <f>AG284</f>
        <v/>
      </c>
      <c r="O284" s="13">
        <f>AI284</f>
        <v/>
      </c>
      <c r="P284" s="13">
        <f>W284</f>
        <v/>
      </c>
      <c r="Q284" s="13">
        <f>Y284</f>
        <v/>
      </c>
      <c r="R284" s="15" t="n"/>
      <c r="S284" s="15">
        <f>LEFT(W284,2)&amp;LEFT(Y284,2)</f>
        <v/>
      </c>
      <c r="T284" s="15" t="n"/>
      <c r="U284" s="15">
        <f>IF(K284&lt;L284,1,0)</f>
        <v/>
      </c>
      <c r="V284" s="15">
        <f>IF(H284&gt;I284,1,0)</f>
        <v/>
      </c>
      <c r="W284" s="15">
        <f>IF(SUM(U284:V284)=2,"Anticipatory_Sell","No_Action")</f>
        <v/>
      </c>
      <c r="X284" s="15" t="n"/>
      <c r="Y284" s="15">
        <f>IF(SUM(Z284:AA284)=2,"Confirm_Sell","No_Action")</f>
        <v/>
      </c>
      <c r="Z284" s="15">
        <f>IF(H284&gt;I284,1,0)</f>
        <v/>
      </c>
      <c r="AA284" s="15">
        <f>IF(K284&lt;M284,1,0)</f>
        <v/>
      </c>
      <c r="AB284" s="15" t="n"/>
      <c r="AC284" s="15">
        <f>LEFT(AG284,2)&amp;LEFT(AI284,2)</f>
        <v/>
      </c>
      <c r="AD284" s="15" t="n"/>
      <c r="AE284" s="15">
        <f>IF(K284&gt;L284,1,0)</f>
        <v/>
      </c>
      <c r="AF284" s="16">
        <f>IF(H284&gt;I284,1,0)</f>
        <v/>
      </c>
      <c r="AG284" s="16">
        <f>IF(SUM(AE284:AF284)=2,"Anticipatory_Buy","No_Action")</f>
        <v/>
      </c>
      <c r="AH284" s="15" t="n"/>
      <c r="AI284" s="15">
        <f>IF(SUM(AJ284:AK284)=2,"Confirm_Buy","No_Action")</f>
        <v/>
      </c>
      <c r="AJ284" s="15">
        <f>IF(H284&gt;I284,1,0)</f>
        <v/>
      </c>
      <c r="AK284" s="15">
        <f>IF(K284&gt;M284,1,0)</f>
        <v/>
      </c>
    </row>
    <row r="285" ht="14.5" customHeight="1">
      <c r="A285" s="12" t="inlineStr">
        <is>
          <t>SHYAMMETL</t>
        </is>
      </c>
      <c r="B285" s="13">
        <f>IFERROR(__xludf.DUMMYFUNCTION("GOOGLEFINANCE(""NSE:""&amp;A285,""PRICE"")"),848.35)</f>
        <v/>
      </c>
      <c r="C285" s="13">
        <f>IFERROR(__xludf.DUMMYFUNCTION("GOOGLEFINANCE(""NSE:""&amp;A285,""PRICEOPEN"")"),852.8)</f>
        <v/>
      </c>
      <c r="D285" s="13">
        <f>IFERROR(__xludf.DUMMYFUNCTION("GOOGLEFINANCE(""NSE:""&amp;A285,""HIGH"")"),854.45)</f>
        <v/>
      </c>
      <c r="E285" s="13">
        <f>IFERROR(__xludf.DUMMYFUNCTION("GOOGLEFINANCE(""NSE:""&amp;A285,""LOW"")"),835.5)</f>
        <v/>
      </c>
      <c r="F285" s="13">
        <f>IFERROR(__xludf.DUMMYFUNCTION("GOOGLEFINANCE(""NSE:""&amp;A285,""closeyest"")"),852.8)</f>
        <v/>
      </c>
      <c r="G285" s="14">
        <f>(B285-C285)/B285</f>
        <v/>
      </c>
      <c r="H285" s="13">
        <f>IFERROR(__xludf.DUMMYFUNCTION("GOOGLEFINANCE(""NSE:""&amp;A285,""VOLUME"")"),204127)</f>
        <v/>
      </c>
      <c r="I285" s="13">
        <f>IFERROR(__xludf.DUMMYFUNCTION("AVERAGE(index(GOOGLEFINANCE(""NSE:""&amp;$A285, ""volume"", today()-21, today()-1), , 2))"),"#N/A")</f>
        <v/>
      </c>
      <c r="J285" s="14">
        <f>(H285-I285)/I285</f>
        <v/>
      </c>
      <c r="K285" s="13">
        <f>IFERROR(__xludf.DUMMYFUNCTION("AVERAGE(index(GOOGLEFINANCE(""NSE:""&amp;$A285, ""close"", today()-6, today()-1), , 2))"),"#N/A")</f>
        <v/>
      </c>
      <c r="L285" s="13">
        <f>IFERROR(__xludf.DUMMYFUNCTION("AVERAGE(index(GOOGLEFINANCE(""NSE:""&amp;$A285, ""close"", today()-14, today()-1), , 2))"),"#N/A")</f>
        <v/>
      </c>
      <c r="M285" s="13">
        <f>IFERROR(__xludf.DUMMYFUNCTION("AVERAGE(index(GOOGLEFINANCE(""NSE:""&amp;$A285, ""close"", today()-22, today()-1), , 2))"),"#N/A")</f>
        <v/>
      </c>
      <c r="N285" s="13">
        <f>AG285</f>
        <v/>
      </c>
      <c r="O285" s="13">
        <f>AI285</f>
        <v/>
      </c>
      <c r="P285" s="13">
        <f>W285</f>
        <v/>
      </c>
      <c r="Q285" s="13">
        <f>Y285</f>
        <v/>
      </c>
      <c r="R285" s="15" t="n"/>
      <c r="S285" s="15">
        <f>LEFT(W285,2)&amp;LEFT(Y285,2)</f>
        <v/>
      </c>
      <c r="T285" s="15" t="n"/>
      <c r="U285" s="15">
        <f>IF(K285&lt;L285,1,0)</f>
        <v/>
      </c>
      <c r="V285" s="15">
        <f>IF(H285&gt;I285,1,0)</f>
        <v/>
      </c>
      <c r="W285" s="15">
        <f>IF(SUM(U285:V285)=2,"Anticipatory_Sell","No_Action")</f>
        <v/>
      </c>
      <c r="X285" s="15" t="n"/>
      <c r="Y285" s="15">
        <f>IF(SUM(Z285:AA285)=2,"Confirm_Sell","No_Action")</f>
        <v/>
      </c>
      <c r="Z285" s="15">
        <f>IF(H285&gt;I285,1,0)</f>
        <v/>
      </c>
      <c r="AA285" s="15">
        <f>IF(K285&lt;M285,1,0)</f>
        <v/>
      </c>
      <c r="AB285" s="15" t="n"/>
      <c r="AC285" s="15">
        <f>LEFT(AG285,2)&amp;LEFT(AI285,2)</f>
        <v/>
      </c>
      <c r="AD285" s="15" t="n"/>
      <c r="AE285" s="15">
        <f>IF(K285&gt;L285,1,0)</f>
        <v/>
      </c>
      <c r="AF285" s="16">
        <f>IF(H285&gt;I285,1,0)</f>
        <v/>
      </c>
      <c r="AG285" s="16">
        <f>IF(SUM(AE285:AF285)=2,"Anticipatory_Buy","No_Action")</f>
        <v/>
      </c>
      <c r="AH285" s="15" t="n"/>
      <c r="AI285" s="15">
        <f>IF(SUM(AJ285:AK285)=2,"Confirm_Buy","No_Action")</f>
        <v/>
      </c>
      <c r="AJ285" s="15">
        <f>IF(H285&gt;I285,1,0)</f>
        <v/>
      </c>
      <c r="AK285" s="15">
        <f>IF(K285&gt;M285,1,0)</f>
        <v/>
      </c>
    </row>
    <row r="286" ht="14.5" customHeight="1">
      <c r="A286" s="12" t="inlineStr">
        <is>
          <t>SIGACHI</t>
        </is>
      </c>
      <c r="B286" s="13">
        <f>IFERROR(__xludf.DUMMYFUNCTION("GOOGLEFINANCE(""NSE:""&amp;A286,""PRICE"")"),54.04)</f>
        <v/>
      </c>
      <c r="C286" s="13">
        <f>IFERROR(__xludf.DUMMYFUNCTION("GOOGLEFINANCE(""NSE:""&amp;A286,""PRICEOPEN"")"),53.92)</f>
        <v/>
      </c>
      <c r="D286" s="13">
        <f>IFERROR(__xludf.DUMMYFUNCTION("GOOGLEFINANCE(""NSE:""&amp;A286,""HIGH"")"),55.4)</f>
        <v/>
      </c>
      <c r="E286" s="13">
        <f>IFERROR(__xludf.DUMMYFUNCTION("GOOGLEFINANCE(""NSE:""&amp;A286,""LOW"")"),53.5)</f>
        <v/>
      </c>
      <c r="F286" s="13">
        <f>IFERROR(__xludf.DUMMYFUNCTION("GOOGLEFINANCE(""NSE:""&amp;A286,""closeyest"")"),53.71)</f>
        <v/>
      </c>
      <c r="G286" s="14">
        <f>(B286-C286)/B286</f>
        <v/>
      </c>
      <c r="H286" s="13">
        <f>IFERROR(__xludf.DUMMYFUNCTION("GOOGLEFINANCE(""NSE:""&amp;A286,""VOLUME"")"),1309047)</f>
        <v/>
      </c>
      <c r="I286" s="13">
        <f>IFERROR(__xludf.DUMMYFUNCTION("AVERAGE(index(GOOGLEFINANCE(""NSE:""&amp;$A286, ""volume"", today()-21, today()-1), , 2))"),"#N/A")</f>
        <v/>
      </c>
      <c r="J286" s="14">
        <f>(H286-I286)/I286</f>
        <v/>
      </c>
      <c r="K286" s="13">
        <f>IFERROR(__xludf.DUMMYFUNCTION("AVERAGE(index(GOOGLEFINANCE(""NSE:""&amp;$A286, ""close"", today()-6, today()-1), , 2))"),"#N/A")</f>
        <v/>
      </c>
      <c r="L286" s="13">
        <f>IFERROR(__xludf.DUMMYFUNCTION("AVERAGE(index(GOOGLEFINANCE(""NSE:""&amp;$A286, ""close"", today()-14, today()-1), , 2))"),"#N/A")</f>
        <v/>
      </c>
      <c r="M286" s="13">
        <f>IFERROR(__xludf.DUMMYFUNCTION("AVERAGE(index(GOOGLEFINANCE(""NSE:""&amp;$A286, ""close"", today()-22, today()-1), , 2))"),"#N/A")</f>
        <v/>
      </c>
      <c r="N286" s="13">
        <f>AG286</f>
        <v/>
      </c>
      <c r="O286" s="13">
        <f>AI286</f>
        <v/>
      </c>
      <c r="P286" s="13">
        <f>W286</f>
        <v/>
      </c>
      <c r="Q286" s="13">
        <f>Y286</f>
        <v/>
      </c>
      <c r="R286" s="15" t="n"/>
      <c r="S286" s="15">
        <f>LEFT(W286,2)&amp;LEFT(Y286,2)</f>
        <v/>
      </c>
      <c r="T286" s="15" t="n"/>
      <c r="U286" s="15">
        <f>IF(K286&lt;L286,1,0)</f>
        <v/>
      </c>
      <c r="V286" s="15">
        <f>IF(H286&gt;I286,1,0)</f>
        <v/>
      </c>
      <c r="W286" s="15">
        <f>IF(SUM(U286:V286)=2,"Anticipatory_Sell","No_Action")</f>
        <v/>
      </c>
      <c r="X286" s="15" t="n"/>
      <c r="Y286" s="15">
        <f>IF(SUM(Z286:AA286)=2,"Confirm_Sell","No_Action")</f>
        <v/>
      </c>
      <c r="Z286" s="15">
        <f>IF(H286&gt;I286,1,0)</f>
        <v/>
      </c>
      <c r="AA286" s="15">
        <f>IF(K286&lt;M286,1,0)</f>
        <v/>
      </c>
      <c r="AB286" s="15" t="n"/>
      <c r="AC286" s="15">
        <f>LEFT(AG286,2)&amp;LEFT(AI286,2)</f>
        <v/>
      </c>
      <c r="AD286" s="15" t="n"/>
      <c r="AE286" s="15">
        <f>IF(K286&gt;L286,1,0)</f>
        <v/>
      </c>
      <c r="AF286" s="16">
        <f>IF(H286&gt;I286,1,0)</f>
        <v/>
      </c>
      <c r="AG286" s="16">
        <f>IF(SUM(AE286:AF286)=2,"Anticipatory_Buy","No_Action")</f>
        <v/>
      </c>
      <c r="AH286" s="15" t="n"/>
      <c r="AI286" s="15">
        <f>IF(SUM(AJ286:AK286)=2,"Confirm_Buy","No_Action")</f>
        <v/>
      </c>
      <c r="AJ286" s="15">
        <f>IF(H286&gt;I286,1,0)</f>
        <v/>
      </c>
      <c r="AK286" s="15">
        <f>IF(K286&gt;M286,1,0)</f>
        <v/>
      </c>
    </row>
    <row r="287" ht="14.5" customHeight="1">
      <c r="A287" s="12" t="inlineStr">
        <is>
          <t>SIRCA</t>
        </is>
      </c>
      <c r="B287" s="13">
        <f>IFERROR(__xludf.DUMMYFUNCTION("GOOGLEFINANCE(""NSE:""&amp;A287,""PRICE"")"),335.3)</f>
        <v/>
      </c>
      <c r="C287" s="13">
        <f>IFERROR(__xludf.DUMMYFUNCTION("GOOGLEFINANCE(""NSE:""&amp;A287,""PRICEOPEN"")"),341.25)</f>
        <v/>
      </c>
      <c r="D287" s="13">
        <f>IFERROR(__xludf.DUMMYFUNCTION("GOOGLEFINANCE(""NSE:""&amp;A287,""HIGH"")"),343.5)</f>
        <v/>
      </c>
      <c r="E287" s="13">
        <f>IFERROR(__xludf.DUMMYFUNCTION("GOOGLEFINANCE(""NSE:""&amp;A287,""LOW"")"),333.95)</f>
        <v/>
      </c>
      <c r="F287" s="13">
        <f>IFERROR(__xludf.DUMMYFUNCTION("GOOGLEFINANCE(""NSE:""&amp;A287,""closeyest"")"),340.45)</f>
        <v/>
      </c>
      <c r="G287" s="14">
        <f>(B287-C287)/B287</f>
        <v/>
      </c>
      <c r="H287" s="13">
        <f>IFERROR(__xludf.DUMMYFUNCTION("GOOGLEFINANCE(""NSE:""&amp;A287,""VOLUME"")"),70300)</f>
        <v/>
      </c>
      <c r="I287" s="13">
        <f>IFERROR(__xludf.DUMMYFUNCTION("AVERAGE(index(GOOGLEFINANCE(""NSE:""&amp;$A287, ""volume"", today()-21, today()-1), , 2))"),"#N/A")</f>
        <v/>
      </c>
      <c r="J287" s="14">
        <f>(H287-I287)/I287</f>
        <v/>
      </c>
      <c r="K287" s="13">
        <f>IFERROR(__xludf.DUMMYFUNCTION("AVERAGE(index(GOOGLEFINANCE(""NSE:""&amp;$A287, ""close"", today()-6, today()-1), , 2))"),"#N/A")</f>
        <v/>
      </c>
      <c r="L287" s="13">
        <f>IFERROR(__xludf.DUMMYFUNCTION("AVERAGE(index(GOOGLEFINANCE(""NSE:""&amp;$A287, ""close"", today()-14, today()-1), , 2))"),"#N/A")</f>
        <v/>
      </c>
      <c r="M287" s="13">
        <f>IFERROR(__xludf.DUMMYFUNCTION("AVERAGE(index(GOOGLEFINANCE(""NSE:""&amp;$A287, ""close"", today()-22, today()-1), , 2))"),"#N/A")</f>
        <v/>
      </c>
      <c r="N287" s="13">
        <f>AG287</f>
        <v/>
      </c>
      <c r="O287" s="13">
        <f>AI287</f>
        <v/>
      </c>
      <c r="P287" s="13">
        <f>W287</f>
        <v/>
      </c>
      <c r="Q287" s="13">
        <f>Y287</f>
        <v/>
      </c>
      <c r="R287" s="15" t="n"/>
      <c r="S287" s="15">
        <f>LEFT(W287,2)&amp;LEFT(Y287,2)</f>
        <v/>
      </c>
      <c r="T287" s="15" t="n"/>
      <c r="U287" s="15">
        <f>IF(K287&lt;L287,1,0)</f>
        <v/>
      </c>
      <c r="V287" s="15">
        <f>IF(H287&gt;I287,1,0)</f>
        <v/>
      </c>
      <c r="W287" s="15">
        <f>IF(SUM(U287:V287)=2,"Anticipatory_Sell","No_Action")</f>
        <v/>
      </c>
      <c r="X287" s="15" t="n"/>
      <c r="Y287" s="15">
        <f>IF(SUM(Z287:AA287)=2,"Confirm_Sell","No_Action")</f>
        <v/>
      </c>
      <c r="Z287" s="15">
        <f>IF(H287&gt;I287,1,0)</f>
        <v/>
      </c>
      <c r="AA287" s="15">
        <f>IF(K287&lt;M287,1,0)</f>
        <v/>
      </c>
      <c r="AB287" s="15" t="n"/>
      <c r="AC287" s="15">
        <f>LEFT(AG287,2)&amp;LEFT(AI287,2)</f>
        <v/>
      </c>
      <c r="AD287" s="15" t="n"/>
      <c r="AE287" s="15">
        <f>IF(K287&gt;L287,1,0)</f>
        <v/>
      </c>
      <c r="AF287" s="16">
        <f>IF(H287&gt;I287,1,0)</f>
        <v/>
      </c>
      <c r="AG287" s="16">
        <f>IF(SUM(AE287:AF287)=2,"Anticipatory_Buy","No_Action")</f>
        <v/>
      </c>
      <c r="AH287" s="15" t="n"/>
      <c r="AI287" s="15">
        <f>IF(SUM(AJ287:AK287)=2,"Confirm_Buy","No_Action")</f>
        <v/>
      </c>
      <c r="AJ287" s="15">
        <f>IF(H287&gt;I287,1,0)</f>
        <v/>
      </c>
      <c r="AK287" s="15">
        <f>IF(K287&gt;M287,1,0)</f>
        <v/>
      </c>
    </row>
    <row r="288" ht="14.5" customHeight="1">
      <c r="A288" s="12" t="inlineStr">
        <is>
          <t>SIYSIL</t>
        </is>
      </c>
      <c r="B288" s="13">
        <f>IFERROR(__xludf.DUMMYFUNCTION("GOOGLEFINANCE(""NSE:""&amp;A288,""PRICE"")"),863.4)</f>
        <v/>
      </c>
      <c r="C288" s="13">
        <f>IFERROR(__xludf.DUMMYFUNCTION("GOOGLEFINANCE(""NSE:""&amp;A288,""PRICEOPEN"")"),887)</f>
        <v/>
      </c>
      <c r="D288" s="13">
        <f>IFERROR(__xludf.DUMMYFUNCTION("GOOGLEFINANCE(""NSE:""&amp;A288,""HIGH"")"),887)</f>
        <v/>
      </c>
      <c r="E288" s="13">
        <f>IFERROR(__xludf.DUMMYFUNCTION("GOOGLEFINANCE(""NSE:""&amp;A288,""LOW"")"),857.5)</f>
        <v/>
      </c>
      <c r="F288" s="13">
        <f>IFERROR(__xludf.DUMMYFUNCTION("GOOGLEFINANCE(""NSE:""&amp;A288,""closeyest"")"),867.65)</f>
        <v/>
      </c>
      <c r="G288" s="14">
        <f>(B288-C288)/B288</f>
        <v/>
      </c>
      <c r="H288" s="13">
        <f>IFERROR(__xludf.DUMMYFUNCTION("GOOGLEFINANCE(""NSE:""&amp;A288,""VOLUME"")"),205409)</f>
        <v/>
      </c>
      <c r="I288" s="13">
        <f>IFERROR(__xludf.DUMMYFUNCTION("AVERAGE(index(GOOGLEFINANCE(""NSE:""&amp;$A288, ""volume"", today()-21, today()-1), , 2))"),"#N/A")</f>
        <v/>
      </c>
      <c r="J288" s="14">
        <f>(H288-I288)/I288</f>
        <v/>
      </c>
      <c r="K288" s="13">
        <f>IFERROR(__xludf.DUMMYFUNCTION("AVERAGE(index(GOOGLEFINANCE(""NSE:""&amp;$A288, ""close"", today()-6, today()-1), , 2))"),"#N/A")</f>
        <v/>
      </c>
      <c r="L288" s="13">
        <f>IFERROR(__xludf.DUMMYFUNCTION("AVERAGE(index(GOOGLEFINANCE(""NSE:""&amp;$A288, ""close"", today()-14, today()-1), , 2))"),"#N/A")</f>
        <v/>
      </c>
      <c r="M288" s="13">
        <f>IFERROR(__xludf.DUMMYFUNCTION("AVERAGE(index(GOOGLEFINANCE(""NSE:""&amp;$A288, ""close"", today()-22, today()-1), , 2))"),"#N/A")</f>
        <v/>
      </c>
      <c r="N288" s="13">
        <f>AG288</f>
        <v/>
      </c>
      <c r="O288" s="13">
        <f>AI288</f>
        <v/>
      </c>
      <c r="P288" s="13">
        <f>W288</f>
        <v/>
      </c>
      <c r="Q288" s="13">
        <f>Y288</f>
        <v/>
      </c>
      <c r="R288" s="15" t="n"/>
      <c r="S288" s="15">
        <f>LEFT(W288,2)&amp;LEFT(Y288,2)</f>
        <v/>
      </c>
      <c r="T288" s="15" t="n"/>
      <c r="U288" s="15">
        <f>IF(K288&lt;L288,1,0)</f>
        <v/>
      </c>
      <c r="V288" s="15">
        <f>IF(H288&gt;I288,1,0)</f>
        <v/>
      </c>
      <c r="W288" s="15">
        <f>IF(SUM(U288:V288)=2,"Anticipatory_Sell","No_Action")</f>
        <v/>
      </c>
      <c r="X288" s="15" t="n"/>
      <c r="Y288" s="15">
        <f>IF(SUM(Z288:AA288)=2,"Confirm_Sell","No_Action")</f>
        <v/>
      </c>
      <c r="Z288" s="15">
        <f>IF(H288&gt;I288,1,0)</f>
        <v/>
      </c>
      <c r="AA288" s="15">
        <f>IF(K288&lt;M288,1,0)</f>
        <v/>
      </c>
      <c r="AB288" s="15" t="n"/>
      <c r="AC288" s="15">
        <f>LEFT(AG288,2)&amp;LEFT(AI288,2)</f>
        <v/>
      </c>
      <c r="AD288" s="15" t="n"/>
      <c r="AE288" s="15">
        <f>IF(K288&gt;L288,1,0)</f>
        <v/>
      </c>
      <c r="AF288" s="16">
        <f>IF(H288&gt;I288,1,0)</f>
        <v/>
      </c>
      <c r="AG288" s="16">
        <f>IF(SUM(AE288:AF288)=2,"Anticipatory_Buy","No_Action")</f>
        <v/>
      </c>
      <c r="AH288" s="15" t="n"/>
      <c r="AI288" s="15">
        <f>IF(SUM(AJ288:AK288)=2,"Confirm_Buy","No_Action")</f>
        <v/>
      </c>
      <c r="AJ288" s="15">
        <f>IF(H288&gt;I288,1,0)</f>
        <v/>
      </c>
      <c r="AK288" s="15">
        <f>IF(K288&gt;M288,1,0)</f>
        <v/>
      </c>
    </row>
    <row r="289" ht="14.5" customHeight="1">
      <c r="A289" s="12" t="inlineStr">
        <is>
          <t>SKFINDIA</t>
        </is>
      </c>
      <c r="B289" s="13">
        <f>IFERROR(__xludf.DUMMYFUNCTION("GOOGLEFINANCE(""NSE:""&amp;A289,""PRICE"")"),5019.95)</f>
        <v/>
      </c>
      <c r="C289" s="13">
        <f>IFERROR(__xludf.DUMMYFUNCTION("GOOGLEFINANCE(""NSE:""&amp;A289,""PRICEOPEN"")"),5080.6)</f>
        <v/>
      </c>
      <c r="D289" s="13">
        <f>IFERROR(__xludf.DUMMYFUNCTION("GOOGLEFINANCE(""NSE:""&amp;A289,""HIGH"")"),5083.5)</f>
        <v/>
      </c>
      <c r="E289" s="13">
        <f>IFERROR(__xludf.DUMMYFUNCTION("GOOGLEFINANCE(""NSE:""&amp;A289,""LOW"")"),5010)</f>
        <v/>
      </c>
      <c r="F289" s="13">
        <f>IFERROR(__xludf.DUMMYFUNCTION("GOOGLEFINANCE(""NSE:""&amp;A289,""closeyest"")"),5083.5)</f>
        <v/>
      </c>
      <c r="G289" s="14">
        <f>(B289-C289)/B289</f>
        <v/>
      </c>
      <c r="H289" s="13">
        <f>IFERROR(__xludf.DUMMYFUNCTION("GOOGLEFINANCE(""NSE:""&amp;A289,""VOLUME"")"),27196)</f>
        <v/>
      </c>
      <c r="I289" s="13">
        <f>IFERROR(__xludf.DUMMYFUNCTION("AVERAGE(index(GOOGLEFINANCE(""NSE:""&amp;$A289, ""volume"", today()-21, today()-1), , 2))"),"#N/A")</f>
        <v/>
      </c>
      <c r="J289" s="14">
        <f>(H289-I289)/I289</f>
        <v/>
      </c>
      <c r="K289" s="13">
        <f>IFERROR(__xludf.DUMMYFUNCTION("AVERAGE(index(GOOGLEFINANCE(""NSE:""&amp;$A289, ""close"", today()-6, today()-1), , 2))"),"#N/A")</f>
        <v/>
      </c>
      <c r="L289" s="13">
        <f>IFERROR(__xludf.DUMMYFUNCTION("AVERAGE(index(GOOGLEFINANCE(""NSE:""&amp;$A289, ""close"", today()-14, today()-1), , 2))"),"#N/A")</f>
        <v/>
      </c>
      <c r="M289" s="13">
        <f>IFERROR(__xludf.DUMMYFUNCTION("AVERAGE(index(GOOGLEFINANCE(""NSE:""&amp;$A289, ""close"", today()-22, today()-1), , 2))"),"#N/A")</f>
        <v/>
      </c>
      <c r="N289" s="13">
        <f>AG289</f>
        <v/>
      </c>
      <c r="O289" s="13">
        <f>AI289</f>
        <v/>
      </c>
      <c r="P289" s="13">
        <f>W289</f>
        <v/>
      </c>
      <c r="Q289" s="13">
        <f>Y289</f>
        <v/>
      </c>
      <c r="R289" s="15" t="n"/>
      <c r="S289" s="15">
        <f>LEFT(W289,2)&amp;LEFT(Y289,2)</f>
        <v/>
      </c>
      <c r="T289" s="15" t="n"/>
      <c r="U289" s="15">
        <f>IF(K289&lt;L289,1,0)</f>
        <v/>
      </c>
      <c r="V289" s="15">
        <f>IF(H289&gt;I289,1,0)</f>
        <v/>
      </c>
      <c r="W289" s="15">
        <f>IF(SUM(U289:V289)=2,"Anticipatory_Sell","No_Action")</f>
        <v/>
      </c>
      <c r="X289" s="15" t="n"/>
      <c r="Y289" s="15">
        <f>IF(SUM(Z289:AA289)=2,"Confirm_Sell","No_Action")</f>
        <v/>
      </c>
      <c r="Z289" s="15">
        <f>IF(H289&gt;I289,1,0)</f>
        <v/>
      </c>
      <c r="AA289" s="15">
        <f>IF(K289&lt;M289,1,0)</f>
        <v/>
      </c>
      <c r="AB289" s="15" t="n"/>
      <c r="AC289" s="15">
        <f>LEFT(AG289,2)&amp;LEFT(AI289,2)</f>
        <v/>
      </c>
      <c r="AD289" s="15" t="n"/>
      <c r="AE289" s="15">
        <f>IF(K289&gt;L289,1,0)</f>
        <v/>
      </c>
      <c r="AF289" s="16">
        <f>IF(H289&gt;I289,1,0)</f>
        <v/>
      </c>
      <c r="AG289" s="16">
        <f>IF(SUM(AE289:AF289)=2,"Anticipatory_Buy","No_Action")</f>
        <v/>
      </c>
      <c r="AH289" s="15" t="n"/>
      <c r="AI289" s="15">
        <f>IF(SUM(AJ289:AK289)=2,"Confirm_Buy","No_Action")</f>
        <v/>
      </c>
      <c r="AJ289" s="15">
        <f>IF(H289&gt;I289,1,0)</f>
        <v/>
      </c>
      <c r="AK289" s="15">
        <f>IF(K289&gt;M289,1,0)</f>
        <v/>
      </c>
    </row>
    <row r="290" ht="14.5" customHeight="1">
      <c r="A290" s="12" t="inlineStr">
        <is>
          <t>SOMANYCERA</t>
        </is>
      </c>
      <c r="B290" s="13">
        <f>IFERROR(__xludf.DUMMYFUNCTION("GOOGLEFINANCE(""NSE:""&amp;A290,""PRICE"")"),698)</f>
        <v/>
      </c>
      <c r="C290" s="13">
        <f>IFERROR(__xludf.DUMMYFUNCTION("GOOGLEFINANCE(""NSE:""&amp;A290,""PRICEOPEN"")"),710)</f>
        <v/>
      </c>
      <c r="D290" s="13">
        <f>IFERROR(__xludf.DUMMYFUNCTION("GOOGLEFINANCE(""NSE:""&amp;A290,""HIGH"")"),714.15)</f>
        <v/>
      </c>
      <c r="E290" s="13">
        <f>IFERROR(__xludf.DUMMYFUNCTION("GOOGLEFINANCE(""NSE:""&amp;A290,""LOW"")"),690)</f>
        <v/>
      </c>
      <c r="F290" s="13">
        <f>IFERROR(__xludf.DUMMYFUNCTION("GOOGLEFINANCE(""NSE:""&amp;A290,""closeyest"")"),702.75)</f>
        <v/>
      </c>
      <c r="G290" s="14">
        <f>(B290-C290)/B290</f>
        <v/>
      </c>
      <c r="H290" s="13">
        <f>IFERROR(__xludf.DUMMYFUNCTION("GOOGLEFINANCE(""NSE:""&amp;A290,""VOLUME"")"),25395)</f>
        <v/>
      </c>
      <c r="I290" s="13">
        <f>IFERROR(__xludf.DUMMYFUNCTION("AVERAGE(index(GOOGLEFINANCE(""NSE:""&amp;$A290, ""volume"", today()-21, today()-1), , 2))"),"#N/A")</f>
        <v/>
      </c>
      <c r="J290" s="14">
        <f>(H290-I290)/I290</f>
        <v/>
      </c>
      <c r="K290" s="13">
        <f>IFERROR(__xludf.DUMMYFUNCTION("AVERAGE(index(GOOGLEFINANCE(""NSE:""&amp;$A290, ""close"", today()-6, today()-1), , 2))"),"#N/A")</f>
        <v/>
      </c>
      <c r="L290" s="13">
        <f>IFERROR(__xludf.DUMMYFUNCTION("AVERAGE(index(GOOGLEFINANCE(""NSE:""&amp;$A290, ""close"", today()-14, today()-1), , 2))"),"#N/A")</f>
        <v/>
      </c>
      <c r="M290" s="13">
        <f>IFERROR(__xludf.DUMMYFUNCTION("AVERAGE(index(GOOGLEFINANCE(""NSE:""&amp;$A290, ""close"", today()-22, today()-1), , 2))"),"#N/A")</f>
        <v/>
      </c>
      <c r="N290" s="13">
        <f>AG290</f>
        <v/>
      </c>
      <c r="O290" s="13">
        <f>AI290</f>
        <v/>
      </c>
      <c r="P290" s="13">
        <f>W290</f>
        <v/>
      </c>
      <c r="Q290" s="13">
        <f>Y290</f>
        <v/>
      </c>
      <c r="R290" s="15" t="n"/>
      <c r="S290" s="15">
        <f>LEFT(W290,2)&amp;LEFT(Y290,2)</f>
        <v/>
      </c>
      <c r="T290" s="15" t="n"/>
      <c r="U290" s="15">
        <f>IF(K290&lt;L290,1,0)</f>
        <v/>
      </c>
      <c r="V290" s="15">
        <f>IF(H290&gt;I290,1,0)</f>
        <v/>
      </c>
      <c r="W290" s="15">
        <f>IF(SUM(U290:V290)=2,"Anticipatory_Sell","No_Action")</f>
        <v/>
      </c>
      <c r="X290" s="15" t="n"/>
      <c r="Y290" s="15">
        <f>IF(SUM(Z290:AA290)=2,"Confirm_Sell","No_Action")</f>
        <v/>
      </c>
      <c r="Z290" s="15">
        <f>IF(H290&gt;I290,1,0)</f>
        <v/>
      </c>
      <c r="AA290" s="15">
        <f>IF(K290&lt;M290,1,0)</f>
        <v/>
      </c>
      <c r="AB290" s="15" t="n"/>
      <c r="AC290" s="15">
        <f>LEFT(AG290,2)&amp;LEFT(AI290,2)</f>
        <v/>
      </c>
      <c r="AD290" s="15" t="n"/>
      <c r="AE290" s="15">
        <f>IF(K290&gt;L290,1,0)</f>
        <v/>
      </c>
      <c r="AF290" s="16">
        <f>IF(H290&gt;I290,1,0)</f>
        <v/>
      </c>
      <c r="AG290" s="16">
        <f>IF(SUM(AE290:AF290)=2,"Anticipatory_Buy","No_Action")</f>
        <v/>
      </c>
      <c r="AH290" s="15" t="n"/>
      <c r="AI290" s="15">
        <f>IF(SUM(AJ290:AK290)=2,"Confirm_Buy","No_Action")</f>
        <v/>
      </c>
      <c r="AJ290" s="15">
        <f>IF(H290&gt;I290,1,0)</f>
        <v/>
      </c>
      <c r="AK290" s="15">
        <f>IF(K290&gt;M290,1,0)</f>
        <v/>
      </c>
    </row>
    <row r="291" ht="14.5" customHeight="1">
      <c r="A291" s="12" t="inlineStr">
        <is>
          <t>SRF</t>
        </is>
      </c>
      <c r="B291" s="13">
        <f>IFERROR(__xludf.DUMMYFUNCTION("GOOGLEFINANCE(""NSE:""&amp;A291,""PRICE"")"),2318.1)</f>
        <v/>
      </c>
      <c r="C291" s="13">
        <f>IFERROR(__xludf.DUMMYFUNCTION("GOOGLEFINANCE(""NSE:""&amp;A291,""PRICEOPEN"")"),2290)</f>
        <v/>
      </c>
      <c r="D291" s="13">
        <f>IFERROR(__xludf.DUMMYFUNCTION("GOOGLEFINANCE(""NSE:""&amp;A291,""HIGH"")"),2318.15)</f>
        <v/>
      </c>
      <c r="E291" s="13">
        <f>IFERROR(__xludf.DUMMYFUNCTION("GOOGLEFINANCE(""NSE:""&amp;A291,""LOW"")"),2257.8)</f>
        <v/>
      </c>
      <c r="F291" s="13">
        <f>IFERROR(__xludf.DUMMYFUNCTION("GOOGLEFINANCE(""NSE:""&amp;A291,""closeyest"")"),2294.7)</f>
        <v/>
      </c>
      <c r="G291" s="14">
        <f>(B291-C291)/B291</f>
        <v/>
      </c>
      <c r="H291" s="13">
        <f>IFERROR(__xludf.DUMMYFUNCTION("GOOGLEFINANCE(""NSE:""&amp;A291,""VOLUME"")"),393791)</f>
        <v/>
      </c>
      <c r="I291" s="13">
        <f>IFERROR(__xludf.DUMMYFUNCTION("AVERAGE(index(GOOGLEFINANCE(""NSE:""&amp;$A291, ""volume"", today()-21, today()-1), , 2))"),"#N/A")</f>
        <v/>
      </c>
      <c r="J291" s="14">
        <f>(H291-I291)/I291</f>
        <v/>
      </c>
      <c r="K291" s="13">
        <f>IFERROR(__xludf.DUMMYFUNCTION("AVERAGE(index(GOOGLEFINANCE(""NSE:""&amp;$A291, ""close"", today()-6, today()-1), , 2))"),"#N/A")</f>
        <v/>
      </c>
      <c r="L291" s="13">
        <f>IFERROR(__xludf.DUMMYFUNCTION("AVERAGE(index(GOOGLEFINANCE(""NSE:""&amp;$A291, ""close"", today()-14, today()-1), , 2))"),"#N/A")</f>
        <v/>
      </c>
      <c r="M291" s="13">
        <f>IFERROR(__xludf.DUMMYFUNCTION("AVERAGE(index(GOOGLEFINANCE(""NSE:""&amp;$A291, ""close"", today()-22, today()-1), , 2))"),"#N/A")</f>
        <v/>
      </c>
      <c r="N291" s="13">
        <f>AG291</f>
        <v/>
      </c>
      <c r="O291" s="13">
        <f>AI291</f>
        <v/>
      </c>
      <c r="P291" s="13">
        <f>W291</f>
        <v/>
      </c>
      <c r="Q291" s="13">
        <f>Y291</f>
        <v/>
      </c>
      <c r="R291" s="15" t="n"/>
      <c r="S291" s="15">
        <f>LEFT(W291,2)&amp;LEFT(Y291,2)</f>
        <v/>
      </c>
      <c r="T291" s="15" t="n"/>
      <c r="U291" s="15">
        <f>IF(K291&lt;L291,1,0)</f>
        <v/>
      </c>
      <c r="V291" s="15">
        <f>IF(H291&gt;I291,1,0)</f>
        <v/>
      </c>
      <c r="W291" s="15">
        <f>IF(SUM(U291:V291)=2,"Anticipatory_Sell","No_Action")</f>
        <v/>
      </c>
      <c r="X291" s="15" t="n"/>
      <c r="Y291" s="15">
        <f>IF(SUM(Z291:AA291)=2,"Confirm_Sell","No_Action")</f>
        <v/>
      </c>
      <c r="Z291" s="15">
        <f>IF(H291&gt;I291,1,0)</f>
        <v/>
      </c>
      <c r="AA291" s="15">
        <f>IF(K291&lt;M291,1,0)</f>
        <v/>
      </c>
      <c r="AB291" s="15" t="n"/>
      <c r="AC291" s="15">
        <f>LEFT(AG291,2)&amp;LEFT(AI291,2)</f>
        <v/>
      </c>
      <c r="AD291" s="15" t="n"/>
      <c r="AE291" s="15">
        <f>IF(K291&gt;L291,1,0)</f>
        <v/>
      </c>
      <c r="AF291" s="16">
        <f>IF(H291&gt;I291,1,0)</f>
        <v/>
      </c>
      <c r="AG291" s="16">
        <f>IF(SUM(AE291:AF291)=2,"Anticipatory_Buy","No_Action")</f>
        <v/>
      </c>
      <c r="AH291" s="15" t="n"/>
      <c r="AI291" s="15">
        <f>IF(SUM(AJ291:AK291)=2,"Confirm_Buy","No_Action")</f>
        <v/>
      </c>
      <c r="AJ291" s="15">
        <f>IF(H291&gt;I291,1,0)</f>
        <v/>
      </c>
      <c r="AK291" s="15">
        <f>IF(K291&gt;M291,1,0)</f>
        <v/>
      </c>
    </row>
    <row r="292" ht="14.5" customHeight="1">
      <c r="A292" s="12" t="inlineStr">
        <is>
          <t>SBIN</t>
        </is>
      </c>
      <c r="B292" s="13">
        <f>IFERROR(__xludf.DUMMYFUNCTION("GOOGLEFINANCE(""NSE:""&amp;A292,""PRICE"")"),858.2)</f>
        <v/>
      </c>
      <c r="C292" s="13">
        <f>IFERROR(__xludf.DUMMYFUNCTION("GOOGLEFINANCE(""NSE:""&amp;A292,""PRICEOPEN"")"),859)</f>
        <v/>
      </c>
      <c r="D292" s="13">
        <f>IFERROR(__xludf.DUMMYFUNCTION("GOOGLEFINANCE(""NSE:""&amp;A292,""HIGH"")"),866.85)</f>
        <v/>
      </c>
      <c r="E292" s="13">
        <f>IFERROR(__xludf.DUMMYFUNCTION("GOOGLEFINANCE(""NSE:""&amp;A292,""LOW"")"),856.95)</f>
        <v/>
      </c>
      <c r="F292" s="13">
        <f>IFERROR(__xludf.DUMMYFUNCTION("GOOGLEFINANCE(""NSE:""&amp;A292,""closeyest"")"),863.65)</f>
        <v/>
      </c>
      <c r="G292" s="14">
        <f>(B292-C292)/B292</f>
        <v/>
      </c>
      <c r="H292" s="13">
        <f>IFERROR(__xludf.DUMMYFUNCTION("GOOGLEFINANCE(""NSE:""&amp;A292,""VOLUME"")"),9630346)</f>
        <v/>
      </c>
      <c r="I292" s="13">
        <f>IFERROR(__xludf.DUMMYFUNCTION("AVERAGE(index(GOOGLEFINANCE(""NSE:""&amp;$A292, ""volume"", today()-21, today()-1), , 2))"),"#N/A")</f>
        <v/>
      </c>
      <c r="J292" s="14">
        <f>(H292-I292)/I292</f>
        <v/>
      </c>
      <c r="K292" s="13">
        <f>IFERROR(__xludf.DUMMYFUNCTION("AVERAGE(index(GOOGLEFINANCE(""NSE:""&amp;$A292, ""close"", today()-6, today()-1), , 2))"),"#N/A")</f>
        <v/>
      </c>
      <c r="L292" s="13">
        <f>IFERROR(__xludf.DUMMYFUNCTION("AVERAGE(index(GOOGLEFINANCE(""NSE:""&amp;$A292, ""close"", today()-14, today()-1), , 2))"),"#N/A")</f>
        <v/>
      </c>
      <c r="M292" s="13">
        <f>IFERROR(__xludf.DUMMYFUNCTION("AVERAGE(index(GOOGLEFINANCE(""NSE:""&amp;$A292, ""close"", today()-22, today()-1), , 2))"),"#N/A")</f>
        <v/>
      </c>
      <c r="N292" s="13">
        <f>AG292</f>
        <v/>
      </c>
      <c r="O292" s="13">
        <f>AI292</f>
        <v/>
      </c>
      <c r="P292" s="13">
        <f>W292</f>
        <v/>
      </c>
      <c r="Q292" s="13">
        <f>Y292</f>
        <v/>
      </c>
      <c r="R292" s="15" t="n"/>
      <c r="S292" s="15">
        <f>LEFT(W292,2)&amp;LEFT(Y292,2)</f>
        <v/>
      </c>
      <c r="T292" s="15" t="n"/>
      <c r="U292" s="15">
        <f>IF(K292&lt;L292,1,0)</f>
        <v/>
      </c>
      <c r="V292" s="15">
        <f>IF(H292&gt;I292,1,0)</f>
        <v/>
      </c>
      <c r="W292" s="15">
        <f>IF(SUM(U292:V292)=2,"Anticipatory_Sell","No_Action")</f>
        <v/>
      </c>
      <c r="X292" s="15" t="n"/>
      <c r="Y292" s="15">
        <f>IF(SUM(Z292:AA292)=2,"Confirm_Sell","No_Action")</f>
        <v/>
      </c>
      <c r="Z292" s="15">
        <f>IF(H292&gt;I292,1,0)</f>
        <v/>
      </c>
      <c r="AA292" s="15">
        <f>IF(K292&lt;M292,1,0)</f>
        <v/>
      </c>
      <c r="AB292" s="15" t="n"/>
      <c r="AC292" s="15">
        <f>LEFT(AG292,2)&amp;LEFT(AI292,2)</f>
        <v/>
      </c>
      <c r="AD292" s="15" t="n"/>
      <c r="AE292" s="15">
        <f>IF(K292&gt;L292,1,0)</f>
        <v/>
      </c>
      <c r="AF292" s="16">
        <f>IF(H292&gt;I292,1,0)</f>
        <v/>
      </c>
      <c r="AG292" s="16">
        <f>IF(SUM(AE292:AF292)=2,"Anticipatory_Buy","No_Action")</f>
        <v/>
      </c>
      <c r="AH292" s="15" t="n"/>
      <c r="AI292" s="15">
        <f>IF(SUM(AJ292:AK292)=2,"Confirm_Buy","No_Action")</f>
        <v/>
      </c>
      <c r="AJ292" s="15">
        <f>IF(H292&gt;I292,1,0)</f>
        <v/>
      </c>
      <c r="AK292" s="15">
        <f>IF(K292&gt;M292,1,0)</f>
        <v/>
      </c>
    </row>
    <row r="293" ht="14.5" customHeight="1">
      <c r="A293" s="12" t="inlineStr">
        <is>
          <t>STARCEMENT</t>
        </is>
      </c>
      <c r="B293" s="13">
        <f>IFERROR(__xludf.DUMMYFUNCTION("GOOGLEFINANCE(""NSE:""&amp;A293,""PRICE"")"),197.5)</f>
        <v/>
      </c>
      <c r="C293" s="13">
        <f>IFERROR(__xludf.DUMMYFUNCTION("GOOGLEFINANCE(""NSE:""&amp;A293,""PRICEOPEN"")"),200.1)</f>
        <v/>
      </c>
      <c r="D293" s="13">
        <f>IFERROR(__xludf.DUMMYFUNCTION("GOOGLEFINANCE(""NSE:""&amp;A293,""HIGH"")"),202.06)</f>
        <v/>
      </c>
      <c r="E293" s="13">
        <f>IFERROR(__xludf.DUMMYFUNCTION("GOOGLEFINANCE(""NSE:""&amp;A293,""LOW"")"),197.26)</f>
        <v/>
      </c>
      <c r="F293" s="13">
        <f>IFERROR(__xludf.DUMMYFUNCTION("GOOGLEFINANCE(""NSE:""&amp;A293,""closeyest"")"),202.29)</f>
        <v/>
      </c>
      <c r="G293" s="14">
        <f>(B293-C293)/B293</f>
        <v/>
      </c>
      <c r="H293" s="13">
        <f>IFERROR(__xludf.DUMMYFUNCTION("GOOGLEFINANCE(""NSE:""&amp;A293,""VOLUME"")"),461765)</f>
        <v/>
      </c>
      <c r="I293" s="13">
        <f>IFERROR(__xludf.DUMMYFUNCTION("AVERAGE(index(GOOGLEFINANCE(""NSE:""&amp;$A293, ""volume"", today()-21, today()-1), , 2))"),"#N/A")</f>
        <v/>
      </c>
      <c r="J293" s="14">
        <f>(H293-I293)/I293</f>
        <v/>
      </c>
      <c r="K293" s="13">
        <f>IFERROR(__xludf.DUMMYFUNCTION("AVERAGE(index(GOOGLEFINANCE(""NSE:""&amp;$A293, ""close"", today()-6, today()-1), , 2))"),"#N/A")</f>
        <v/>
      </c>
      <c r="L293" s="13">
        <f>IFERROR(__xludf.DUMMYFUNCTION("AVERAGE(index(GOOGLEFINANCE(""NSE:""&amp;$A293, ""close"", today()-14, today()-1), , 2))"),"#N/A")</f>
        <v/>
      </c>
      <c r="M293" s="13">
        <f>IFERROR(__xludf.DUMMYFUNCTION("AVERAGE(index(GOOGLEFINANCE(""NSE:""&amp;$A293, ""close"", today()-22, today()-1), , 2))"),"#N/A")</f>
        <v/>
      </c>
      <c r="N293" s="13">
        <f>AG293</f>
        <v/>
      </c>
      <c r="O293" s="13">
        <f>AI293</f>
        <v/>
      </c>
      <c r="P293" s="13">
        <f>W293</f>
        <v/>
      </c>
      <c r="Q293" s="13">
        <f>Y293</f>
        <v/>
      </c>
      <c r="R293" s="15" t="n"/>
      <c r="S293" s="15">
        <f>LEFT(W293,2)&amp;LEFT(Y293,2)</f>
        <v/>
      </c>
      <c r="T293" s="15" t="n"/>
      <c r="U293" s="15">
        <f>IF(K293&lt;L293,1,0)</f>
        <v/>
      </c>
      <c r="V293" s="15">
        <f>IF(H293&gt;I293,1,0)</f>
        <v/>
      </c>
      <c r="W293" s="15">
        <f>IF(SUM(U293:V293)=2,"Anticipatory_Sell","No_Action")</f>
        <v/>
      </c>
      <c r="X293" s="15" t="n"/>
      <c r="Y293" s="15">
        <f>IF(SUM(Z293:AA293)=2,"Confirm_Sell","No_Action")</f>
        <v/>
      </c>
      <c r="Z293" s="15">
        <f>IF(H293&gt;I293,1,0)</f>
        <v/>
      </c>
      <c r="AA293" s="15">
        <f>IF(K293&lt;M293,1,0)</f>
        <v/>
      </c>
      <c r="AB293" s="15" t="n"/>
      <c r="AC293" s="15">
        <f>LEFT(AG293,2)&amp;LEFT(AI293,2)</f>
        <v/>
      </c>
      <c r="AD293" s="15" t="n"/>
      <c r="AE293" s="15">
        <f>IF(K293&gt;L293,1,0)</f>
        <v/>
      </c>
      <c r="AF293" s="16">
        <f>IF(H293&gt;I293,1,0)</f>
        <v/>
      </c>
      <c r="AG293" s="16">
        <f>IF(SUM(AE293:AF293)=2,"Anticipatory_Buy","No_Action")</f>
        <v/>
      </c>
      <c r="AH293" s="15" t="n"/>
      <c r="AI293" s="15">
        <f>IF(SUM(AJ293:AK293)=2,"Confirm_Buy","No_Action")</f>
        <v/>
      </c>
      <c r="AJ293" s="15">
        <f>IF(H293&gt;I293,1,0)</f>
        <v/>
      </c>
      <c r="AK293" s="15">
        <f>IF(K293&gt;M293,1,0)</f>
        <v/>
      </c>
    </row>
    <row r="294" ht="14.5" customHeight="1">
      <c r="A294" s="12" t="inlineStr">
        <is>
          <t>STERTOOLS</t>
        </is>
      </c>
      <c r="B294" s="13">
        <f>IFERROR(__xludf.DUMMYFUNCTION("GOOGLEFINANCE(""NSE:""&amp;A294,""PRICE"")"),665)</f>
        <v/>
      </c>
      <c r="C294" s="13">
        <f>IFERROR(__xludf.DUMMYFUNCTION("GOOGLEFINANCE(""NSE:""&amp;A294,""PRICEOPEN"")"),663.4)</f>
        <v/>
      </c>
      <c r="D294" s="13">
        <f>IFERROR(__xludf.DUMMYFUNCTION("GOOGLEFINANCE(""NSE:""&amp;A294,""HIGH"")"),682.35)</f>
        <v/>
      </c>
      <c r="E294" s="13">
        <f>IFERROR(__xludf.DUMMYFUNCTION("GOOGLEFINANCE(""NSE:""&amp;A294,""LOW"")"),660)</f>
        <v/>
      </c>
      <c r="F294" s="13">
        <f>IFERROR(__xludf.DUMMYFUNCTION("GOOGLEFINANCE(""NSE:""&amp;A294,""closeyest"")"),667.7)</f>
        <v/>
      </c>
      <c r="G294" s="14">
        <f>(B294-C294)/B294</f>
        <v/>
      </c>
      <c r="H294" s="13">
        <f>IFERROR(__xludf.DUMMYFUNCTION("GOOGLEFINANCE(""NSE:""&amp;A294,""VOLUME"")"),155028)</f>
        <v/>
      </c>
      <c r="I294" s="13">
        <f>IFERROR(__xludf.DUMMYFUNCTION("AVERAGE(index(GOOGLEFINANCE(""NSE:""&amp;$A294, ""volume"", today()-21, today()-1), , 2))"),"#N/A")</f>
        <v/>
      </c>
      <c r="J294" s="14">
        <f>(H294-I294)/I294</f>
        <v/>
      </c>
      <c r="K294" s="13">
        <f>IFERROR(__xludf.DUMMYFUNCTION("AVERAGE(index(GOOGLEFINANCE(""NSE:""&amp;$A294, ""close"", today()-6, today()-1), , 2))"),"#N/A")</f>
        <v/>
      </c>
      <c r="L294" s="13">
        <f>IFERROR(__xludf.DUMMYFUNCTION("AVERAGE(index(GOOGLEFINANCE(""NSE:""&amp;$A294, ""close"", today()-14, today()-1), , 2))"),"#N/A")</f>
        <v/>
      </c>
      <c r="M294" s="13">
        <f>IFERROR(__xludf.DUMMYFUNCTION("AVERAGE(index(GOOGLEFINANCE(""NSE:""&amp;$A294, ""close"", today()-22, today()-1), , 2))"),"#N/A")</f>
        <v/>
      </c>
      <c r="N294" s="13">
        <f>AG294</f>
        <v/>
      </c>
      <c r="O294" s="13">
        <f>AI294</f>
        <v/>
      </c>
      <c r="P294" s="13">
        <f>W294</f>
        <v/>
      </c>
      <c r="Q294" s="13">
        <f>Y294</f>
        <v/>
      </c>
      <c r="R294" s="15" t="n"/>
      <c r="S294" s="15">
        <f>LEFT(W294,2)&amp;LEFT(Y294,2)</f>
        <v/>
      </c>
      <c r="T294" s="15" t="n"/>
      <c r="U294" s="15">
        <f>IF(K294&lt;L294,1,0)</f>
        <v/>
      </c>
      <c r="V294" s="15">
        <f>IF(H294&gt;I294,1,0)</f>
        <v/>
      </c>
      <c r="W294" s="15">
        <f>IF(SUM(U294:V294)=2,"Anticipatory_Sell","No_Action")</f>
        <v/>
      </c>
      <c r="X294" s="15" t="n"/>
      <c r="Y294" s="15">
        <f>IF(SUM(Z294:AA294)=2,"Confirm_Sell","No_Action")</f>
        <v/>
      </c>
      <c r="Z294" s="15">
        <f>IF(H294&gt;I294,1,0)</f>
        <v/>
      </c>
      <c r="AA294" s="15">
        <f>IF(K294&lt;M294,1,0)</f>
        <v/>
      </c>
      <c r="AB294" s="15" t="n"/>
      <c r="AC294" s="15">
        <f>LEFT(AG294,2)&amp;LEFT(AI294,2)</f>
        <v/>
      </c>
      <c r="AD294" s="15" t="n"/>
      <c r="AE294" s="15">
        <f>IF(K294&gt;L294,1,0)</f>
        <v/>
      </c>
      <c r="AF294" s="16">
        <f>IF(H294&gt;I294,1,0)</f>
        <v/>
      </c>
      <c r="AG294" s="16">
        <f>IF(SUM(AE294:AF294)=2,"Anticipatory_Buy","No_Action")</f>
        <v/>
      </c>
      <c r="AH294" s="15" t="n"/>
      <c r="AI294" s="15">
        <f>IF(SUM(AJ294:AK294)=2,"Confirm_Buy","No_Action")</f>
        <v/>
      </c>
      <c r="AJ294" s="15">
        <f>IF(H294&gt;I294,1,0)</f>
        <v/>
      </c>
      <c r="AK294" s="15">
        <f>IF(K294&gt;M294,1,0)</f>
        <v/>
      </c>
    </row>
    <row r="295" ht="14.5" customHeight="1">
      <c r="A295" s="12" t="inlineStr">
        <is>
          <t>STYLAMIND</t>
        </is>
      </c>
      <c r="B295" s="13">
        <f>IFERROR(__xludf.DUMMYFUNCTION("GOOGLEFINANCE(""NSE:""&amp;A295,""PRICE"")"),2467)</f>
        <v/>
      </c>
      <c r="C295" s="13">
        <f>IFERROR(__xludf.DUMMYFUNCTION("GOOGLEFINANCE(""NSE:""&amp;A295,""PRICEOPEN"")"),2530)</f>
        <v/>
      </c>
      <c r="D295" s="13">
        <f>IFERROR(__xludf.DUMMYFUNCTION("GOOGLEFINANCE(""NSE:""&amp;A295,""HIGH"")"),2530)</f>
        <v/>
      </c>
      <c r="E295" s="13">
        <f>IFERROR(__xludf.DUMMYFUNCTION("GOOGLEFINANCE(""NSE:""&amp;A295,""LOW"")"),2450.25)</f>
        <v/>
      </c>
      <c r="F295" s="13">
        <f>IFERROR(__xludf.DUMMYFUNCTION("GOOGLEFINANCE(""NSE:""&amp;A295,""closeyest"")"),2493.65)</f>
        <v/>
      </c>
      <c r="G295" s="14">
        <f>(B295-C295)/B295</f>
        <v/>
      </c>
      <c r="H295" s="13">
        <f>IFERROR(__xludf.DUMMYFUNCTION("GOOGLEFINANCE(""NSE:""&amp;A295,""VOLUME"")"),25830)</f>
        <v/>
      </c>
      <c r="I295" s="13">
        <f>IFERROR(__xludf.DUMMYFUNCTION("AVERAGE(index(GOOGLEFINANCE(""NSE:""&amp;$A295, ""volume"", today()-21, today()-1), , 2))"),"#N/A")</f>
        <v/>
      </c>
      <c r="J295" s="14">
        <f>(H295-I295)/I295</f>
        <v/>
      </c>
      <c r="K295" s="13">
        <f>IFERROR(__xludf.DUMMYFUNCTION("AVERAGE(index(GOOGLEFINANCE(""NSE:""&amp;$A295, ""close"", today()-6, today()-1), , 2))"),"#N/A")</f>
        <v/>
      </c>
      <c r="L295" s="13">
        <f>IFERROR(__xludf.DUMMYFUNCTION("AVERAGE(index(GOOGLEFINANCE(""NSE:""&amp;$A295, ""close"", today()-14, today()-1), , 2))"),"#N/A")</f>
        <v/>
      </c>
      <c r="M295" s="13">
        <f>IFERROR(__xludf.DUMMYFUNCTION("AVERAGE(index(GOOGLEFINANCE(""NSE:""&amp;$A295, ""close"", today()-22, today()-1), , 2))"),"#N/A")</f>
        <v/>
      </c>
      <c r="N295" s="13">
        <f>AG295</f>
        <v/>
      </c>
      <c r="O295" s="13">
        <f>AI295</f>
        <v/>
      </c>
      <c r="P295" s="13">
        <f>W295</f>
        <v/>
      </c>
      <c r="Q295" s="13">
        <f>Y295</f>
        <v/>
      </c>
      <c r="R295" s="15" t="n"/>
      <c r="S295" s="15">
        <f>LEFT(W295,2)&amp;LEFT(Y295,2)</f>
        <v/>
      </c>
      <c r="T295" s="15" t="n"/>
      <c r="U295" s="15">
        <f>IF(K295&lt;L295,1,0)</f>
        <v/>
      </c>
      <c r="V295" s="15">
        <f>IF(H295&gt;I295,1,0)</f>
        <v/>
      </c>
      <c r="W295" s="15">
        <f>IF(SUM(U295:V295)=2,"Anticipatory_Sell","No_Action")</f>
        <v/>
      </c>
      <c r="X295" s="15" t="n"/>
      <c r="Y295" s="15">
        <f>IF(SUM(Z295:AA295)=2,"Confirm_Sell","No_Action")</f>
        <v/>
      </c>
      <c r="Z295" s="15">
        <f>IF(H295&gt;I295,1,0)</f>
        <v/>
      </c>
      <c r="AA295" s="15">
        <f>IF(K295&lt;M295,1,0)</f>
        <v/>
      </c>
      <c r="AB295" s="15" t="n"/>
      <c r="AC295" s="15">
        <f>LEFT(AG295,2)&amp;LEFT(AI295,2)</f>
        <v/>
      </c>
      <c r="AD295" s="15" t="n"/>
      <c r="AE295" s="15">
        <f>IF(K295&gt;L295,1,0)</f>
        <v/>
      </c>
      <c r="AF295" s="16">
        <f>IF(H295&gt;I295,1,0)</f>
        <v/>
      </c>
      <c r="AG295" s="16">
        <f>IF(SUM(AE295:AF295)=2,"Anticipatory_Buy","No_Action")</f>
        <v/>
      </c>
      <c r="AH295" s="15" t="n"/>
      <c r="AI295" s="15">
        <f>IF(SUM(AJ295:AK295)=2,"Confirm_Buy","No_Action")</f>
        <v/>
      </c>
      <c r="AJ295" s="15">
        <f>IF(H295&gt;I295,1,0)</f>
        <v/>
      </c>
      <c r="AK295" s="15">
        <f>IF(K295&gt;M295,1,0)</f>
        <v/>
      </c>
    </row>
    <row r="296" ht="14.5" customHeight="1">
      <c r="A296" s="12" t="inlineStr">
        <is>
          <t>STYRENIX</t>
        </is>
      </c>
      <c r="B296" s="13">
        <f>IFERROR(__xludf.DUMMYFUNCTION("GOOGLEFINANCE(""NSE:""&amp;A296,""PRICE"")"),2860.95)</f>
        <v/>
      </c>
      <c r="C296" s="13">
        <f>IFERROR(__xludf.DUMMYFUNCTION("GOOGLEFINANCE(""NSE:""&amp;A296,""PRICEOPEN"")"),2798.2)</f>
        <v/>
      </c>
      <c r="D296" s="13">
        <f>IFERROR(__xludf.DUMMYFUNCTION("GOOGLEFINANCE(""NSE:""&amp;A296,""HIGH"")"),2895)</f>
        <v/>
      </c>
      <c r="E296" s="13">
        <f>IFERROR(__xludf.DUMMYFUNCTION("GOOGLEFINANCE(""NSE:""&amp;A296,""LOW"")"),2795.9)</f>
        <v/>
      </c>
      <c r="F296" s="13">
        <f>IFERROR(__xludf.DUMMYFUNCTION("GOOGLEFINANCE(""NSE:""&amp;A296,""closeyest"")"),2757.55)</f>
        <v/>
      </c>
      <c r="G296" s="14">
        <f>(B296-C296)/B296</f>
        <v/>
      </c>
      <c r="H296" s="13">
        <f>IFERROR(__xludf.DUMMYFUNCTION("GOOGLEFINANCE(""NSE:""&amp;A296,""VOLUME"")"),227517)</f>
        <v/>
      </c>
      <c r="I296" s="13">
        <f>IFERROR(__xludf.DUMMYFUNCTION("AVERAGE(index(GOOGLEFINANCE(""NSE:""&amp;$A296, ""volume"", today()-21, today()-1), , 2))"),"#N/A")</f>
        <v/>
      </c>
      <c r="J296" s="14">
        <f>(H296-I296)/I296</f>
        <v/>
      </c>
      <c r="K296" s="13">
        <f>IFERROR(__xludf.DUMMYFUNCTION("AVERAGE(index(GOOGLEFINANCE(""NSE:""&amp;$A296, ""close"", today()-6, today()-1), , 2))"),"#N/A")</f>
        <v/>
      </c>
      <c r="L296" s="13">
        <f>IFERROR(__xludf.DUMMYFUNCTION("AVERAGE(index(GOOGLEFINANCE(""NSE:""&amp;$A296, ""close"", today()-14, today()-1), , 2))"),"#N/A")</f>
        <v/>
      </c>
      <c r="M296" s="13">
        <f>IFERROR(__xludf.DUMMYFUNCTION("AVERAGE(index(GOOGLEFINANCE(""NSE:""&amp;$A296, ""close"", today()-22, today()-1), , 2))"),"#N/A")</f>
        <v/>
      </c>
      <c r="N296" s="13">
        <f>AG296</f>
        <v/>
      </c>
      <c r="O296" s="13">
        <f>AI296</f>
        <v/>
      </c>
      <c r="P296" s="13">
        <f>W296</f>
        <v/>
      </c>
      <c r="Q296" s="13">
        <f>Y296</f>
        <v/>
      </c>
      <c r="R296" s="15" t="n"/>
      <c r="S296" s="15">
        <f>LEFT(W296,2)&amp;LEFT(Y296,2)</f>
        <v/>
      </c>
      <c r="T296" s="15" t="n"/>
      <c r="U296" s="15">
        <f>IF(K296&lt;L296,1,0)</f>
        <v/>
      </c>
      <c r="V296" s="15">
        <f>IF(H296&gt;I296,1,0)</f>
        <v/>
      </c>
      <c r="W296" s="15">
        <f>IF(SUM(U296:V296)=2,"Anticipatory_Sell","No_Action")</f>
        <v/>
      </c>
      <c r="X296" s="15" t="n"/>
      <c r="Y296" s="15">
        <f>IF(SUM(Z296:AA296)=2,"Confirm_Sell","No_Action")</f>
        <v/>
      </c>
      <c r="Z296" s="15">
        <f>IF(H296&gt;I296,1,0)</f>
        <v/>
      </c>
      <c r="AA296" s="15">
        <f>IF(K296&lt;M296,1,0)</f>
        <v/>
      </c>
      <c r="AB296" s="15" t="n"/>
      <c r="AC296" s="15">
        <f>LEFT(AG296,2)&amp;LEFT(AI296,2)</f>
        <v/>
      </c>
      <c r="AD296" s="15" t="n"/>
      <c r="AE296" s="15">
        <f>IF(K296&gt;L296,1,0)</f>
        <v/>
      </c>
      <c r="AF296" s="16">
        <f>IF(H296&gt;I296,1,0)</f>
        <v/>
      </c>
      <c r="AG296" s="16">
        <f>IF(SUM(AE296:AF296)=2,"Anticipatory_Buy","No_Action")</f>
        <v/>
      </c>
      <c r="AH296" s="15" t="n"/>
      <c r="AI296" s="15">
        <f>IF(SUM(AJ296:AK296)=2,"Confirm_Buy","No_Action")</f>
        <v/>
      </c>
      <c r="AJ296" s="15">
        <f>IF(H296&gt;I296,1,0)</f>
        <v/>
      </c>
      <c r="AK296" s="15">
        <f>IF(K296&gt;M296,1,0)</f>
        <v/>
      </c>
    </row>
    <row r="297" ht="14.5" customHeight="1">
      <c r="A297" s="12" t="inlineStr">
        <is>
          <t>SUDARSCHEM</t>
        </is>
      </c>
      <c r="B297" s="13">
        <f>IFERROR(__xludf.DUMMYFUNCTION("GOOGLEFINANCE(""NSE:""&amp;A297,""PRICE"")"),1131)</f>
        <v/>
      </c>
      <c r="C297" s="13">
        <f>IFERROR(__xludf.DUMMYFUNCTION("GOOGLEFINANCE(""NSE:""&amp;A297,""PRICEOPEN"")"),1130.15)</f>
        <v/>
      </c>
      <c r="D297" s="13">
        <f>IFERROR(__xludf.DUMMYFUNCTION("GOOGLEFINANCE(""NSE:""&amp;A297,""HIGH"")"),1139.35)</f>
        <v/>
      </c>
      <c r="E297" s="13">
        <f>IFERROR(__xludf.DUMMYFUNCTION("GOOGLEFINANCE(""NSE:""&amp;A297,""LOW"")"),1122.5)</f>
        <v/>
      </c>
      <c r="F297" s="13">
        <f>IFERROR(__xludf.DUMMYFUNCTION("GOOGLEFINANCE(""NSE:""&amp;A297,""closeyest"")"),1130.15)</f>
        <v/>
      </c>
      <c r="G297" s="14">
        <f>(B297-C297)/B297</f>
        <v/>
      </c>
      <c r="H297" s="13">
        <f>IFERROR(__xludf.DUMMYFUNCTION("GOOGLEFINANCE(""NSE:""&amp;A297,""VOLUME"")"),151332)</f>
        <v/>
      </c>
      <c r="I297" s="13">
        <f>IFERROR(__xludf.DUMMYFUNCTION("AVERAGE(index(GOOGLEFINANCE(""NSE:""&amp;$A297, ""volume"", today()-21, today()-1), , 2))"),"#N/A")</f>
        <v/>
      </c>
      <c r="J297" s="14">
        <f>(H297-I297)/I297</f>
        <v/>
      </c>
      <c r="K297" s="13">
        <f>IFERROR(__xludf.DUMMYFUNCTION("AVERAGE(index(GOOGLEFINANCE(""NSE:""&amp;$A297, ""close"", today()-6, today()-1), , 2))"),"#N/A")</f>
        <v/>
      </c>
      <c r="L297" s="13">
        <f>IFERROR(__xludf.DUMMYFUNCTION("AVERAGE(index(GOOGLEFINANCE(""NSE:""&amp;$A297, ""close"", today()-14, today()-1), , 2))"),"#N/A")</f>
        <v/>
      </c>
      <c r="M297" s="13">
        <f>IFERROR(__xludf.DUMMYFUNCTION("AVERAGE(index(GOOGLEFINANCE(""NSE:""&amp;$A297, ""close"", today()-22, today()-1), , 2))"),"#N/A")</f>
        <v/>
      </c>
      <c r="N297" s="13">
        <f>AG297</f>
        <v/>
      </c>
      <c r="O297" s="13">
        <f>AI297</f>
        <v/>
      </c>
      <c r="P297" s="13">
        <f>W297</f>
        <v/>
      </c>
      <c r="Q297" s="13">
        <f>Y297</f>
        <v/>
      </c>
      <c r="R297" s="15" t="n"/>
      <c r="S297" s="15">
        <f>LEFT(W297,2)&amp;LEFT(Y297,2)</f>
        <v/>
      </c>
      <c r="T297" s="15" t="n"/>
      <c r="U297" s="15">
        <f>IF(K297&lt;L297,1,0)</f>
        <v/>
      </c>
      <c r="V297" s="15">
        <f>IF(H297&gt;I297,1,0)</f>
        <v/>
      </c>
      <c r="W297" s="15">
        <f>IF(SUM(U297:V297)=2,"Anticipatory_Sell","No_Action")</f>
        <v/>
      </c>
      <c r="X297" s="15" t="n"/>
      <c r="Y297" s="15">
        <f>IF(SUM(Z297:AA297)=2,"Confirm_Sell","No_Action")</f>
        <v/>
      </c>
      <c r="Z297" s="15">
        <f>IF(H297&gt;I297,1,0)</f>
        <v/>
      </c>
      <c r="AA297" s="15">
        <f>IF(K297&lt;M297,1,0)</f>
        <v/>
      </c>
      <c r="AB297" s="15" t="n"/>
      <c r="AC297" s="15">
        <f>LEFT(AG297,2)&amp;LEFT(AI297,2)</f>
        <v/>
      </c>
      <c r="AD297" s="15" t="n"/>
      <c r="AE297" s="15">
        <f>IF(K297&gt;L297,1,0)</f>
        <v/>
      </c>
      <c r="AF297" s="16">
        <f>IF(H297&gt;I297,1,0)</f>
        <v/>
      </c>
      <c r="AG297" s="16">
        <f>IF(SUM(AE297:AF297)=2,"Anticipatory_Buy","No_Action")</f>
        <v/>
      </c>
      <c r="AH297" s="15" t="n"/>
      <c r="AI297" s="15">
        <f>IF(SUM(AJ297:AK297)=2,"Confirm_Buy","No_Action")</f>
        <v/>
      </c>
      <c r="AJ297" s="15">
        <f>IF(H297&gt;I297,1,0)</f>
        <v/>
      </c>
      <c r="AK297" s="15">
        <f>IF(K297&gt;M297,1,0)</f>
        <v/>
      </c>
    </row>
    <row r="298" ht="14.5" customHeight="1">
      <c r="A298" s="12" t="inlineStr">
        <is>
          <t>SULA</t>
        </is>
      </c>
      <c r="B298" s="13">
        <f>IFERROR(__xludf.DUMMYFUNCTION("GOOGLEFINANCE(""NSE:""&amp;A298,""PRICE"")"),430.95)</f>
        <v/>
      </c>
      <c r="C298" s="13">
        <f>IFERROR(__xludf.DUMMYFUNCTION("GOOGLEFINANCE(""NSE:""&amp;A298,""PRICEOPEN"")"),433.05)</f>
        <v/>
      </c>
      <c r="D298" s="13">
        <f>IFERROR(__xludf.DUMMYFUNCTION("GOOGLEFINANCE(""NSE:""&amp;A298,""HIGH"")"),436.95)</f>
        <v/>
      </c>
      <c r="E298" s="13">
        <f>IFERROR(__xludf.DUMMYFUNCTION("GOOGLEFINANCE(""NSE:""&amp;A298,""LOW"")"),429.85)</f>
        <v/>
      </c>
      <c r="F298" s="13">
        <f>IFERROR(__xludf.DUMMYFUNCTION("GOOGLEFINANCE(""NSE:""&amp;A298,""closeyest"")"),433.05)</f>
        <v/>
      </c>
      <c r="G298" s="14">
        <f>(B298-C298)/B298</f>
        <v/>
      </c>
      <c r="H298" s="13">
        <f>IFERROR(__xludf.DUMMYFUNCTION("GOOGLEFINANCE(""NSE:""&amp;A298,""VOLUME"")"),157710)</f>
        <v/>
      </c>
      <c r="I298" s="13">
        <f>IFERROR(__xludf.DUMMYFUNCTION("AVERAGE(index(GOOGLEFINANCE(""NSE:""&amp;$A298, ""volume"", today()-21, today()-1), , 2))"),"#N/A")</f>
        <v/>
      </c>
      <c r="J298" s="14">
        <f>(H298-I298)/I298</f>
        <v/>
      </c>
      <c r="K298" s="13">
        <f>IFERROR(__xludf.DUMMYFUNCTION("AVERAGE(index(GOOGLEFINANCE(""NSE:""&amp;$A298, ""close"", today()-6, today()-1), , 2))"),"#N/A")</f>
        <v/>
      </c>
      <c r="L298" s="13">
        <f>IFERROR(__xludf.DUMMYFUNCTION("AVERAGE(index(GOOGLEFINANCE(""NSE:""&amp;$A298, ""close"", today()-14, today()-1), , 2))"),"#N/A")</f>
        <v/>
      </c>
      <c r="M298" s="13">
        <f>IFERROR(__xludf.DUMMYFUNCTION("AVERAGE(index(GOOGLEFINANCE(""NSE:""&amp;$A298, ""close"", today()-22, today()-1), , 2))"),"#N/A")</f>
        <v/>
      </c>
      <c r="N298" s="13">
        <f>AG298</f>
        <v/>
      </c>
      <c r="O298" s="13">
        <f>AI298</f>
        <v/>
      </c>
      <c r="P298" s="13">
        <f>W298</f>
        <v/>
      </c>
      <c r="Q298" s="13">
        <f>Y298</f>
        <v/>
      </c>
      <c r="R298" s="15" t="n"/>
      <c r="S298" s="15">
        <f>LEFT(W298,2)&amp;LEFT(Y298,2)</f>
        <v/>
      </c>
      <c r="T298" s="15" t="n"/>
      <c r="U298" s="15">
        <f>IF(K298&lt;L298,1,0)</f>
        <v/>
      </c>
      <c r="V298" s="15">
        <f>IF(H298&gt;I298,1,0)</f>
        <v/>
      </c>
      <c r="W298" s="15">
        <f>IF(SUM(U298:V298)=2,"Anticipatory_Sell","No_Action")</f>
        <v/>
      </c>
      <c r="X298" s="15" t="n"/>
      <c r="Y298" s="15">
        <f>IF(SUM(Z298:AA298)=2,"Confirm_Sell","No_Action")</f>
        <v/>
      </c>
      <c r="Z298" s="15">
        <f>IF(H298&gt;I298,1,0)</f>
        <v/>
      </c>
      <c r="AA298" s="15">
        <f>IF(K298&lt;M298,1,0)</f>
        <v/>
      </c>
      <c r="AB298" s="15" t="n"/>
      <c r="AC298" s="15">
        <f>LEFT(AG298,2)&amp;LEFT(AI298,2)</f>
        <v/>
      </c>
      <c r="AD298" s="15" t="n"/>
      <c r="AE298" s="15">
        <f>IF(K298&gt;L298,1,0)</f>
        <v/>
      </c>
      <c r="AF298" s="16">
        <f>IF(H298&gt;I298,1,0)</f>
        <v/>
      </c>
      <c r="AG298" s="16">
        <f>IF(SUM(AE298:AF298)=2,"Anticipatory_Buy","No_Action")</f>
        <v/>
      </c>
      <c r="AH298" s="15" t="n"/>
      <c r="AI298" s="15">
        <f>IF(SUM(AJ298:AK298)=2,"Confirm_Buy","No_Action")</f>
        <v/>
      </c>
      <c r="AJ298" s="15">
        <f>IF(H298&gt;I298,1,0)</f>
        <v/>
      </c>
      <c r="AK298" s="15">
        <f>IF(K298&gt;M298,1,0)</f>
        <v/>
      </c>
    </row>
    <row r="299" ht="14.5" customHeight="1">
      <c r="A299" s="12" t="inlineStr">
        <is>
          <t>SUMICHEM</t>
        </is>
      </c>
      <c r="B299" s="13">
        <f>IFERROR(__xludf.DUMMYFUNCTION("GOOGLEFINANCE(""NSE:""&amp;A299,""PRICE"")"),544.55)</f>
        <v/>
      </c>
      <c r="C299" s="13">
        <f>IFERROR(__xludf.DUMMYFUNCTION("GOOGLEFINANCE(""NSE:""&amp;A299,""PRICEOPEN"")"),552.45)</f>
        <v/>
      </c>
      <c r="D299" s="13">
        <f>IFERROR(__xludf.DUMMYFUNCTION("GOOGLEFINANCE(""NSE:""&amp;A299,""HIGH"")"),554.65)</f>
        <v/>
      </c>
      <c r="E299" s="13">
        <f>IFERROR(__xludf.DUMMYFUNCTION("GOOGLEFINANCE(""NSE:""&amp;A299,""LOW"")"),542.15)</f>
        <v/>
      </c>
      <c r="F299" s="13">
        <f>IFERROR(__xludf.DUMMYFUNCTION("GOOGLEFINANCE(""NSE:""&amp;A299,""closeyest"")"),549.15)</f>
        <v/>
      </c>
      <c r="G299" s="14">
        <f>(B299-C299)/B299</f>
        <v/>
      </c>
      <c r="H299" s="13">
        <f>IFERROR(__xludf.DUMMYFUNCTION("GOOGLEFINANCE(""NSE:""&amp;A299,""VOLUME"")"),229937)</f>
        <v/>
      </c>
      <c r="I299" s="13">
        <f>IFERROR(__xludf.DUMMYFUNCTION("AVERAGE(index(GOOGLEFINANCE(""NSE:""&amp;$A299, ""volume"", today()-21, today()-1), , 2))"),"#N/A")</f>
        <v/>
      </c>
      <c r="J299" s="14">
        <f>(H299-I299)/I299</f>
        <v/>
      </c>
      <c r="K299" s="13">
        <f>IFERROR(__xludf.DUMMYFUNCTION("AVERAGE(index(GOOGLEFINANCE(""NSE:""&amp;$A299, ""close"", today()-6, today()-1), , 2))"),"#N/A")</f>
        <v/>
      </c>
      <c r="L299" s="13">
        <f>IFERROR(__xludf.DUMMYFUNCTION("AVERAGE(index(GOOGLEFINANCE(""NSE:""&amp;$A299, ""close"", today()-14, today()-1), , 2))"),"#N/A")</f>
        <v/>
      </c>
      <c r="M299" s="13">
        <f>IFERROR(__xludf.DUMMYFUNCTION("AVERAGE(index(GOOGLEFINANCE(""NSE:""&amp;$A299, ""close"", today()-22, today()-1), , 2))"),"#N/A")</f>
        <v/>
      </c>
      <c r="N299" s="13">
        <f>AG299</f>
        <v/>
      </c>
      <c r="O299" s="13">
        <f>AI299</f>
        <v/>
      </c>
      <c r="P299" s="13">
        <f>W299</f>
        <v/>
      </c>
      <c r="Q299" s="13">
        <f>Y299</f>
        <v/>
      </c>
      <c r="R299" s="15" t="n"/>
      <c r="S299" s="15">
        <f>LEFT(W299,2)&amp;LEFT(Y299,2)</f>
        <v/>
      </c>
      <c r="T299" s="15" t="n"/>
      <c r="U299" s="15">
        <f>IF(K299&lt;L299,1,0)</f>
        <v/>
      </c>
      <c r="V299" s="15">
        <f>IF(H299&gt;I299,1,0)</f>
        <v/>
      </c>
      <c r="W299" s="15">
        <f>IF(SUM(U299:V299)=2,"Anticipatory_Sell","No_Action")</f>
        <v/>
      </c>
      <c r="X299" s="15" t="n"/>
      <c r="Y299" s="15">
        <f>IF(SUM(Z299:AA299)=2,"Confirm_Sell","No_Action")</f>
        <v/>
      </c>
      <c r="Z299" s="15">
        <f>IF(H299&gt;I299,1,0)</f>
        <v/>
      </c>
      <c r="AA299" s="15">
        <f>IF(K299&lt;M299,1,0)</f>
        <v/>
      </c>
      <c r="AB299" s="15" t="n"/>
      <c r="AC299" s="15">
        <f>LEFT(AG299,2)&amp;LEFT(AI299,2)</f>
        <v/>
      </c>
      <c r="AD299" s="15" t="n"/>
      <c r="AE299" s="15">
        <f>IF(K299&gt;L299,1,0)</f>
        <v/>
      </c>
      <c r="AF299" s="16">
        <f>IF(H299&gt;I299,1,0)</f>
        <v/>
      </c>
      <c r="AG299" s="16">
        <f>IF(SUM(AE299:AF299)=2,"Anticipatory_Buy","No_Action")</f>
        <v/>
      </c>
      <c r="AH299" s="15" t="n"/>
      <c r="AI299" s="15">
        <f>IF(SUM(AJ299:AK299)=2,"Confirm_Buy","No_Action")</f>
        <v/>
      </c>
      <c r="AJ299" s="15">
        <f>IF(H299&gt;I299,1,0)</f>
        <v/>
      </c>
      <c r="AK299" s="15">
        <f>IF(K299&gt;M299,1,0)</f>
        <v/>
      </c>
    </row>
    <row r="300" ht="14.5" customHeight="1">
      <c r="A300" s="12" t="inlineStr">
        <is>
          <t>SUNPHARMA</t>
        </is>
      </c>
      <c r="B300" s="13">
        <f>IFERROR(__xludf.DUMMYFUNCTION("GOOGLEFINANCE(""NSE:""&amp;A300,""PRICE"")"),1807)</f>
        <v/>
      </c>
      <c r="C300" s="13">
        <f>IFERROR(__xludf.DUMMYFUNCTION("GOOGLEFINANCE(""NSE:""&amp;A300,""PRICEOPEN"")"),1814.8)</f>
        <v/>
      </c>
      <c r="D300" s="13">
        <f>IFERROR(__xludf.DUMMYFUNCTION("GOOGLEFINANCE(""NSE:""&amp;A300,""HIGH"")"),1819.95)</f>
        <v/>
      </c>
      <c r="E300" s="13">
        <f>IFERROR(__xludf.DUMMYFUNCTION("GOOGLEFINANCE(""NSE:""&amp;A300,""LOW"")"),1796.7)</f>
        <v/>
      </c>
      <c r="F300" s="13">
        <f>IFERROR(__xludf.DUMMYFUNCTION("GOOGLEFINANCE(""NSE:""&amp;A300,""closeyest"")"),1804.85)</f>
        <v/>
      </c>
      <c r="G300" s="14">
        <f>(B300-C300)/B300</f>
        <v/>
      </c>
      <c r="H300" s="13">
        <f>IFERROR(__xludf.DUMMYFUNCTION("GOOGLEFINANCE(""NSE:""&amp;A300,""VOLUME"")"),1528215)</f>
        <v/>
      </c>
      <c r="I300" s="13">
        <f>IFERROR(__xludf.DUMMYFUNCTION("AVERAGE(index(GOOGLEFINANCE(""NSE:""&amp;$A300, ""volume"", today()-21, today()-1), , 2))"),"#N/A")</f>
        <v/>
      </c>
      <c r="J300" s="14">
        <f>(H300-I300)/I300</f>
        <v/>
      </c>
      <c r="K300" s="13">
        <f>IFERROR(__xludf.DUMMYFUNCTION("AVERAGE(index(GOOGLEFINANCE(""NSE:""&amp;$A300, ""close"", today()-6, today()-1), , 2))"),"#N/A")</f>
        <v/>
      </c>
      <c r="L300" s="13">
        <f>IFERROR(__xludf.DUMMYFUNCTION("AVERAGE(index(GOOGLEFINANCE(""NSE:""&amp;$A300, ""close"", today()-14, today()-1), , 2))"),"#N/A")</f>
        <v/>
      </c>
      <c r="M300" s="13">
        <f>IFERROR(__xludf.DUMMYFUNCTION("AVERAGE(index(GOOGLEFINANCE(""NSE:""&amp;$A300, ""close"", today()-22, today()-1), , 2))"),"#N/A")</f>
        <v/>
      </c>
      <c r="N300" s="13">
        <f>AG300</f>
        <v/>
      </c>
      <c r="O300" s="13">
        <f>AI300</f>
        <v/>
      </c>
      <c r="P300" s="13">
        <f>W300</f>
        <v/>
      </c>
      <c r="Q300" s="13">
        <f>Y300</f>
        <v/>
      </c>
      <c r="R300" s="15" t="n"/>
      <c r="S300" s="15">
        <f>LEFT(W300,2)&amp;LEFT(Y300,2)</f>
        <v/>
      </c>
      <c r="T300" s="15" t="n"/>
      <c r="U300" s="15">
        <f>IF(K300&lt;L300,1,0)</f>
        <v/>
      </c>
      <c r="V300" s="15">
        <f>IF(H300&gt;I300,1,0)</f>
        <v/>
      </c>
      <c r="W300" s="15">
        <f>IF(SUM(U300:V300)=2,"Anticipatory_Sell","No_Action")</f>
        <v/>
      </c>
      <c r="X300" s="15" t="n"/>
      <c r="Y300" s="15">
        <f>IF(SUM(Z300:AA300)=2,"Confirm_Sell","No_Action")</f>
        <v/>
      </c>
      <c r="Z300" s="15">
        <f>IF(H300&gt;I300,1,0)</f>
        <v/>
      </c>
      <c r="AA300" s="15">
        <f>IF(K300&lt;M300,1,0)</f>
        <v/>
      </c>
      <c r="AB300" s="15" t="n"/>
      <c r="AC300" s="15">
        <f>LEFT(AG300,2)&amp;LEFT(AI300,2)</f>
        <v/>
      </c>
      <c r="AD300" s="15" t="n"/>
      <c r="AE300" s="15">
        <f>IF(K300&gt;L300,1,0)</f>
        <v/>
      </c>
      <c r="AF300" s="16">
        <f>IF(H300&gt;I300,1,0)</f>
        <v/>
      </c>
      <c r="AG300" s="16">
        <f>IF(SUM(AE300:AF300)=2,"Anticipatory_Buy","No_Action")</f>
        <v/>
      </c>
      <c r="AH300" s="15" t="n"/>
      <c r="AI300" s="15">
        <f>IF(SUM(AJ300:AK300)=2,"Confirm_Buy","No_Action")</f>
        <v/>
      </c>
      <c r="AJ300" s="15">
        <f>IF(H300&gt;I300,1,0)</f>
        <v/>
      </c>
      <c r="AK300" s="15">
        <f>IF(K300&gt;M300,1,0)</f>
        <v/>
      </c>
    </row>
    <row r="301" ht="14.5" customHeight="1">
      <c r="A301" s="12" t="inlineStr">
        <is>
          <t>SUNTV</t>
        </is>
      </c>
      <c r="B301" s="13">
        <f>IFERROR(__xludf.DUMMYFUNCTION("GOOGLEFINANCE(""NSE:""&amp;A301,""PRICE"")"),754.95)</f>
        <v/>
      </c>
      <c r="C301" s="13">
        <f>IFERROR(__xludf.DUMMYFUNCTION("GOOGLEFINANCE(""NSE:""&amp;A301,""PRICEOPEN"")"),763)</f>
        <v/>
      </c>
      <c r="D301" s="13">
        <f>IFERROR(__xludf.DUMMYFUNCTION("GOOGLEFINANCE(""NSE:""&amp;A301,""HIGH"")"),768.9)</f>
        <v/>
      </c>
      <c r="E301" s="13">
        <f>IFERROR(__xludf.DUMMYFUNCTION("GOOGLEFINANCE(""NSE:""&amp;A301,""LOW"")"),752.2)</f>
        <v/>
      </c>
      <c r="F301" s="13">
        <f>IFERROR(__xludf.DUMMYFUNCTION("GOOGLEFINANCE(""NSE:""&amp;A301,""closeyest"")"),765.85)</f>
        <v/>
      </c>
      <c r="G301" s="14">
        <f>(B301-C301)/B301</f>
        <v/>
      </c>
      <c r="H301" s="13">
        <f>IFERROR(__xludf.DUMMYFUNCTION("GOOGLEFINANCE(""NSE:""&amp;A301,""VOLUME"")"),316381)</f>
        <v/>
      </c>
      <c r="I301" s="13">
        <f>IFERROR(__xludf.DUMMYFUNCTION("AVERAGE(index(GOOGLEFINANCE(""NSE:""&amp;$A301, ""volume"", today()-21, today()-1), , 2))"),"#N/A")</f>
        <v/>
      </c>
      <c r="J301" s="14">
        <f>(H301-I301)/I301</f>
        <v/>
      </c>
      <c r="K301" s="13">
        <f>IFERROR(__xludf.DUMMYFUNCTION("AVERAGE(index(GOOGLEFINANCE(""NSE:""&amp;$A301, ""close"", today()-6, today()-1), , 2))"),"#N/A")</f>
        <v/>
      </c>
      <c r="L301" s="13">
        <f>IFERROR(__xludf.DUMMYFUNCTION("AVERAGE(index(GOOGLEFINANCE(""NSE:""&amp;$A301, ""close"", today()-14, today()-1), , 2))"),"#N/A")</f>
        <v/>
      </c>
      <c r="M301" s="13">
        <f>IFERROR(__xludf.DUMMYFUNCTION("AVERAGE(index(GOOGLEFINANCE(""NSE:""&amp;$A301, ""close"", today()-22, today()-1), , 2))"),"#N/A")</f>
        <v/>
      </c>
      <c r="N301" s="13">
        <f>AG301</f>
        <v/>
      </c>
      <c r="O301" s="13">
        <f>AI301</f>
        <v/>
      </c>
      <c r="P301" s="13">
        <f>W301</f>
        <v/>
      </c>
      <c r="Q301" s="13">
        <f>Y301</f>
        <v/>
      </c>
      <c r="R301" s="15" t="n"/>
      <c r="S301" s="15">
        <f>LEFT(W301,2)&amp;LEFT(Y301,2)</f>
        <v/>
      </c>
      <c r="T301" s="15" t="n"/>
      <c r="U301" s="15">
        <f>IF(K301&lt;L301,1,0)</f>
        <v/>
      </c>
      <c r="V301" s="15">
        <f>IF(H301&gt;I301,1,0)</f>
        <v/>
      </c>
      <c r="W301" s="15">
        <f>IF(SUM(U301:V301)=2,"Anticipatory_Sell","No_Action")</f>
        <v/>
      </c>
      <c r="X301" s="15" t="n"/>
      <c r="Y301" s="15">
        <f>IF(SUM(Z301:AA301)=2,"Confirm_Sell","No_Action")</f>
        <v/>
      </c>
      <c r="Z301" s="15">
        <f>IF(H301&gt;I301,1,0)</f>
        <v/>
      </c>
      <c r="AA301" s="15">
        <f>IF(K301&lt;M301,1,0)</f>
        <v/>
      </c>
      <c r="AB301" s="15" t="n"/>
      <c r="AC301" s="15">
        <f>LEFT(AG301,2)&amp;LEFT(AI301,2)</f>
        <v/>
      </c>
      <c r="AD301" s="15" t="n"/>
      <c r="AE301" s="15">
        <f>IF(K301&gt;L301,1,0)</f>
        <v/>
      </c>
      <c r="AF301" s="16">
        <f>IF(H301&gt;I301,1,0)</f>
        <v/>
      </c>
      <c r="AG301" s="16">
        <f>IF(SUM(AE301:AF301)=2,"Anticipatory_Buy","No_Action")</f>
        <v/>
      </c>
      <c r="AH301" s="15" t="n"/>
      <c r="AI301" s="15">
        <f>IF(SUM(AJ301:AK301)=2,"Confirm_Buy","No_Action")</f>
        <v/>
      </c>
      <c r="AJ301" s="15">
        <f>IF(H301&gt;I301,1,0)</f>
        <v/>
      </c>
      <c r="AK301" s="15">
        <f>IF(K301&gt;M301,1,0)</f>
        <v/>
      </c>
    </row>
    <row r="302" ht="14.5" customHeight="1">
      <c r="A302" s="12" t="inlineStr">
        <is>
          <t>SUNDARMFIN</t>
        </is>
      </c>
      <c r="B302" s="13">
        <f>IFERROR(__xludf.DUMMYFUNCTION("GOOGLEFINANCE(""NSE:""&amp;A302,""PRICE"")"),4380)</f>
        <v/>
      </c>
      <c r="C302" s="13">
        <f>IFERROR(__xludf.DUMMYFUNCTION("GOOGLEFINANCE(""NSE:""&amp;A302,""PRICEOPEN"")"),4204.7)</f>
        <v/>
      </c>
      <c r="D302" s="13">
        <f>IFERROR(__xludf.DUMMYFUNCTION("GOOGLEFINANCE(""NSE:""&amp;A302,""HIGH"")"),4420)</f>
        <v/>
      </c>
      <c r="E302" s="13">
        <f>IFERROR(__xludf.DUMMYFUNCTION("GOOGLEFINANCE(""NSE:""&amp;A302,""LOW"")"),4204.7)</f>
        <v/>
      </c>
      <c r="F302" s="13">
        <f>IFERROR(__xludf.DUMMYFUNCTION("GOOGLEFINANCE(""NSE:""&amp;A302,""closeyest"")"),4165.5)</f>
        <v/>
      </c>
      <c r="G302" s="14">
        <f>(B302-C302)/B302</f>
        <v/>
      </c>
      <c r="H302" s="13">
        <f>IFERROR(__xludf.DUMMYFUNCTION("GOOGLEFINANCE(""NSE:""&amp;A302,""VOLUME"")"),342844)</f>
        <v/>
      </c>
      <c r="I302" s="13">
        <f>IFERROR(__xludf.DUMMYFUNCTION("AVERAGE(index(GOOGLEFINANCE(""NSE:""&amp;$A302, ""volume"", today()-21, today()-1), , 2))"),"#N/A")</f>
        <v/>
      </c>
      <c r="J302" s="14">
        <f>(H302-I302)/I302</f>
        <v/>
      </c>
      <c r="K302" s="13">
        <f>IFERROR(__xludf.DUMMYFUNCTION("AVERAGE(index(GOOGLEFINANCE(""NSE:""&amp;$A302, ""close"", today()-6, today()-1), , 2))"),"#N/A")</f>
        <v/>
      </c>
      <c r="L302" s="13">
        <f>IFERROR(__xludf.DUMMYFUNCTION("AVERAGE(index(GOOGLEFINANCE(""NSE:""&amp;$A302, ""close"", today()-14, today()-1), , 2))"),"#N/A")</f>
        <v/>
      </c>
      <c r="M302" s="13">
        <f>IFERROR(__xludf.DUMMYFUNCTION("AVERAGE(index(GOOGLEFINANCE(""NSE:""&amp;$A302, ""close"", today()-22, today()-1), , 2))"),"#N/A")</f>
        <v/>
      </c>
      <c r="N302" s="13">
        <f>AG302</f>
        <v/>
      </c>
      <c r="O302" s="13">
        <f>AI302</f>
        <v/>
      </c>
      <c r="P302" s="13">
        <f>W302</f>
        <v/>
      </c>
      <c r="Q302" s="13">
        <f>Y302</f>
        <v/>
      </c>
      <c r="R302" s="15" t="n"/>
      <c r="S302" s="15">
        <f>LEFT(W302,2)&amp;LEFT(Y302,2)</f>
        <v/>
      </c>
      <c r="T302" s="15" t="n"/>
      <c r="U302" s="15">
        <f>IF(K302&lt;L302,1,0)</f>
        <v/>
      </c>
      <c r="V302" s="15">
        <f>IF(H302&gt;I302,1,0)</f>
        <v/>
      </c>
      <c r="W302" s="15">
        <f>IF(SUM(U302:V302)=2,"Anticipatory_Sell","No_Action")</f>
        <v/>
      </c>
      <c r="X302" s="15" t="n"/>
      <c r="Y302" s="15">
        <f>IF(SUM(Z302:AA302)=2,"Confirm_Sell","No_Action")</f>
        <v/>
      </c>
      <c r="Z302" s="15">
        <f>IF(H302&gt;I302,1,0)</f>
        <v/>
      </c>
      <c r="AA302" s="15">
        <f>IF(K302&lt;M302,1,0)</f>
        <v/>
      </c>
      <c r="AB302" s="15" t="n"/>
      <c r="AC302" s="15">
        <f>LEFT(AG302,2)&amp;LEFT(AI302,2)</f>
        <v/>
      </c>
      <c r="AD302" s="15" t="n"/>
      <c r="AE302" s="15">
        <f>IF(K302&gt;L302,1,0)</f>
        <v/>
      </c>
      <c r="AF302" s="16">
        <f>IF(H302&gt;I302,1,0)</f>
        <v/>
      </c>
      <c r="AG302" s="16">
        <f>IF(SUM(AE302:AF302)=2,"Anticipatory_Buy","No_Action")</f>
        <v/>
      </c>
      <c r="AH302" s="15" t="n"/>
      <c r="AI302" s="15">
        <f>IF(SUM(AJ302:AK302)=2,"Confirm_Buy","No_Action")</f>
        <v/>
      </c>
      <c r="AJ302" s="15">
        <f>IF(H302&gt;I302,1,0)</f>
        <v/>
      </c>
      <c r="AK302" s="15">
        <f>IF(K302&gt;M302,1,0)</f>
        <v/>
      </c>
    </row>
    <row r="303" ht="14.5" customHeight="1">
      <c r="A303" s="12" t="inlineStr">
        <is>
          <t>SUNDRMFAST</t>
        </is>
      </c>
      <c r="B303" s="13">
        <f>IFERROR(__xludf.DUMMYFUNCTION("GOOGLEFINANCE(""NSE:""&amp;A303,""PRICE"")"),1183.6)</f>
        <v/>
      </c>
      <c r="C303" s="13">
        <f>IFERROR(__xludf.DUMMYFUNCTION("GOOGLEFINANCE(""NSE:""&amp;A303,""PRICEOPEN"")"),1138.2)</f>
        <v/>
      </c>
      <c r="D303" s="13">
        <f>IFERROR(__xludf.DUMMYFUNCTION("GOOGLEFINANCE(""NSE:""&amp;A303,""HIGH"")"),1187.95)</f>
        <v/>
      </c>
      <c r="E303" s="13">
        <f>IFERROR(__xludf.DUMMYFUNCTION("GOOGLEFINANCE(""NSE:""&amp;A303,""LOW"")"),1131.9)</f>
        <v/>
      </c>
      <c r="F303" s="13">
        <f>IFERROR(__xludf.DUMMYFUNCTION("GOOGLEFINANCE(""NSE:""&amp;A303,""closeyest"")"),1132.25)</f>
        <v/>
      </c>
      <c r="G303" s="14">
        <f>(B303-C303)/B303</f>
        <v/>
      </c>
      <c r="H303" s="13">
        <f>IFERROR(__xludf.DUMMYFUNCTION("GOOGLEFINANCE(""NSE:""&amp;A303,""VOLUME"")"),1005356)</f>
        <v/>
      </c>
      <c r="I303" s="13">
        <f>IFERROR(__xludf.DUMMYFUNCTION("AVERAGE(index(GOOGLEFINANCE(""NSE:""&amp;$A303, ""volume"", today()-21, today()-1), , 2))"),"#N/A")</f>
        <v/>
      </c>
      <c r="J303" s="14">
        <f>(H303-I303)/I303</f>
        <v/>
      </c>
      <c r="K303" s="13">
        <f>IFERROR(__xludf.DUMMYFUNCTION("AVERAGE(index(GOOGLEFINANCE(""NSE:""&amp;$A303, ""close"", today()-6, today()-1), , 2))"),"#N/A")</f>
        <v/>
      </c>
      <c r="L303" s="13">
        <f>IFERROR(__xludf.DUMMYFUNCTION("AVERAGE(index(GOOGLEFINANCE(""NSE:""&amp;$A303, ""close"", today()-14, today()-1), , 2))"),"#N/A")</f>
        <v/>
      </c>
      <c r="M303" s="13">
        <f>IFERROR(__xludf.DUMMYFUNCTION("AVERAGE(index(GOOGLEFINANCE(""NSE:""&amp;$A303, ""close"", today()-22, today()-1), , 2))"),"#N/A")</f>
        <v/>
      </c>
      <c r="N303" s="13">
        <f>AG303</f>
        <v/>
      </c>
      <c r="O303" s="13">
        <f>AI303</f>
        <v/>
      </c>
      <c r="P303" s="13">
        <f>W303</f>
        <v/>
      </c>
      <c r="Q303" s="13">
        <f>Y303</f>
        <v/>
      </c>
      <c r="R303" s="15" t="n"/>
      <c r="S303" s="15">
        <f>LEFT(W303,2)&amp;LEFT(Y303,2)</f>
        <v/>
      </c>
      <c r="T303" s="15" t="n"/>
      <c r="U303" s="15">
        <f>IF(K303&lt;L303,1,0)</f>
        <v/>
      </c>
      <c r="V303" s="15">
        <f>IF(H303&gt;I303,1,0)</f>
        <v/>
      </c>
      <c r="W303" s="15">
        <f>IF(SUM(U303:V303)=2,"Anticipatory_Sell","No_Action")</f>
        <v/>
      </c>
      <c r="X303" s="15" t="n"/>
      <c r="Y303" s="15">
        <f>IF(SUM(Z303:AA303)=2,"Confirm_Sell","No_Action")</f>
        <v/>
      </c>
      <c r="Z303" s="15">
        <f>IF(H303&gt;I303,1,0)</f>
        <v/>
      </c>
      <c r="AA303" s="15">
        <f>IF(K303&lt;M303,1,0)</f>
        <v/>
      </c>
      <c r="AB303" s="15" t="n"/>
      <c r="AC303" s="15">
        <f>LEFT(AG303,2)&amp;LEFT(AI303,2)</f>
        <v/>
      </c>
      <c r="AD303" s="15" t="n"/>
      <c r="AE303" s="15">
        <f>IF(K303&gt;L303,1,0)</f>
        <v/>
      </c>
      <c r="AF303" s="16">
        <f>IF(H303&gt;I303,1,0)</f>
        <v/>
      </c>
      <c r="AG303" s="16">
        <f>IF(SUM(AE303:AF303)=2,"Anticipatory_Buy","No_Action")</f>
        <v/>
      </c>
      <c r="AH303" s="15" t="n"/>
      <c r="AI303" s="15">
        <f>IF(SUM(AJ303:AK303)=2,"Confirm_Buy","No_Action")</f>
        <v/>
      </c>
      <c r="AJ303" s="15">
        <f>IF(H303&gt;I303,1,0)</f>
        <v/>
      </c>
      <c r="AK303" s="15">
        <f>IF(K303&gt;M303,1,0)</f>
        <v/>
      </c>
    </row>
    <row r="304" ht="14.5" customHeight="1">
      <c r="A304" s="12" t="inlineStr">
        <is>
          <t>SUPREMEIND</t>
        </is>
      </c>
      <c r="B304" s="13">
        <f>IFERROR(__xludf.DUMMYFUNCTION("GOOGLEFINANCE(""NSE:""&amp;A304,""PRICE"")"),5044.6)</f>
        <v/>
      </c>
      <c r="C304" s="13">
        <f>IFERROR(__xludf.DUMMYFUNCTION("GOOGLEFINANCE(""NSE:""&amp;A304,""PRICEOPEN"")"),4740.5)</f>
        <v/>
      </c>
      <c r="D304" s="13">
        <f>IFERROR(__xludf.DUMMYFUNCTION("GOOGLEFINANCE(""NSE:""&amp;A304,""HIGH"")"),5049.85)</f>
        <v/>
      </c>
      <c r="E304" s="13">
        <f>IFERROR(__xludf.DUMMYFUNCTION("GOOGLEFINANCE(""NSE:""&amp;A304,""LOW"")"),4738.55)</f>
        <v/>
      </c>
      <c r="F304" s="13">
        <f>IFERROR(__xludf.DUMMYFUNCTION("GOOGLEFINANCE(""NSE:""&amp;A304,""closeyest"")"),4738.4)</f>
        <v/>
      </c>
      <c r="G304" s="14">
        <f>(B304-C304)/B304</f>
        <v/>
      </c>
      <c r="H304" s="13">
        <f>IFERROR(__xludf.DUMMYFUNCTION("GOOGLEFINANCE(""NSE:""&amp;A304,""VOLUME"")"),619707)</f>
        <v/>
      </c>
      <c r="I304" s="13">
        <f>IFERROR(__xludf.DUMMYFUNCTION("AVERAGE(index(GOOGLEFINANCE(""NSE:""&amp;$A304, ""volume"", today()-21, today()-1), , 2))"),"#N/A")</f>
        <v/>
      </c>
      <c r="J304" s="14">
        <f>(H304-I304)/I304</f>
        <v/>
      </c>
      <c r="K304" s="13">
        <f>IFERROR(__xludf.DUMMYFUNCTION("AVERAGE(index(GOOGLEFINANCE(""NSE:""&amp;$A304, ""close"", today()-6, today()-1), , 2))"),"#N/A")</f>
        <v/>
      </c>
      <c r="L304" s="13">
        <f>IFERROR(__xludf.DUMMYFUNCTION("AVERAGE(index(GOOGLEFINANCE(""NSE:""&amp;$A304, ""close"", today()-14, today()-1), , 2))"),"#N/A")</f>
        <v/>
      </c>
      <c r="M304" s="13">
        <f>IFERROR(__xludf.DUMMYFUNCTION("AVERAGE(index(GOOGLEFINANCE(""NSE:""&amp;$A304, ""close"", today()-22, today()-1), , 2))"),"#N/A")</f>
        <v/>
      </c>
      <c r="N304" s="13">
        <f>AG304</f>
        <v/>
      </c>
      <c r="O304" s="13">
        <f>AI304</f>
        <v/>
      </c>
      <c r="P304" s="13">
        <f>W304</f>
        <v/>
      </c>
      <c r="Q304" s="13">
        <f>Y304</f>
        <v/>
      </c>
      <c r="R304" s="15" t="n"/>
      <c r="S304" s="15">
        <f>LEFT(W304,2)&amp;LEFT(Y304,2)</f>
        <v/>
      </c>
      <c r="T304" s="15" t="n"/>
      <c r="U304" s="15">
        <f>IF(K304&lt;L304,1,0)</f>
        <v/>
      </c>
      <c r="V304" s="15">
        <f>IF(H304&gt;I304,1,0)</f>
        <v/>
      </c>
      <c r="W304" s="15">
        <f>IF(SUM(U304:V304)=2,"Anticipatory_Sell","No_Action")</f>
        <v/>
      </c>
      <c r="X304" s="15" t="n"/>
      <c r="Y304" s="15">
        <f>IF(SUM(Z304:AA304)=2,"Confirm_Sell","No_Action")</f>
        <v/>
      </c>
      <c r="Z304" s="15">
        <f>IF(H304&gt;I304,1,0)</f>
        <v/>
      </c>
      <c r="AA304" s="15">
        <f>IF(K304&lt;M304,1,0)</f>
        <v/>
      </c>
      <c r="AB304" s="15" t="n"/>
      <c r="AC304" s="15">
        <f>LEFT(AG304,2)&amp;LEFT(AI304,2)</f>
        <v/>
      </c>
      <c r="AD304" s="15" t="n"/>
      <c r="AE304" s="15">
        <f>IF(K304&gt;L304,1,0)</f>
        <v/>
      </c>
      <c r="AF304" s="16">
        <f>IF(H304&gt;I304,1,0)</f>
        <v/>
      </c>
      <c r="AG304" s="16">
        <f>IF(SUM(AE304:AF304)=2,"Anticipatory_Buy","No_Action")</f>
        <v/>
      </c>
      <c r="AH304" s="15" t="n"/>
      <c r="AI304" s="15">
        <f>IF(SUM(AJ304:AK304)=2,"Confirm_Buy","No_Action")</f>
        <v/>
      </c>
      <c r="AJ304" s="15">
        <f>IF(H304&gt;I304,1,0)</f>
        <v/>
      </c>
      <c r="AK304" s="15">
        <f>IF(K304&gt;M304,1,0)</f>
        <v/>
      </c>
    </row>
    <row r="305" ht="14.5" customHeight="1">
      <c r="A305" s="12" t="inlineStr">
        <is>
          <t>SYMPHONY</t>
        </is>
      </c>
      <c r="B305" s="13">
        <f>IFERROR(__xludf.DUMMYFUNCTION("GOOGLEFINANCE(""NSE:""&amp;A305,""PRICE"")"),1386)</f>
        <v/>
      </c>
      <c r="C305" s="13">
        <f>IFERROR(__xludf.DUMMYFUNCTION("GOOGLEFINANCE(""NSE:""&amp;A305,""PRICEOPEN"")"),1359.05)</f>
        <v/>
      </c>
      <c r="D305" s="13">
        <f>IFERROR(__xludf.DUMMYFUNCTION("GOOGLEFINANCE(""NSE:""&amp;A305,""HIGH"")"),1392)</f>
        <v/>
      </c>
      <c r="E305" s="13">
        <f>IFERROR(__xludf.DUMMYFUNCTION("GOOGLEFINANCE(""NSE:""&amp;A305,""LOW"")"),1359.05)</f>
        <v/>
      </c>
      <c r="F305" s="13">
        <f>IFERROR(__xludf.DUMMYFUNCTION("GOOGLEFINANCE(""NSE:""&amp;A305,""closeyest"")"),1363.3)</f>
        <v/>
      </c>
      <c r="G305" s="14">
        <f>(B305-C305)/B305</f>
        <v/>
      </c>
      <c r="H305" s="13">
        <f>IFERROR(__xludf.DUMMYFUNCTION("GOOGLEFINANCE(""NSE:""&amp;A305,""VOLUME"")"),47542)</f>
        <v/>
      </c>
      <c r="I305" s="13">
        <f>IFERROR(__xludf.DUMMYFUNCTION("AVERAGE(index(GOOGLEFINANCE(""NSE:""&amp;$A305, ""volume"", today()-21, today()-1), , 2))"),"#N/A")</f>
        <v/>
      </c>
      <c r="J305" s="14">
        <f>(H305-I305)/I305</f>
        <v/>
      </c>
      <c r="K305" s="13">
        <f>IFERROR(__xludf.DUMMYFUNCTION("AVERAGE(index(GOOGLEFINANCE(""NSE:""&amp;$A305, ""close"", today()-6, today()-1), , 2))"),"#N/A")</f>
        <v/>
      </c>
      <c r="L305" s="13">
        <f>IFERROR(__xludf.DUMMYFUNCTION("AVERAGE(index(GOOGLEFINANCE(""NSE:""&amp;$A305, ""close"", today()-14, today()-1), , 2))"),"#N/A")</f>
        <v/>
      </c>
      <c r="M305" s="13">
        <f>IFERROR(__xludf.DUMMYFUNCTION("AVERAGE(index(GOOGLEFINANCE(""NSE:""&amp;$A305, ""close"", today()-22, today()-1), , 2))"),"#N/A")</f>
        <v/>
      </c>
      <c r="N305" s="13">
        <f>AG305</f>
        <v/>
      </c>
      <c r="O305" s="13">
        <f>AI305</f>
        <v/>
      </c>
      <c r="P305" s="13">
        <f>W305</f>
        <v/>
      </c>
      <c r="Q305" s="13">
        <f>Y305</f>
        <v/>
      </c>
      <c r="R305" s="15" t="n"/>
      <c r="S305" s="15">
        <f>LEFT(W305,2)&amp;LEFT(Y305,2)</f>
        <v/>
      </c>
      <c r="T305" s="15" t="n"/>
      <c r="U305" s="15">
        <f>IF(K305&lt;L305,1,0)</f>
        <v/>
      </c>
      <c r="V305" s="15">
        <f>IF(H305&gt;I305,1,0)</f>
        <v/>
      </c>
      <c r="W305" s="15">
        <f>IF(SUM(U305:V305)=2,"Anticipatory_Sell","No_Action")</f>
        <v/>
      </c>
      <c r="X305" s="15" t="n"/>
      <c r="Y305" s="15">
        <f>IF(SUM(Z305:AA305)=2,"Confirm_Sell","No_Action")</f>
        <v/>
      </c>
      <c r="Z305" s="15">
        <f>IF(H305&gt;I305,1,0)</f>
        <v/>
      </c>
      <c r="AA305" s="15">
        <f>IF(K305&lt;M305,1,0)</f>
        <v/>
      </c>
      <c r="AB305" s="15" t="n"/>
      <c r="AC305" s="15">
        <f>LEFT(AG305,2)&amp;LEFT(AI305,2)</f>
        <v/>
      </c>
      <c r="AD305" s="15" t="n"/>
      <c r="AE305" s="15">
        <f>IF(K305&gt;L305,1,0)</f>
        <v/>
      </c>
      <c r="AF305" s="16">
        <f>IF(H305&gt;I305,1,0)</f>
        <v/>
      </c>
      <c r="AG305" s="16">
        <f>IF(SUM(AE305:AF305)=2,"Anticipatory_Buy","No_Action")</f>
        <v/>
      </c>
      <c r="AH305" s="15" t="n"/>
      <c r="AI305" s="15">
        <f>IF(SUM(AJ305:AK305)=2,"Confirm_Buy","No_Action")</f>
        <v/>
      </c>
      <c r="AJ305" s="15">
        <f>IF(H305&gt;I305,1,0)</f>
        <v/>
      </c>
      <c r="AK305" s="15">
        <f>IF(K305&gt;M305,1,0)</f>
        <v/>
      </c>
    </row>
    <row r="306" ht="14.5" customHeight="1">
      <c r="A306" s="12" t="inlineStr">
        <is>
          <t>SYNGENE</t>
        </is>
      </c>
      <c r="B306" s="13">
        <f>IFERROR(__xludf.DUMMYFUNCTION("GOOGLEFINANCE(""NSE:""&amp;A306,""PRICE"")"),872.7)</f>
        <v/>
      </c>
      <c r="C306" s="13">
        <f>IFERROR(__xludf.DUMMYFUNCTION("GOOGLEFINANCE(""NSE:""&amp;A306,""PRICEOPEN"")"),900)</f>
        <v/>
      </c>
      <c r="D306" s="13">
        <f>IFERROR(__xludf.DUMMYFUNCTION("GOOGLEFINANCE(""NSE:""&amp;A306,""HIGH"")"),907)</f>
        <v/>
      </c>
      <c r="E306" s="13">
        <f>IFERROR(__xludf.DUMMYFUNCTION("GOOGLEFINANCE(""NSE:""&amp;A306,""LOW"")"),852)</f>
        <v/>
      </c>
      <c r="F306" s="13">
        <f>IFERROR(__xludf.DUMMYFUNCTION("GOOGLEFINANCE(""NSE:""&amp;A306,""closeyest"")"),919.7)</f>
        <v/>
      </c>
      <c r="G306" s="14">
        <f>(B306-C306)/B306</f>
        <v/>
      </c>
      <c r="H306" s="13">
        <f>IFERROR(__xludf.DUMMYFUNCTION("GOOGLEFINANCE(""NSE:""&amp;A306,""VOLUME"")"),1908789)</f>
        <v/>
      </c>
      <c r="I306" s="13">
        <f>IFERROR(__xludf.DUMMYFUNCTION("AVERAGE(index(GOOGLEFINANCE(""NSE:""&amp;$A306, ""volume"", today()-21, today()-1), , 2))"),"#N/A")</f>
        <v/>
      </c>
      <c r="J306" s="14">
        <f>(H306-I306)/I306</f>
        <v/>
      </c>
      <c r="K306" s="13">
        <f>IFERROR(__xludf.DUMMYFUNCTION("AVERAGE(index(GOOGLEFINANCE(""NSE:""&amp;$A306, ""close"", today()-6, today()-1), , 2))"),"#N/A")</f>
        <v/>
      </c>
      <c r="L306" s="13">
        <f>IFERROR(__xludf.DUMMYFUNCTION("AVERAGE(index(GOOGLEFINANCE(""NSE:""&amp;$A306, ""close"", today()-14, today()-1), , 2))"),"#N/A")</f>
        <v/>
      </c>
      <c r="M306" s="13">
        <f>IFERROR(__xludf.DUMMYFUNCTION("AVERAGE(index(GOOGLEFINANCE(""NSE:""&amp;$A306, ""close"", today()-22, today()-1), , 2))"),"#N/A")</f>
        <v/>
      </c>
      <c r="N306" s="13">
        <f>AG306</f>
        <v/>
      </c>
      <c r="O306" s="13">
        <f>AI306</f>
        <v/>
      </c>
      <c r="P306" s="13">
        <f>W306</f>
        <v/>
      </c>
      <c r="Q306" s="13">
        <f>Y306</f>
        <v/>
      </c>
      <c r="R306" s="15" t="n"/>
      <c r="S306" s="15">
        <f>LEFT(W306,2)&amp;LEFT(Y306,2)</f>
        <v/>
      </c>
      <c r="T306" s="15" t="n"/>
      <c r="U306" s="15">
        <f>IF(K306&lt;L306,1,0)</f>
        <v/>
      </c>
      <c r="V306" s="15">
        <f>IF(H306&gt;I306,1,0)</f>
        <v/>
      </c>
      <c r="W306" s="15">
        <f>IF(SUM(U306:V306)=2,"Anticipatory_Sell","No_Action")</f>
        <v/>
      </c>
      <c r="X306" s="15" t="n"/>
      <c r="Y306" s="15">
        <f>IF(SUM(Z306:AA306)=2,"Confirm_Sell","No_Action")</f>
        <v/>
      </c>
      <c r="Z306" s="15">
        <f>IF(H306&gt;I306,1,0)</f>
        <v/>
      </c>
      <c r="AA306" s="15">
        <f>IF(K306&lt;M306,1,0)</f>
        <v/>
      </c>
      <c r="AB306" s="15" t="n"/>
      <c r="AC306" s="15">
        <f>LEFT(AG306,2)&amp;LEFT(AI306,2)</f>
        <v/>
      </c>
      <c r="AD306" s="15" t="n"/>
      <c r="AE306" s="15">
        <f>IF(K306&gt;L306,1,0)</f>
        <v/>
      </c>
      <c r="AF306" s="16">
        <f>IF(H306&gt;I306,1,0)</f>
        <v/>
      </c>
      <c r="AG306" s="16">
        <f>IF(SUM(AE306:AF306)=2,"Anticipatory_Buy","No_Action")</f>
        <v/>
      </c>
      <c r="AH306" s="15" t="n"/>
      <c r="AI306" s="15">
        <f>IF(SUM(AJ306:AK306)=2,"Confirm_Buy","No_Action")</f>
        <v/>
      </c>
      <c r="AJ306" s="15">
        <f>IF(H306&gt;I306,1,0)</f>
        <v/>
      </c>
      <c r="AK306" s="15">
        <f>IF(K306&gt;M306,1,0)</f>
        <v/>
      </c>
    </row>
    <row r="307" ht="14.5" customHeight="1">
      <c r="A307" s="12" t="inlineStr">
        <is>
          <t>TAJGVK</t>
        </is>
      </c>
      <c r="B307" s="13">
        <f>IFERROR(__xludf.DUMMYFUNCTION("GOOGLEFINANCE(""NSE:""&amp;A307,""PRICE"")"),362.65)</f>
        <v/>
      </c>
      <c r="C307" s="13">
        <f>IFERROR(__xludf.DUMMYFUNCTION("GOOGLEFINANCE(""NSE:""&amp;A307,""PRICEOPEN"")"),364)</f>
        <v/>
      </c>
      <c r="D307" s="13">
        <f>IFERROR(__xludf.DUMMYFUNCTION("GOOGLEFINANCE(""NSE:""&amp;A307,""HIGH"")"),368.2)</f>
        <v/>
      </c>
      <c r="E307" s="13">
        <f>IFERROR(__xludf.DUMMYFUNCTION("GOOGLEFINANCE(""NSE:""&amp;A307,""LOW"")"),360.25)</f>
        <v/>
      </c>
      <c r="F307" s="13">
        <f>IFERROR(__xludf.DUMMYFUNCTION("GOOGLEFINANCE(""NSE:""&amp;A307,""closeyest"")"),362.4)</f>
        <v/>
      </c>
      <c r="G307" s="14">
        <f>(B307-C307)/B307</f>
        <v/>
      </c>
      <c r="H307" s="13">
        <f>IFERROR(__xludf.DUMMYFUNCTION("GOOGLEFINANCE(""NSE:""&amp;A307,""VOLUME"")"),194462)</f>
        <v/>
      </c>
      <c r="I307" s="13">
        <f>IFERROR(__xludf.DUMMYFUNCTION("AVERAGE(index(GOOGLEFINANCE(""NSE:""&amp;$A307, ""volume"", today()-21, today()-1), , 2))"),"#N/A")</f>
        <v/>
      </c>
      <c r="J307" s="14">
        <f>(H307-I307)/I307</f>
        <v/>
      </c>
      <c r="K307" s="13">
        <f>IFERROR(__xludf.DUMMYFUNCTION("AVERAGE(index(GOOGLEFINANCE(""NSE:""&amp;$A307, ""close"", today()-6, today()-1), , 2))"),"#N/A")</f>
        <v/>
      </c>
      <c r="L307" s="13">
        <f>IFERROR(__xludf.DUMMYFUNCTION("AVERAGE(index(GOOGLEFINANCE(""NSE:""&amp;$A307, ""close"", today()-14, today()-1), , 2))"),"#N/A")</f>
        <v/>
      </c>
      <c r="M307" s="13">
        <f>IFERROR(__xludf.DUMMYFUNCTION("AVERAGE(index(GOOGLEFINANCE(""NSE:""&amp;$A307, ""close"", today()-22, today()-1), , 2))"),"#N/A")</f>
        <v/>
      </c>
      <c r="N307" s="13">
        <f>AG307</f>
        <v/>
      </c>
      <c r="O307" s="13">
        <f>AI307</f>
        <v/>
      </c>
      <c r="P307" s="13">
        <f>W307</f>
        <v/>
      </c>
      <c r="Q307" s="13">
        <f>Y307</f>
        <v/>
      </c>
      <c r="R307" s="15" t="n"/>
      <c r="S307" s="15">
        <f>LEFT(W307,2)&amp;LEFT(Y307,2)</f>
        <v/>
      </c>
      <c r="T307" s="15" t="n"/>
      <c r="U307" s="15">
        <f>IF(K307&lt;L307,1,0)</f>
        <v/>
      </c>
      <c r="V307" s="15">
        <f>IF(H307&gt;I307,1,0)</f>
        <v/>
      </c>
      <c r="W307" s="15">
        <f>IF(SUM(U307:V307)=2,"Anticipatory_Sell","No_Action")</f>
        <v/>
      </c>
      <c r="X307" s="15" t="n"/>
      <c r="Y307" s="15">
        <f>IF(SUM(Z307:AA307)=2,"Confirm_Sell","No_Action")</f>
        <v/>
      </c>
      <c r="Z307" s="15">
        <f>IF(H307&gt;I307,1,0)</f>
        <v/>
      </c>
      <c r="AA307" s="15">
        <f>IF(K307&lt;M307,1,0)</f>
        <v/>
      </c>
      <c r="AB307" s="15" t="n"/>
      <c r="AC307" s="15">
        <f>LEFT(AG307,2)&amp;LEFT(AI307,2)</f>
        <v/>
      </c>
      <c r="AD307" s="15" t="n"/>
      <c r="AE307" s="15">
        <f>IF(K307&gt;L307,1,0)</f>
        <v/>
      </c>
      <c r="AF307" s="16">
        <f>IF(H307&gt;I307,1,0)</f>
        <v/>
      </c>
      <c r="AG307" s="16">
        <f>IF(SUM(AE307:AF307)=2,"Anticipatory_Buy","No_Action")</f>
        <v/>
      </c>
      <c r="AH307" s="15" t="n"/>
      <c r="AI307" s="15">
        <f>IF(SUM(AJ307:AK307)=2,"Confirm_Buy","No_Action")</f>
        <v/>
      </c>
      <c r="AJ307" s="15">
        <f>IF(H307&gt;I307,1,0)</f>
        <v/>
      </c>
      <c r="AK307" s="15">
        <f>IF(K307&gt;M307,1,0)</f>
        <v/>
      </c>
    </row>
    <row r="308" ht="14.5" customHeight="1">
      <c r="A308" s="12" t="inlineStr">
        <is>
          <t>TARSONS</t>
        </is>
      </c>
      <c r="B308" s="13">
        <f>IFERROR(__xludf.DUMMYFUNCTION("GOOGLEFINANCE(""NSE:""&amp;A308,""PRICE"")"),454)</f>
        <v/>
      </c>
      <c r="C308" s="13">
        <f>IFERROR(__xludf.DUMMYFUNCTION("GOOGLEFINANCE(""NSE:""&amp;A308,""PRICEOPEN"")"),459.7)</f>
        <v/>
      </c>
      <c r="D308" s="13">
        <f>IFERROR(__xludf.DUMMYFUNCTION("GOOGLEFINANCE(""NSE:""&amp;A308,""HIGH"")"),464.3)</f>
        <v/>
      </c>
      <c r="E308" s="13">
        <f>IFERROR(__xludf.DUMMYFUNCTION("GOOGLEFINANCE(""NSE:""&amp;A308,""LOW"")"),448.8)</f>
        <v/>
      </c>
      <c r="F308" s="13">
        <f>IFERROR(__xludf.DUMMYFUNCTION("GOOGLEFINANCE(""NSE:""&amp;A308,""closeyest"")"),450.6)</f>
        <v/>
      </c>
      <c r="G308" s="14">
        <f>(B308-C308)/B308</f>
        <v/>
      </c>
      <c r="H308" s="13">
        <f>IFERROR(__xludf.DUMMYFUNCTION("GOOGLEFINANCE(""NSE:""&amp;A308,""VOLUME"")"),64287)</f>
        <v/>
      </c>
      <c r="I308" s="13">
        <f>IFERROR(__xludf.DUMMYFUNCTION("AVERAGE(index(GOOGLEFINANCE(""NSE:""&amp;$A308, ""volume"", today()-21, today()-1), , 2))"),"#N/A")</f>
        <v/>
      </c>
      <c r="J308" s="14">
        <f>(H308-I308)/I308</f>
        <v/>
      </c>
      <c r="K308" s="13">
        <f>IFERROR(__xludf.DUMMYFUNCTION("AVERAGE(index(GOOGLEFINANCE(""NSE:""&amp;$A308, ""close"", today()-6, today()-1), , 2))"),"#N/A")</f>
        <v/>
      </c>
      <c r="L308" s="13">
        <f>IFERROR(__xludf.DUMMYFUNCTION("AVERAGE(index(GOOGLEFINANCE(""NSE:""&amp;$A308, ""close"", today()-14, today()-1), , 2))"),"#N/A")</f>
        <v/>
      </c>
      <c r="M308" s="13">
        <f>IFERROR(__xludf.DUMMYFUNCTION("AVERAGE(index(GOOGLEFINANCE(""NSE:""&amp;$A308, ""close"", today()-22, today()-1), , 2))"),"#N/A")</f>
        <v/>
      </c>
      <c r="N308" s="13">
        <f>AG308</f>
        <v/>
      </c>
      <c r="O308" s="13">
        <f>AI308</f>
        <v/>
      </c>
      <c r="P308" s="13">
        <f>W308</f>
        <v/>
      </c>
      <c r="Q308" s="13">
        <f>Y308</f>
        <v/>
      </c>
      <c r="R308" s="15" t="n"/>
      <c r="S308" s="15">
        <f>LEFT(W308,2)&amp;LEFT(Y308,2)</f>
        <v/>
      </c>
      <c r="T308" s="15" t="n"/>
      <c r="U308" s="15">
        <f>IF(K308&lt;L308,1,0)</f>
        <v/>
      </c>
      <c r="V308" s="15">
        <f>IF(H308&gt;I308,1,0)</f>
        <v/>
      </c>
      <c r="W308" s="15">
        <f>IF(SUM(U308:V308)=2,"Anticipatory_Sell","No_Action")</f>
        <v/>
      </c>
      <c r="X308" s="15" t="n"/>
      <c r="Y308" s="15">
        <f>IF(SUM(Z308:AA308)=2,"Confirm_Sell","No_Action")</f>
        <v/>
      </c>
      <c r="Z308" s="15">
        <f>IF(H308&gt;I308,1,0)</f>
        <v/>
      </c>
      <c r="AA308" s="15">
        <f>IF(K308&lt;M308,1,0)</f>
        <v/>
      </c>
      <c r="AB308" s="15" t="n"/>
      <c r="AC308" s="15">
        <f>LEFT(AG308,2)&amp;LEFT(AI308,2)</f>
        <v/>
      </c>
      <c r="AD308" s="15" t="n"/>
      <c r="AE308" s="15">
        <f>IF(K308&gt;L308,1,0)</f>
        <v/>
      </c>
      <c r="AF308" s="16">
        <f>IF(H308&gt;I308,1,0)</f>
        <v/>
      </c>
      <c r="AG308" s="16">
        <f>IF(SUM(AE308:AF308)=2,"Anticipatory_Buy","No_Action")</f>
        <v/>
      </c>
      <c r="AH308" s="15" t="n"/>
      <c r="AI308" s="15">
        <f>IF(SUM(AJ308:AK308)=2,"Confirm_Buy","No_Action")</f>
        <v/>
      </c>
      <c r="AJ308" s="15">
        <f>IF(H308&gt;I308,1,0)</f>
        <v/>
      </c>
      <c r="AK308" s="15">
        <f>IF(K308&gt;M308,1,0)</f>
        <v/>
      </c>
    </row>
    <row r="309" ht="14.5" customHeight="1">
      <c r="A309" s="12" t="inlineStr">
        <is>
          <t>TATASTEEL</t>
        </is>
      </c>
      <c r="B309" s="13">
        <f>IFERROR(__xludf.DUMMYFUNCTION("GOOGLEFINANCE(""NSE:""&amp;A309,""PRICE"")"),149.7)</f>
        <v/>
      </c>
      <c r="C309" s="13">
        <f>IFERROR(__xludf.DUMMYFUNCTION("GOOGLEFINANCE(""NSE:""&amp;A309,""PRICEOPEN"")"),148.29)</f>
        <v/>
      </c>
      <c r="D309" s="13">
        <f>IFERROR(__xludf.DUMMYFUNCTION("GOOGLEFINANCE(""NSE:""&amp;A309,""HIGH"")"),150.67)</f>
        <v/>
      </c>
      <c r="E309" s="13">
        <f>IFERROR(__xludf.DUMMYFUNCTION("GOOGLEFINANCE(""NSE:""&amp;A309,""LOW"")"),146.63)</f>
        <v/>
      </c>
      <c r="F309" s="13">
        <f>IFERROR(__xludf.DUMMYFUNCTION("GOOGLEFINANCE(""NSE:""&amp;A309,""closeyest"")"),148.29)</f>
        <v/>
      </c>
      <c r="G309" s="14">
        <f>(B309-C309)/B309</f>
        <v/>
      </c>
      <c r="H309" s="13">
        <f>IFERROR(__xludf.DUMMYFUNCTION("GOOGLEFINANCE(""NSE:""&amp;A309,""VOLUME"")"),39059139)</f>
        <v/>
      </c>
      <c r="I309" s="13">
        <f>IFERROR(__xludf.DUMMYFUNCTION("AVERAGE(index(GOOGLEFINANCE(""NSE:""&amp;$A309, ""volume"", today()-21, today()-1), , 2))"),"#N/A")</f>
        <v/>
      </c>
      <c r="J309" s="14">
        <f>(H309-I309)/I309</f>
        <v/>
      </c>
      <c r="K309" s="13">
        <f>IFERROR(__xludf.DUMMYFUNCTION("AVERAGE(index(GOOGLEFINANCE(""NSE:""&amp;$A309, ""close"", today()-6, today()-1), , 2))"),"#N/A")</f>
        <v/>
      </c>
      <c r="L309" s="13">
        <f>IFERROR(__xludf.DUMMYFUNCTION("AVERAGE(index(GOOGLEFINANCE(""NSE:""&amp;$A309, ""close"", today()-14, today()-1), , 2))"),"#N/A")</f>
        <v/>
      </c>
      <c r="M309" s="13">
        <f>IFERROR(__xludf.DUMMYFUNCTION("AVERAGE(index(GOOGLEFINANCE(""NSE:""&amp;$A309, ""close"", today()-22, today()-1), , 2))"),"#N/A")</f>
        <v/>
      </c>
      <c r="N309" s="13">
        <f>AG309</f>
        <v/>
      </c>
      <c r="O309" s="13">
        <f>AI309</f>
        <v/>
      </c>
      <c r="P309" s="13">
        <f>W309</f>
        <v/>
      </c>
      <c r="Q309" s="13">
        <f>Y309</f>
        <v/>
      </c>
      <c r="R309" s="15" t="n"/>
      <c r="S309" s="15">
        <f>LEFT(W309,2)&amp;LEFT(Y309,2)</f>
        <v/>
      </c>
      <c r="T309" s="15" t="n"/>
      <c r="U309" s="15">
        <f>IF(K309&lt;L309,1,0)</f>
        <v/>
      </c>
      <c r="V309" s="15">
        <f>IF(H309&gt;I309,1,0)</f>
        <v/>
      </c>
      <c r="W309" s="15">
        <f>IF(SUM(U309:V309)=2,"Anticipatory_Sell","No_Action")</f>
        <v/>
      </c>
      <c r="X309" s="15" t="n"/>
      <c r="Y309" s="15">
        <f>IF(SUM(Z309:AA309)=2,"Confirm_Sell","No_Action")</f>
        <v/>
      </c>
      <c r="Z309" s="15">
        <f>IF(H309&gt;I309,1,0)</f>
        <v/>
      </c>
      <c r="AA309" s="15">
        <f>IF(K309&lt;M309,1,0)</f>
        <v/>
      </c>
      <c r="AB309" s="15" t="n"/>
      <c r="AC309" s="15">
        <f>LEFT(AG309,2)&amp;LEFT(AI309,2)</f>
        <v/>
      </c>
      <c r="AD309" s="15" t="n"/>
      <c r="AE309" s="15">
        <f>IF(K309&gt;L309,1,0)</f>
        <v/>
      </c>
      <c r="AF309" s="16">
        <f>IF(H309&gt;I309,1,0)</f>
        <v/>
      </c>
      <c r="AG309" s="16">
        <f>IF(SUM(AE309:AF309)=2,"Anticipatory_Buy","No_Action")</f>
        <v/>
      </c>
      <c r="AH309" s="15" t="n"/>
      <c r="AI309" s="15">
        <f>IF(SUM(AJ309:AK309)=2,"Confirm_Buy","No_Action")</f>
        <v/>
      </c>
      <c r="AJ309" s="15">
        <f>IF(H309&gt;I309,1,0)</f>
        <v/>
      </c>
      <c r="AK309" s="15">
        <f>IF(K309&gt;M309,1,0)</f>
        <v/>
      </c>
    </row>
    <row r="310" ht="14.5" customHeight="1">
      <c r="A310" s="12" t="inlineStr">
        <is>
          <t>TCIEXP</t>
        </is>
      </c>
      <c r="B310" s="13">
        <f>IFERROR(__xludf.DUMMYFUNCTION("GOOGLEFINANCE(""NSE:""&amp;A310,""PRICE"")"),889)</f>
        <v/>
      </c>
      <c r="C310" s="13">
        <f>IFERROR(__xludf.DUMMYFUNCTION("GOOGLEFINANCE(""NSE:""&amp;A310,""PRICEOPEN"")"),860)</f>
        <v/>
      </c>
      <c r="D310" s="13">
        <f>IFERROR(__xludf.DUMMYFUNCTION("GOOGLEFINANCE(""NSE:""&amp;A310,""HIGH"")"),895)</f>
        <v/>
      </c>
      <c r="E310" s="13">
        <f>IFERROR(__xludf.DUMMYFUNCTION("GOOGLEFINANCE(""NSE:""&amp;A310,""LOW"")"),860)</f>
        <v/>
      </c>
      <c r="F310" s="13">
        <f>IFERROR(__xludf.DUMMYFUNCTION("GOOGLEFINANCE(""NSE:""&amp;A310,""closeyest"")"),855.5)</f>
        <v/>
      </c>
      <c r="G310" s="14">
        <f>(B310-C310)/B310</f>
        <v/>
      </c>
      <c r="H310" s="13">
        <f>IFERROR(__xludf.DUMMYFUNCTION("GOOGLEFINANCE(""NSE:""&amp;A310,""VOLUME"")"),94863)</f>
        <v/>
      </c>
      <c r="I310" s="13">
        <f>IFERROR(__xludf.DUMMYFUNCTION("AVERAGE(index(GOOGLEFINANCE(""NSE:""&amp;$A310, ""volume"", today()-21, today()-1), , 2))"),"#N/A")</f>
        <v/>
      </c>
      <c r="J310" s="14">
        <f>(H310-I310)/I310</f>
        <v/>
      </c>
      <c r="K310" s="13">
        <f>IFERROR(__xludf.DUMMYFUNCTION("AVERAGE(index(GOOGLEFINANCE(""NSE:""&amp;$A310, ""close"", today()-6, today()-1), , 2))"),"#N/A")</f>
        <v/>
      </c>
      <c r="L310" s="13">
        <f>IFERROR(__xludf.DUMMYFUNCTION("AVERAGE(index(GOOGLEFINANCE(""NSE:""&amp;$A310, ""close"", today()-14, today()-1), , 2))"),"#N/A")</f>
        <v/>
      </c>
      <c r="M310" s="13">
        <f>IFERROR(__xludf.DUMMYFUNCTION("AVERAGE(index(GOOGLEFINANCE(""NSE:""&amp;$A310, ""close"", today()-22, today()-1), , 2))"),"#N/A")</f>
        <v/>
      </c>
      <c r="N310" s="13">
        <f>AG310</f>
        <v/>
      </c>
      <c r="O310" s="13">
        <f>AI310</f>
        <v/>
      </c>
      <c r="P310" s="13">
        <f>W310</f>
        <v/>
      </c>
      <c r="Q310" s="13">
        <f>Y310</f>
        <v/>
      </c>
      <c r="R310" s="15" t="n"/>
      <c r="S310" s="15">
        <f>LEFT(W310,2)&amp;LEFT(Y310,2)</f>
        <v/>
      </c>
      <c r="T310" s="15" t="n"/>
      <c r="U310" s="15">
        <f>IF(K310&lt;L310,1,0)</f>
        <v/>
      </c>
      <c r="V310" s="15">
        <f>IF(H310&gt;I310,1,0)</f>
        <v/>
      </c>
      <c r="W310" s="15">
        <f>IF(SUM(U310:V310)=2,"Anticipatory_Sell","No_Action")</f>
        <v/>
      </c>
      <c r="X310" s="15" t="n"/>
      <c r="Y310" s="15">
        <f>IF(SUM(Z310:AA310)=2,"Confirm_Sell","No_Action")</f>
        <v/>
      </c>
      <c r="Z310" s="15">
        <f>IF(H310&gt;I310,1,0)</f>
        <v/>
      </c>
      <c r="AA310" s="15">
        <f>IF(K310&lt;M310,1,0)</f>
        <v/>
      </c>
      <c r="AB310" s="15" t="n"/>
      <c r="AC310" s="15">
        <f>LEFT(AG310,2)&amp;LEFT(AI310,2)</f>
        <v/>
      </c>
      <c r="AD310" s="15" t="n"/>
      <c r="AE310" s="15">
        <f>IF(K310&gt;L310,1,0)</f>
        <v/>
      </c>
      <c r="AF310" s="16">
        <f>IF(H310&gt;I310,1,0)</f>
        <v/>
      </c>
      <c r="AG310" s="16">
        <f>IF(SUM(AE310:AF310)=2,"Anticipatory_Buy","No_Action")</f>
        <v/>
      </c>
      <c r="AH310" s="15" t="n"/>
      <c r="AI310" s="15">
        <f>IF(SUM(AJ310:AK310)=2,"Confirm_Buy","No_Action")</f>
        <v/>
      </c>
      <c r="AJ310" s="15">
        <f>IF(H310&gt;I310,1,0)</f>
        <v/>
      </c>
      <c r="AK310" s="15">
        <f>IF(K310&gt;M310,1,0)</f>
        <v/>
      </c>
    </row>
    <row r="311" ht="14.5" customHeight="1">
      <c r="A311" s="12" t="inlineStr">
        <is>
          <t>TCPLPACK</t>
        </is>
      </c>
      <c r="B311" s="13">
        <f>IFERROR(__xludf.DUMMYFUNCTION("GOOGLEFINANCE(""NSE:""&amp;A311,""PRICE"")"),3315)</f>
        <v/>
      </c>
      <c r="C311" s="13">
        <f>IFERROR(__xludf.DUMMYFUNCTION("GOOGLEFINANCE(""NSE:""&amp;A311,""PRICEOPEN"")"),3255.65)</f>
        <v/>
      </c>
      <c r="D311" s="13">
        <f>IFERROR(__xludf.DUMMYFUNCTION("GOOGLEFINANCE(""NSE:""&amp;A311,""HIGH"")"),3321)</f>
        <v/>
      </c>
      <c r="E311" s="13">
        <f>IFERROR(__xludf.DUMMYFUNCTION("GOOGLEFINANCE(""NSE:""&amp;A311,""LOW"")"),3255.6)</f>
        <v/>
      </c>
      <c r="F311" s="13">
        <f>IFERROR(__xludf.DUMMYFUNCTION("GOOGLEFINANCE(""NSE:""&amp;A311,""closeyest"")"),3247.55)</f>
        <v/>
      </c>
      <c r="G311" s="14">
        <f>(B311-C311)/B311</f>
        <v/>
      </c>
      <c r="H311" s="13">
        <f>IFERROR(__xludf.DUMMYFUNCTION("GOOGLEFINANCE(""NSE:""&amp;A311,""VOLUME"")"),1931)</f>
        <v/>
      </c>
      <c r="I311" s="13">
        <f>IFERROR(__xludf.DUMMYFUNCTION("AVERAGE(index(GOOGLEFINANCE(""NSE:""&amp;$A311, ""volume"", today()-21, today()-1), , 2))"),"#N/A")</f>
        <v/>
      </c>
      <c r="J311" s="14">
        <f>(H311-I311)/I311</f>
        <v/>
      </c>
      <c r="K311" s="13">
        <f>IFERROR(__xludf.DUMMYFUNCTION("AVERAGE(index(GOOGLEFINANCE(""NSE:""&amp;$A311, ""close"", today()-6, today()-1), , 2))"),"#N/A")</f>
        <v/>
      </c>
      <c r="L311" s="13">
        <f>IFERROR(__xludf.DUMMYFUNCTION("AVERAGE(index(GOOGLEFINANCE(""NSE:""&amp;$A311, ""close"", today()-14, today()-1), , 2))"),"#N/A")</f>
        <v/>
      </c>
      <c r="M311" s="13">
        <f>IFERROR(__xludf.DUMMYFUNCTION("AVERAGE(index(GOOGLEFINANCE(""NSE:""&amp;$A311, ""close"", today()-22, today()-1), , 2))"),"#N/A")</f>
        <v/>
      </c>
      <c r="N311" s="13">
        <f>AG311</f>
        <v/>
      </c>
      <c r="O311" s="13">
        <f>AI311</f>
        <v/>
      </c>
      <c r="P311" s="13">
        <f>W311</f>
        <v/>
      </c>
      <c r="Q311" s="13">
        <f>Y311</f>
        <v/>
      </c>
      <c r="R311" s="15" t="n"/>
      <c r="S311" s="15">
        <f>LEFT(W311,2)&amp;LEFT(Y311,2)</f>
        <v/>
      </c>
      <c r="T311" s="15" t="n"/>
      <c r="U311" s="15">
        <f>IF(K311&lt;L311,1,0)</f>
        <v/>
      </c>
      <c r="V311" s="15">
        <f>IF(H311&gt;I311,1,0)</f>
        <v/>
      </c>
      <c r="W311" s="15">
        <f>IF(SUM(U311:V311)=2,"Anticipatory_Sell","No_Action")</f>
        <v/>
      </c>
      <c r="X311" s="15" t="n"/>
      <c r="Y311" s="15">
        <f>IF(SUM(Z311:AA311)=2,"Confirm_Sell","No_Action")</f>
        <v/>
      </c>
      <c r="Z311" s="15">
        <f>IF(H311&gt;I311,1,0)</f>
        <v/>
      </c>
      <c r="AA311" s="15">
        <f>IF(K311&lt;M311,1,0)</f>
        <v/>
      </c>
      <c r="AB311" s="15" t="n"/>
      <c r="AC311" s="15">
        <f>LEFT(AG311,2)&amp;LEFT(AI311,2)</f>
        <v/>
      </c>
      <c r="AD311" s="15" t="n"/>
      <c r="AE311" s="15">
        <f>IF(K311&gt;L311,1,0)</f>
        <v/>
      </c>
      <c r="AF311" s="16">
        <f>IF(H311&gt;I311,1,0)</f>
        <v/>
      </c>
      <c r="AG311" s="16">
        <f>IF(SUM(AE311:AF311)=2,"Anticipatory_Buy","No_Action")</f>
        <v/>
      </c>
      <c r="AH311" s="15" t="n"/>
      <c r="AI311" s="15">
        <f>IF(SUM(AJ311:AK311)=2,"Confirm_Buy","No_Action")</f>
        <v/>
      </c>
      <c r="AJ311" s="15">
        <f>IF(H311&gt;I311,1,0)</f>
        <v/>
      </c>
      <c r="AK311" s="15">
        <f>IF(K311&gt;M311,1,0)</f>
        <v/>
      </c>
    </row>
    <row r="312" ht="14.5" customHeight="1">
      <c r="A312" s="12" t="inlineStr">
        <is>
          <t>TDPOWERSYS</t>
        </is>
      </c>
      <c r="B312" s="13">
        <f>IFERROR(__xludf.DUMMYFUNCTION("GOOGLEFINANCE(""NSE:""&amp;A312,""PRICE"")"),453)</f>
        <v/>
      </c>
      <c r="C312" s="13">
        <f>IFERROR(__xludf.DUMMYFUNCTION("GOOGLEFINANCE(""NSE:""&amp;A312,""PRICEOPEN"")"),440)</f>
        <v/>
      </c>
      <c r="D312" s="13">
        <f>IFERROR(__xludf.DUMMYFUNCTION("GOOGLEFINANCE(""NSE:""&amp;A312,""HIGH"")"),454.45)</f>
        <v/>
      </c>
      <c r="E312" s="13">
        <f>IFERROR(__xludf.DUMMYFUNCTION("GOOGLEFINANCE(""NSE:""&amp;A312,""LOW"")"),438.5)</f>
        <v/>
      </c>
      <c r="F312" s="13">
        <f>IFERROR(__xludf.DUMMYFUNCTION("GOOGLEFINANCE(""NSE:""&amp;A312,""closeyest"")"),435.6)</f>
        <v/>
      </c>
      <c r="G312" s="14">
        <f>(B312-C312)/B312</f>
        <v/>
      </c>
      <c r="H312" s="13">
        <f>IFERROR(__xludf.DUMMYFUNCTION("GOOGLEFINANCE(""NSE:""&amp;A312,""VOLUME"")"),1038928)</f>
        <v/>
      </c>
      <c r="I312" s="13">
        <f>IFERROR(__xludf.DUMMYFUNCTION("AVERAGE(index(GOOGLEFINANCE(""NSE:""&amp;$A312, ""volume"", today()-21, today()-1), , 2))"),"#N/A")</f>
        <v/>
      </c>
      <c r="J312" s="14">
        <f>(H312-I312)/I312</f>
        <v/>
      </c>
      <c r="K312" s="13">
        <f>IFERROR(__xludf.DUMMYFUNCTION("AVERAGE(index(GOOGLEFINANCE(""NSE:""&amp;$A312, ""close"", today()-6, today()-1), , 2))"),"#N/A")</f>
        <v/>
      </c>
      <c r="L312" s="13">
        <f>IFERROR(__xludf.DUMMYFUNCTION("AVERAGE(index(GOOGLEFINANCE(""NSE:""&amp;$A312, ""close"", today()-14, today()-1), , 2))"),"#N/A")</f>
        <v/>
      </c>
      <c r="M312" s="13">
        <f>IFERROR(__xludf.DUMMYFUNCTION("AVERAGE(index(GOOGLEFINANCE(""NSE:""&amp;$A312, ""close"", today()-22, today()-1), , 2))"),"#N/A")</f>
        <v/>
      </c>
      <c r="N312" s="13">
        <f>AG312</f>
        <v/>
      </c>
      <c r="O312" s="13">
        <f>AI312</f>
        <v/>
      </c>
      <c r="P312" s="13">
        <f>W312</f>
        <v/>
      </c>
      <c r="Q312" s="13">
        <f>Y312</f>
        <v/>
      </c>
      <c r="R312" s="15" t="n"/>
      <c r="S312" s="15">
        <f>LEFT(W312,2)&amp;LEFT(Y312,2)</f>
        <v/>
      </c>
      <c r="T312" s="15" t="n"/>
      <c r="U312" s="15">
        <f>IF(K312&lt;L312,1,0)</f>
        <v/>
      </c>
      <c r="V312" s="15">
        <f>IF(H312&gt;I312,1,0)</f>
        <v/>
      </c>
      <c r="W312" s="15">
        <f>IF(SUM(U312:V312)=2,"Anticipatory_Sell","No_Action")</f>
        <v/>
      </c>
      <c r="X312" s="15" t="n"/>
      <c r="Y312" s="15">
        <f>IF(SUM(Z312:AA312)=2,"Confirm_Sell","No_Action")</f>
        <v/>
      </c>
      <c r="Z312" s="15">
        <f>IF(H312&gt;I312,1,0)</f>
        <v/>
      </c>
      <c r="AA312" s="15">
        <f>IF(K312&lt;M312,1,0)</f>
        <v/>
      </c>
      <c r="AB312" s="15" t="n"/>
      <c r="AC312" s="15">
        <f>LEFT(AG312,2)&amp;LEFT(AI312,2)</f>
        <v/>
      </c>
      <c r="AD312" s="15" t="n"/>
      <c r="AE312" s="15">
        <f>IF(K312&gt;L312,1,0)</f>
        <v/>
      </c>
      <c r="AF312" s="16">
        <f>IF(H312&gt;I312,1,0)</f>
        <v/>
      </c>
      <c r="AG312" s="16">
        <f>IF(SUM(AE312:AF312)=2,"Anticipatory_Buy","No_Action")</f>
        <v/>
      </c>
      <c r="AH312" s="15" t="n"/>
      <c r="AI312" s="15">
        <f>IF(SUM(AJ312:AK312)=2,"Confirm_Buy","No_Action")</f>
        <v/>
      </c>
      <c r="AJ312" s="15">
        <f>IF(H312&gt;I312,1,0)</f>
        <v/>
      </c>
      <c r="AK312" s="15">
        <f>IF(K312&gt;M312,1,0)</f>
        <v/>
      </c>
    </row>
    <row r="313" ht="14.5" customHeight="1">
      <c r="A313" s="12" t="inlineStr">
        <is>
          <t>TECHNOE</t>
        </is>
      </c>
      <c r="B313" s="13">
        <f>IFERROR(__xludf.DUMMYFUNCTION("GOOGLEFINANCE(""NSE:""&amp;A313,""PRICE"")"),1460.75)</f>
        <v/>
      </c>
      <c r="C313" s="13">
        <f>IFERROR(__xludf.DUMMYFUNCTION("GOOGLEFINANCE(""NSE:""&amp;A313,""PRICEOPEN"")"),1481)</f>
        <v/>
      </c>
      <c r="D313" s="13">
        <f>IFERROR(__xludf.DUMMYFUNCTION("GOOGLEFINANCE(""NSE:""&amp;A313,""HIGH"")"),1504)</f>
        <v/>
      </c>
      <c r="E313" s="13">
        <f>IFERROR(__xludf.DUMMYFUNCTION("GOOGLEFINANCE(""NSE:""&amp;A313,""LOW"")"),1440)</f>
        <v/>
      </c>
      <c r="F313" s="13">
        <f>IFERROR(__xludf.DUMMYFUNCTION("GOOGLEFINANCE(""NSE:""&amp;A313,""closeyest"")"),1504.25)</f>
        <v/>
      </c>
      <c r="G313" s="14">
        <f>(B313-C313)/B313</f>
        <v/>
      </c>
      <c r="H313" s="13">
        <f>IFERROR(__xludf.DUMMYFUNCTION("GOOGLEFINANCE(""NSE:""&amp;A313,""VOLUME"")"),721966)</f>
        <v/>
      </c>
      <c r="I313" s="13">
        <f>IFERROR(__xludf.DUMMYFUNCTION("AVERAGE(index(GOOGLEFINANCE(""NSE:""&amp;$A313, ""volume"", today()-21, today()-1), , 2))"),"#N/A")</f>
        <v/>
      </c>
      <c r="J313" s="14">
        <f>(H313-I313)/I313</f>
        <v/>
      </c>
      <c r="K313" s="13">
        <f>IFERROR(__xludf.DUMMYFUNCTION("AVERAGE(index(GOOGLEFINANCE(""NSE:""&amp;$A313, ""close"", today()-6, today()-1), , 2))"),"#N/A")</f>
        <v/>
      </c>
      <c r="L313" s="13">
        <f>IFERROR(__xludf.DUMMYFUNCTION("AVERAGE(index(GOOGLEFINANCE(""NSE:""&amp;$A313, ""close"", today()-14, today()-1), , 2))"),"#N/A")</f>
        <v/>
      </c>
      <c r="M313" s="13">
        <f>IFERROR(__xludf.DUMMYFUNCTION("AVERAGE(index(GOOGLEFINANCE(""NSE:""&amp;$A313, ""close"", today()-22, today()-1), , 2))"),"#N/A")</f>
        <v/>
      </c>
      <c r="N313" s="13">
        <f>AG313</f>
        <v/>
      </c>
      <c r="O313" s="13">
        <f>AI313</f>
        <v/>
      </c>
      <c r="P313" s="13">
        <f>W313</f>
        <v/>
      </c>
      <c r="Q313" s="13">
        <f>Y313</f>
        <v/>
      </c>
      <c r="R313" s="15" t="n"/>
      <c r="S313" s="15">
        <f>LEFT(W313,2)&amp;LEFT(Y313,2)</f>
        <v/>
      </c>
      <c r="T313" s="15" t="n"/>
      <c r="U313" s="15">
        <f>IF(K313&lt;L313,1,0)</f>
        <v/>
      </c>
      <c r="V313" s="15">
        <f>IF(H313&gt;I313,1,0)</f>
        <v/>
      </c>
      <c r="W313" s="15">
        <f>IF(SUM(U313:V313)=2,"Anticipatory_Sell","No_Action")</f>
        <v/>
      </c>
      <c r="X313" s="15" t="n"/>
      <c r="Y313" s="15">
        <f>IF(SUM(Z313:AA313)=2,"Confirm_Sell","No_Action")</f>
        <v/>
      </c>
      <c r="Z313" s="15">
        <f>IF(H313&gt;I313,1,0)</f>
        <v/>
      </c>
      <c r="AA313" s="15">
        <f>IF(K313&lt;M313,1,0)</f>
        <v/>
      </c>
      <c r="AB313" s="15" t="n"/>
      <c r="AC313" s="15">
        <f>LEFT(AG313,2)&amp;LEFT(AI313,2)</f>
        <v/>
      </c>
      <c r="AD313" s="15" t="n"/>
      <c r="AE313" s="15">
        <f>IF(K313&gt;L313,1,0)</f>
        <v/>
      </c>
      <c r="AF313" s="16">
        <f>IF(H313&gt;I313,1,0)</f>
        <v/>
      </c>
      <c r="AG313" s="16">
        <f>IF(SUM(AE313:AF313)=2,"Anticipatory_Buy","No_Action")</f>
        <v/>
      </c>
      <c r="AH313" s="15" t="n"/>
      <c r="AI313" s="15">
        <f>IF(SUM(AJ313:AK313)=2,"Confirm_Buy","No_Action")</f>
        <v/>
      </c>
      <c r="AJ313" s="15">
        <f>IF(H313&gt;I313,1,0)</f>
        <v/>
      </c>
      <c r="AK313" s="15">
        <f>IF(K313&gt;M313,1,0)</f>
        <v/>
      </c>
    </row>
    <row r="314" ht="14.5" customHeight="1">
      <c r="A314" s="12" t="inlineStr">
        <is>
          <t>TIIL</t>
        </is>
      </c>
      <c r="B314" s="13">
        <f>IFERROR(__xludf.DUMMYFUNCTION("GOOGLEFINANCE(""NSE:""&amp;A314,""PRICE"")"),2949.5)</f>
        <v/>
      </c>
      <c r="C314" s="13">
        <f>IFERROR(__xludf.DUMMYFUNCTION("GOOGLEFINANCE(""NSE:""&amp;A314,""PRICEOPEN"")"),2886.4)</f>
        <v/>
      </c>
      <c r="D314" s="13">
        <f>IFERROR(__xludf.DUMMYFUNCTION("GOOGLEFINANCE(""NSE:""&amp;A314,""HIGH"")"),2988)</f>
        <v/>
      </c>
      <c r="E314" s="13">
        <f>IFERROR(__xludf.DUMMYFUNCTION("GOOGLEFINANCE(""NSE:""&amp;A314,""LOW"")"),2870.1)</f>
        <v/>
      </c>
      <c r="F314" s="13">
        <f>IFERROR(__xludf.DUMMYFUNCTION("GOOGLEFINANCE(""NSE:""&amp;A314,""closeyest"")"),2866.3)</f>
        <v/>
      </c>
      <c r="G314" s="14">
        <f>(B314-C314)/B314</f>
        <v/>
      </c>
      <c r="H314" s="13">
        <f>IFERROR(__xludf.DUMMYFUNCTION("GOOGLEFINANCE(""NSE:""&amp;A314,""VOLUME"")"),17352)</f>
        <v/>
      </c>
      <c r="I314" s="13">
        <f>IFERROR(__xludf.DUMMYFUNCTION("AVERAGE(index(GOOGLEFINANCE(""NSE:""&amp;$A314, ""volume"", today()-21, today()-1), , 2))"),"#N/A")</f>
        <v/>
      </c>
      <c r="J314" s="14">
        <f>(H314-I314)/I314</f>
        <v/>
      </c>
      <c r="K314" s="13">
        <f>IFERROR(__xludf.DUMMYFUNCTION("AVERAGE(index(GOOGLEFINANCE(""NSE:""&amp;$A314, ""close"", today()-6, today()-1), , 2))"),"#N/A")</f>
        <v/>
      </c>
      <c r="L314" s="13">
        <f>IFERROR(__xludf.DUMMYFUNCTION("AVERAGE(index(GOOGLEFINANCE(""NSE:""&amp;$A314, ""close"", today()-14, today()-1), , 2))"),"#N/A")</f>
        <v/>
      </c>
      <c r="M314" s="13">
        <f>IFERROR(__xludf.DUMMYFUNCTION("AVERAGE(index(GOOGLEFINANCE(""NSE:""&amp;$A314, ""close"", today()-22, today()-1), , 2))"),"#N/A")</f>
        <v/>
      </c>
      <c r="N314" s="13">
        <f>AG314</f>
        <v/>
      </c>
      <c r="O314" s="13">
        <f>AI314</f>
        <v/>
      </c>
      <c r="P314" s="13">
        <f>W314</f>
        <v/>
      </c>
      <c r="Q314" s="13">
        <f>Y314</f>
        <v/>
      </c>
      <c r="R314" s="15" t="n"/>
      <c r="S314" s="15">
        <f>LEFT(W314,2)&amp;LEFT(Y314,2)</f>
        <v/>
      </c>
      <c r="T314" s="15" t="n"/>
      <c r="U314" s="15">
        <f>IF(K314&lt;L314,1,0)</f>
        <v/>
      </c>
      <c r="V314" s="15">
        <f>IF(H314&gt;I314,1,0)</f>
        <v/>
      </c>
      <c r="W314" s="15">
        <f>IF(SUM(U314:V314)=2,"Anticipatory_Sell","No_Action")</f>
        <v/>
      </c>
      <c r="X314" s="15" t="n"/>
      <c r="Y314" s="15">
        <f>IF(SUM(Z314:AA314)=2,"Confirm_Sell","No_Action")</f>
        <v/>
      </c>
      <c r="Z314" s="15">
        <f>IF(H314&gt;I314,1,0)</f>
        <v/>
      </c>
      <c r="AA314" s="15">
        <f>IF(K314&lt;M314,1,0)</f>
        <v/>
      </c>
      <c r="AB314" s="15" t="n"/>
      <c r="AC314" s="15">
        <f>LEFT(AG314,2)&amp;LEFT(AI314,2)</f>
        <v/>
      </c>
      <c r="AD314" s="15" t="n"/>
      <c r="AE314" s="15">
        <f>IF(K314&gt;L314,1,0)</f>
        <v/>
      </c>
      <c r="AF314" s="16">
        <f>IF(H314&gt;I314,1,0)</f>
        <v/>
      </c>
      <c r="AG314" s="16">
        <f>IF(SUM(AE314:AF314)=2,"Anticipatory_Buy","No_Action")</f>
        <v/>
      </c>
      <c r="AH314" s="15" t="n"/>
      <c r="AI314" s="15">
        <f>IF(SUM(AJ314:AK314)=2,"Confirm_Buy","No_Action")</f>
        <v/>
      </c>
      <c r="AJ314" s="15">
        <f>IF(H314&gt;I314,1,0)</f>
        <v/>
      </c>
      <c r="AK314" s="15">
        <f>IF(K314&gt;M314,1,0)</f>
        <v/>
      </c>
    </row>
    <row r="315" ht="14.5" customHeight="1">
      <c r="A315" s="12" t="inlineStr">
        <is>
          <t>TEGA</t>
        </is>
      </c>
      <c r="B315" s="13">
        <f>IFERROR(__xludf.DUMMYFUNCTION("GOOGLEFINANCE(""NSE:""&amp;A315,""PRICE"")"),1618.9)</f>
        <v/>
      </c>
      <c r="C315" s="13">
        <f>IFERROR(__xludf.DUMMYFUNCTION("GOOGLEFINANCE(""NSE:""&amp;A315,""PRICEOPEN"")"),1600)</f>
        <v/>
      </c>
      <c r="D315" s="13">
        <f>IFERROR(__xludf.DUMMYFUNCTION("GOOGLEFINANCE(""NSE:""&amp;A315,""HIGH"")"),1622.9)</f>
        <v/>
      </c>
      <c r="E315" s="13">
        <f>IFERROR(__xludf.DUMMYFUNCTION("GOOGLEFINANCE(""NSE:""&amp;A315,""LOW"")"),1583.05)</f>
        <v/>
      </c>
      <c r="F315" s="13">
        <f>IFERROR(__xludf.DUMMYFUNCTION("GOOGLEFINANCE(""NSE:""&amp;A315,""closeyest"")"),1605.45)</f>
        <v/>
      </c>
      <c r="G315" s="14">
        <f>(B315-C315)/B315</f>
        <v/>
      </c>
      <c r="H315" s="13">
        <f>IFERROR(__xludf.DUMMYFUNCTION("GOOGLEFINANCE(""NSE:""&amp;A315,""VOLUME"")"),67302)</f>
        <v/>
      </c>
      <c r="I315" s="13">
        <f>IFERROR(__xludf.DUMMYFUNCTION("AVERAGE(index(GOOGLEFINANCE(""NSE:""&amp;$A315, ""volume"", today()-21, today()-1), , 2))"),"#N/A")</f>
        <v/>
      </c>
      <c r="J315" s="14">
        <f>(H315-I315)/I315</f>
        <v/>
      </c>
      <c r="K315" s="13">
        <f>IFERROR(__xludf.DUMMYFUNCTION("AVERAGE(index(GOOGLEFINANCE(""NSE:""&amp;$A315, ""close"", today()-6, today()-1), , 2))"),"#N/A")</f>
        <v/>
      </c>
      <c r="L315" s="13">
        <f>IFERROR(__xludf.DUMMYFUNCTION("AVERAGE(index(GOOGLEFINANCE(""NSE:""&amp;$A315, ""close"", today()-14, today()-1), , 2))"),"#N/A")</f>
        <v/>
      </c>
      <c r="M315" s="13">
        <f>IFERROR(__xludf.DUMMYFUNCTION("AVERAGE(index(GOOGLEFINANCE(""NSE:""&amp;$A315, ""close"", today()-22, today()-1), , 2))"),"#N/A")</f>
        <v/>
      </c>
      <c r="N315" s="13">
        <f>AG315</f>
        <v/>
      </c>
      <c r="O315" s="13">
        <f>AI315</f>
        <v/>
      </c>
      <c r="P315" s="13">
        <f>W315</f>
        <v/>
      </c>
      <c r="Q315" s="13">
        <f>Y315</f>
        <v/>
      </c>
      <c r="R315" s="15" t="n"/>
      <c r="S315" s="15">
        <f>LEFT(W315,2)&amp;LEFT(Y315,2)</f>
        <v/>
      </c>
      <c r="T315" s="15" t="n"/>
      <c r="U315" s="15">
        <f>IF(K315&lt;L315,1,0)</f>
        <v/>
      </c>
      <c r="V315" s="15">
        <f>IF(H315&gt;I315,1,0)</f>
        <v/>
      </c>
      <c r="W315" s="15">
        <f>IF(SUM(U315:V315)=2,"Anticipatory_Sell","No_Action")</f>
        <v/>
      </c>
      <c r="X315" s="15" t="n"/>
      <c r="Y315" s="15">
        <f>IF(SUM(Z315:AA315)=2,"Confirm_Sell","No_Action")</f>
        <v/>
      </c>
      <c r="Z315" s="15">
        <f>IF(H315&gt;I315,1,0)</f>
        <v/>
      </c>
      <c r="AA315" s="15">
        <f>IF(K315&lt;M315,1,0)</f>
        <v/>
      </c>
      <c r="AB315" s="15" t="n"/>
      <c r="AC315" s="15">
        <f>LEFT(AG315,2)&amp;LEFT(AI315,2)</f>
        <v/>
      </c>
      <c r="AD315" s="15" t="n"/>
      <c r="AE315" s="15">
        <f>IF(K315&gt;L315,1,0)</f>
        <v/>
      </c>
      <c r="AF315" s="16">
        <f>IF(H315&gt;I315,1,0)</f>
        <v/>
      </c>
      <c r="AG315" s="16">
        <f>IF(SUM(AE315:AF315)=2,"Anticipatory_Buy","No_Action")</f>
        <v/>
      </c>
      <c r="AH315" s="15" t="n"/>
      <c r="AI315" s="15">
        <f>IF(SUM(AJ315:AK315)=2,"Confirm_Buy","No_Action")</f>
        <v/>
      </c>
      <c r="AJ315" s="15">
        <f>IF(H315&gt;I315,1,0)</f>
        <v/>
      </c>
      <c r="AK315" s="15">
        <f>IF(K315&gt;M315,1,0)</f>
        <v/>
      </c>
    </row>
    <row r="316" ht="14.5" customHeight="1">
      <c r="A316" s="12" t="inlineStr">
        <is>
          <t>THEMISMED</t>
        </is>
      </c>
      <c r="B316" s="13">
        <f>IFERROR(__xludf.DUMMYFUNCTION("GOOGLEFINANCE(""NSE:""&amp;A316,""PRICE"")"),293.9)</f>
        <v/>
      </c>
      <c r="C316" s="13">
        <f>IFERROR(__xludf.DUMMYFUNCTION("GOOGLEFINANCE(""NSE:""&amp;A316,""PRICEOPEN"")"),294.5)</f>
        <v/>
      </c>
      <c r="D316" s="13">
        <f>IFERROR(__xludf.DUMMYFUNCTION("GOOGLEFINANCE(""NSE:""&amp;A316,""HIGH"")"),295.05)</f>
        <v/>
      </c>
      <c r="E316" s="13">
        <f>IFERROR(__xludf.DUMMYFUNCTION("GOOGLEFINANCE(""NSE:""&amp;A316,""LOW"")"),289.65)</f>
        <v/>
      </c>
      <c r="F316" s="13">
        <f>IFERROR(__xludf.DUMMYFUNCTION("GOOGLEFINANCE(""NSE:""&amp;A316,""closeyest"")"),293.05)</f>
        <v/>
      </c>
      <c r="G316" s="14">
        <f>(B316-C316)/B316</f>
        <v/>
      </c>
      <c r="H316" s="13">
        <f>IFERROR(__xludf.DUMMYFUNCTION("GOOGLEFINANCE(""NSE:""&amp;A316,""VOLUME"")"),95173)</f>
        <v/>
      </c>
      <c r="I316" s="13">
        <f>IFERROR(__xludf.DUMMYFUNCTION("AVERAGE(index(GOOGLEFINANCE(""NSE:""&amp;$A316, ""volume"", today()-21, today()-1), , 2))"),"#N/A")</f>
        <v/>
      </c>
      <c r="J316" s="14">
        <f>(H316-I316)/I316</f>
        <v/>
      </c>
      <c r="K316" s="13">
        <f>IFERROR(__xludf.DUMMYFUNCTION("AVERAGE(index(GOOGLEFINANCE(""NSE:""&amp;$A316, ""close"", today()-6, today()-1), , 2))"),"#N/A")</f>
        <v/>
      </c>
      <c r="L316" s="13">
        <f>IFERROR(__xludf.DUMMYFUNCTION("AVERAGE(index(GOOGLEFINANCE(""NSE:""&amp;$A316, ""close"", today()-14, today()-1), , 2))"),"#N/A")</f>
        <v/>
      </c>
      <c r="M316" s="13">
        <f>IFERROR(__xludf.DUMMYFUNCTION("AVERAGE(index(GOOGLEFINANCE(""NSE:""&amp;$A316, ""close"", today()-22, today()-1), , 2))"),"#N/A")</f>
        <v/>
      </c>
      <c r="N316" s="13">
        <f>AG316</f>
        <v/>
      </c>
      <c r="O316" s="13">
        <f>AI316</f>
        <v/>
      </c>
      <c r="P316" s="13">
        <f>W316</f>
        <v/>
      </c>
      <c r="Q316" s="13">
        <f>Y316</f>
        <v/>
      </c>
      <c r="R316" s="15" t="n"/>
      <c r="S316" s="15">
        <f>LEFT(W316,2)&amp;LEFT(Y316,2)</f>
        <v/>
      </c>
      <c r="T316" s="15" t="n"/>
      <c r="U316" s="15">
        <f>IF(K316&lt;L316,1,0)</f>
        <v/>
      </c>
      <c r="V316" s="15">
        <f>IF(H316&gt;I316,1,0)</f>
        <v/>
      </c>
      <c r="W316" s="15">
        <f>IF(SUM(U316:V316)=2,"Anticipatory_Sell","No_Action")</f>
        <v/>
      </c>
      <c r="X316" s="15" t="n"/>
      <c r="Y316" s="15">
        <f>IF(SUM(Z316:AA316)=2,"Confirm_Sell","No_Action")</f>
        <v/>
      </c>
      <c r="Z316" s="15">
        <f>IF(H316&gt;I316,1,0)</f>
        <v/>
      </c>
      <c r="AA316" s="15">
        <f>IF(K316&lt;M316,1,0)</f>
        <v/>
      </c>
      <c r="AB316" s="15" t="n"/>
      <c r="AC316" s="15">
        <f>LEFT(AG316,2)&amp;LEFT(AI316,2)</f>
        <v/>
      </c>
      <c r="AD316" s="15" t="n"/>
      <c r="AE316" s="15">
        <f>IF(K316&gt;L316,1,0)</f>
        <v/>
      </c>
      <c r="AF316" s="16">
        <f>IF(H316&gt;I316,1,0)</f>
        <v/>
      </c>
      <c r="AG316" s="16">
        <f>IF(SUM(AE316:AF316)=2,"Anticipatory_Buy","No_Action")</f>
        <v/>
      </c>
      <c r="AH316" s="15" t="n"/>
      <c r="AI316" s="15">
        <f>IF(SUM(AJ316:AK316)=2,"Confirm_Buy","No_Action")</f>
        <v/>
      </c>
      <c r="AJ316" s="15">
        <f>IF(H316&gt;I316,1,0)</f>
        <v/>
      </c>
      <c r="AK316" s="15">
        <f>IF(K316&gt;M316,1,0)</f>
        <v/>
      </c>
    </row>
    <row r="317" ht="14.5" customHeight="1">
      <c r="A317" s="12" t="inlineStr">
        <is>
          <t>THYROCARE</t>
        </is>
      </c>
      <c r="B317" s="13">
        <f>IFERROR(__xludf.DUMMYFUNCTION("GOOGLEFINANCE(""NSE:""&amp;A317,""PRICE"")"),1010)</f>
        <v/>
      </c>
      <c r="C317" s="13">
        <f>IFERROR(__xludf.DUMMYFUNCTION("GOOGLEFINANCE(""NSE:""&amp;A317,""PRICEOPEN"")"),1015.85)</f>
        <v/>
      </c>
      <c r="D317" s="13">
        <f>IFERROR(__xludf.DUMMYFUNCTION("GOOGLEFINANCE(""NSE:""&amp;A317,""HIGH"")"),1020)</f>
        <v/>
      </c>
      <c r="E317" s="13">
        <f>IFERROR(__xludf.DUMMYFUNCTION("GOOGLEFINANCE(""NSE:""&amp;A317,""LOW"")"),994.35)</f>
        <v/>
      </c>
      <c r="F317" s="13">
        <f>IFERROR(__xludf.DUMMYFUNCTION("GOOGLEFINANCE(""NSE:""&amp;A317,""closeyest"")"),1015.9)</f>
        <v/>
      </c>
      <c r="G317" s="14">
        <f>(B317-C317)/B317</f>
        <v/>
      </c>
      <c r="H317" s="13">
        <f>IFERROR(__xludf.DUMMYFUNCTION("GOOGLEFINANCE(""NSE:""&amp;A317,""VOLUME"")"),25381)</f>
        <v/>
      </c>
      <c r="I317" s="13">
        <f>IFERROR(__xludf.DUMMYFUNCTION("AVERAGE(index(GOOGLEFINANCE(""NSE:""&amp;$A317, ""volume"", today()-21, today()-1), , 2))"),"#N/A")</f>
        <v/>
      </c>
      <c r="J317" s="14">
        <f>(H317-I317)/I317</f>
        <v/>
      </c>
      <c r="K317" s="13">
        <f>IFERROR(__xludf.DUMMYFUNCTION("AVERAGE(index(GOOGLEFINANCE(""NSE:""&amp;$A317, ""close"", today()-6, today()-1), , 2))"),"#N/A")</f>
        <v/>
      </c>
      <c r="L317" s="13">
        <f>IFERROR(__xludf.DUMMYFUNCTION("AVERAGE(index(GOOGLEFINANCE(""NSE:""&amp;$A317, ""close"", today()-14, today()-1), , 2))"),"#N/A")</f>
        <v/>
      </c>
      <c r="M317" s="13">
        <f>IFERROR(__xludf.DUMMYFUNCTION("AVERAGE(index(GOOGLEFINANCE(""NSE:""&amp;$A317, ""close"", today()-22, today()-1), , 2))"),"#N/A")</f>
        <v/>
      </c>
      <c r="N317" s="13">
        <f>AG317</f>
        <v/>
      </c>
      <c r="O317" s="13">
        <f>AI317</f>
        <v/>
      </c>
      <c r="P317" s="13">
        <f>W317</f>
        <v/>
      </c>
      <c r="Q317" s="13">
        <f>Y317</f>
        <v/>
      </c>
      <c r="R317" s="15" t="n"/>
      <c r="S317" s="15">
        <f>LEFT(W317,2)&amp;LEFT(Y317,2)</f>
        <v/>
      </c>
      <c r="T317" s="15" t="n"/>
      <c r="U317" s="15">
        <f>IF(K317&lt;L317,1,0)</f>
        <v/>
      </c>
      <c r="V317" s="15">
        <f>IF(H317&gt;I317,1,0)</f>
        <v/>
      </c>
      <c r="W317" s="15">
        <f>IF(SUM(U317:V317)=2,"Anticipatory_Sell","No_Action")</f>
        <v/>
      </c>
      <c r="X317" s="15" t="n"/>
      <c r="Y317" s="15">
        <f>IF(SUM(Z317:AA317)=2,"Confirm_Sell","No_Action")</f>
        <v/>
      </c>
      <c r="Z317" s="15">
        <f>IF(H317&gt;I317,1,0)</f>
        <v/>
      </c>
      <c r="AA317" s="15">
        <f>IF(K317&lt;M317,1,0)</f>
        <v/>
      </c>
      <c r="AB317" s="15" t="n"/>
      <c r="AC317" s="15">
        <f>LEFT(AG317,2)&amp;LEFT(AI317,2)</f>
        <v/>
      </c>
      <c r="AD317" s="15" t="n"/>
      <c r="AE317" s="15">
        <f>IF(K317&gt;L317,1,0)</f>
        <v/>
      </c>
      <c r="AF317" s="16">
        <f>IF(H317&gt;I317,1,0)</f>
        <v/>
      </c>
      <c r="AG317" s="16">
        <f>IF(SUM(AE317:AF317)=2,"Anticipatory_Buy","No_Action")</f>
        <v/>
      </c>
      <c r="AH317" s="15" t="n"/>
      <c r="AI317" s="15">
        <f>IF(SUM(AJ317:AK317)=2,"Confirm_Buy","No_Action")</f>
        <v/>
      </c>
      <c r="AJ317" s="15">
        <f>IF(H317&gt;I317,1,0)</f>
        <v/>
      </c>
      <c r="AK317" s="15">
        <f>IF(K317&gt;M317,1,0)</f>
        <v/>
      </c>
    </row>
    <row r="318" ht="14.5" customHeight="1">
      <c r="A318" s="12" t="inlineStr">
        <is>
          <t>TI</t>
        </is>
      </c>
      <c r="B318" s="13">
        <f>IFERROR(__xludf.DUMMYFUNCTION("GOOGLEFINANCE(""NSE:""&amp;A318,""PRICE"")"),421.9)</f>
        <v/>
      </c>
      <c r="C318" s="13">
        <f>IFERROR(__xludf.DUMMYFUNCTION("GOOGLEFINANCE(""NSE:""&amp;A318,""PRICEOPEN"")"),427.9)</f>
        <v/>
      </c>
      <c r="D318" s="13">
        <f>IFERROR(__xludf.DUMMYFUNCTION("GOOGLEFINANCE(""NSE:""&amp;A318,""HIGH"")"),435)</f>
        <v/>
      </c>
      <c r="E318" s="13">
        <f>IFERROR(__xludf.DUMMYFUNCTION("GOOGLEFINANCE(""NSE:""&amp;A318,""LOW"")"),412.55)</f>
        <v/>
      </c>
      <c r="F318" s="13">
        <f>IFERROR(__xludf.DUMMYFUNCTION("GOOGLEFINANCE(""NSE:""&amp;A318,""closeyest"")"),430.75)</f>
        <v/>
      </c>
      <c r="G318" s="14">
        <f>(B318-C318)/B318</f>
        <v/>
      </c>
      <c r="H318" s="13">
        <f>IFERROR(__xludf.DUMMYFUNCTION("GOOGLEFINANCE(""NSE:""&amp;A318,""VOLUME"")"),1219686)</f>
        <v/>
      </c>
      <c r="I318" s="13">
        <f>IFERROR(__xludf.DUMMYFUNCTION("AVERAGE(index(GOOGLEFINANCE(""NSE:""&amp;$A318, ""volume"", today()-21, today()-1), , 2))"),"#N/A")</f>
        <v/>
      </c>
      <c r="J318" s="14">
        <f>(H318-I318)/I318</f>
        <v/>
      </c>
      <c r="K318" s="13">
        <f>IFERROR(__xludf.DUMMYFUNCTION("AVERAGE(index(GOOGLEFINANCE(""NSE:""&amp;$A318, ""close"", today()-6, today()-1), , 2))"),"#N/A")</f>
        <v/>
      </c>
      <c r="L318" s="13">
        <f>IFERROR(__xludf.DUMMYFUNCTION("AVERAGE(index(GOOGLEFINANCE(""NSE:""&amp;$A318, ""close"", today()-14, today()-1), , 2))"),"#N/A")</f>
        <v/>
      </c>
      <c r="M318" s="13">
        <f>IFERROR(__xludf.DUMMYFUNCTION("AVERAGE(index(GOOGLEFINANCE(""NSE:""&amp;$A318, ""close"", today()-22, today()-1), , 2))"),"#N/A")</f>
        <v/>
      </c>
      <c r="N318" s="13">
        <f>AG318</f>
        <v/>
      </c>
      <c r="O318" s="13">
        <f>AI318</f>
        <v/>
      </c>
      <c r="P318" s="13">
        <f>W318</f>
        <v/>
      </c>
      <c r="Q318" s="13">
        <f>Y318</f>
        <v/>
      </c>
      <c r="R318" s="15" t="n"/>
      <c r="S318" s="15">
        <f>LEFT(W318,2)&amp;LEFT(Y318,2)</f>
        <v/>
      </c>
      <c r="T318" s="15" t="n"/>
      <c r="U318" s="15">
        <f>IF(K318&lt;L318,1,0)</f>
        <v/>
      </c>
      <c r="V318" s="15">
        <f>IF(H318&gt;I318,1,0)</f>
        <v/>
      </c>
      <c r="W318" s="15">
        <f>IF(SUM(U318:V318)=2,"Anticipatory_Sell","No_Action")</f>
        <v/>
      </c>
      <c r="X318" s="15" t="n"/>
      <c r="Y318" s="15">
        <f>IF(SUM(Z318:AA318)=2,"Confirm_Sell","No_Action")</f>
        <v/>
      </c>
      <c r="Z318" s="15">
        <f>IF(H318&gt;I318,1,0)</f>
        <v/>
      </c>
      <c r="AA318" s="15">
        <f>IF(K318&lt;M318,1,0)</f>
        <v/>
      </c>
      <c r="AB318" s="15" t="n"/>
      <c r="AC318" s="15">
        <f>LEFT(AG318,2)&amp;LEFT(AI318,2)</f>
        <v/>
      </c>
      <c r="AD318" s="15" t="n"/>
      <c r="AE318" s="15">
        <f>IF(K318&gt;L318,1,0)</f>
        <v/>
      </c>
      <c r="AF318" s="16">
        <f>IF(H318&gt;I318,1,0)</f>
        <v/>
      </c>
      <c r="AG318" s="16">
        <f>IF(SUM(AE318:AF318)=2,"Anticipatory_Buy","No_Action")</f>
        <v/>
      </c>
      <c r="AH318" s="15" t="n"/>
      <c r="AI318" s="15">
        <f>IF(SUM(AJ318:AK318)=2,"Confirm_Buy","No_Action")</f>
        <v/>
      </c>
      <c r="AJ318" s="15">
        <f>IF(H318&gt;I318,1,0)</f>
        <v/>
      </c>
      <c r="AK318" s="15">
        <f>IF(K318&gt;M318,1,0)</f>
        <v/>
      </c>
    </row>
    <row r="319" ht="14.5" customHeight="1">
      <c r="A319" s="12" t="inlineStr">
        <is>
          <t>TIMETECHNO</t>
        </is>
      </c>
      <c r="B319" s="13">
        <f>IFERROR(__xludf.DUMMYFUNCTION("GOOGLEFINANCE(""NSE:""&amp;A319,""PRICE"")"),489)</f>
        <v/>
      </c>
      <c r="C319" s="13">
        <f>IFERROR(__xludf.DUMMYFUNCTION("GOOGLEFINANCE(""NSE:""&amp;A319,""PRICEOPEN"")"),486)</f>
        <v/>
      </c>
      <c r="D319" s="13">
        <f>IFERROR(__xludf.DUMMYFUNCTION("GOOGLEFINANCE(""NSE:""&amp;A319,""HIGH"")"),495.2)</f>
        <v/>
      </c>
      <c r="E319" s="13">
        <f>IFERROR(__xludf.DUMMYFUNCTION("GOOGLEFINANCE(""NSE:""&amp;A319,""LOW"")"),480.85)</f>
        <v/>
      </c>
      <c r="F319" s="13">
        <f>IFERROR(__xludf.DUMMYFUNCTION("GOOGLEFINANCE(""NSE:""&amp;A319,""closeyest"")"),480.45)</f>
        <v/>
      </c>
      <c r="G319" s="14">
        <f>(B319-C319)/B319</f>
        <v/>
      </c>
      <c r="H319" s="13">
        <f>IFERROR(__xludf.DUMMYFUNCTION("GOOGLEFINANCE(""NSE:""&amp;A319,""VOLUME"")"),1523221)</f>
        <v/>
      </c>
      <c r="I319" s="13">
        <f>IFERROR(__xludf.DUMMYFUNCTION("AVERAGE(index(GOOGLEFINANCE(""NSE:""&amp;$A319, ""volume"", today()-21, today()-1), , 2))"),"#N/A")</f>
        <v/>
      </c>
      <c r="J319" s="14">
        <f>(H319-I319)/I319</f>
        <v/>
      </c>
      <c r="K319" s="13">
        <f>IFERROR(__xludf.DUMMYFUNCTION("AVERAGE(index(GOOGLEFINANCE(""NSE:""&amp;$A319, ""close"", today()-6, today()-1), , 2))"),"#N/A")</f>
        <v/>
      </c>
      <c r="L319" s="13">
        <f>IFERROR(__xludf.DUMMYFUNCTION("AVERAGE(index(GOOGLEFINANCE(""NSE:""&amp;$A319, ""close"", today()-14, today()-1), , 2))"),"#N/A")</f>
        <v/>
      </c>
      <c r="M319" s="13">
        <f>IFERROR(__xludf.DUMMYFUNCTION("AVERAGE(index(GOOGLEFINANCE(""NSE:""&amp;$A319, ""close"", today()-22, today()-1), , 2))"),"#N/A")</f>
        <v/>
      </c>
      <c r="N319" s="13">
        <f>AG319</f>
        <v/>
      </c>
      <c r="O319" s="13">
        <f>AI319</f>
        <v/>
      </c>
      <c r="P319" s="13">
        <f>W319</f>
        <v/>
      </c>
      <c r="Q319" s="13">
        <f>Y319</f>
        <v/>
      </c>
      <c r="R319" s="15" t="n"/>
      <c r="S319" s="15">
        <f>LEFT(W319,2)&amp;LEFT(Y319,2)</f>
        <v/>
      </c>
      <c r="T319" s="15" t="n"/>
      <c r="U319" s="15">
        <f>IF(K319&lt;L319,1,0)</f>
        <v/>
      </c>
      <c r="V319" s="15">
        <f>IF(H319&gt;I319,1,0)</f>
        <v/>
      </c>
      <c r="W319" s="15">
        <f>IF(SUM(U319:V319)=2,"Anticipatory_Sell","No_Action")</f>
        <v/>
      </c>
      <c r="X319" s="15" t="n"/>
      <c r="Y319" s="15">
        <f>IF(SUM(Z319:AA319)=2,"Confirm_Sell","No_Action")</f>
        <v/>
      </c>
      <c r="Z319" s="15">
        <f>IF(H319&gt;I319,1,0)</f>
        <v/>
      </c>
      <c r="AA319" s="15">
        <f>IF(K319&lt;M319,1,0)</f>
        <v/>
      </c>
      <c r="AB319" s="15" t="n"/>
      <c r="AC319" s="15">
        <f>LEFT(AG319,2)&amp;LEFT(AI319,2)</f>
        <v/>
      </c>
      <c r="AD319" s="15" t="n"/>
      <c r="AE319" s="15">
        <f>IF(K319&gt;L319,1,0)</f>
        <v/>
      </c>
      <c r="AF319" s="16">
        <f>IF(H319&gt;I319,1,0)</f>
        <v/>
      </c>
      <c r="AG319" s="16">
        <f>IF(SUM(AE319:AF319)=2,"Anticipatory_Buy","No_Action")</f>
        <v/>
      </c>
      <c r="AH319" s="15" t="n"/>
      <c r="AI319" s="15">
        <f>IF(SUM(AJ319:AK319)=2,"Confirm_Buy","No_Action")</f>
        <v/>
      </c>
      <c r="AJ319" s="15">
        <f>IF(H319&gt;I319,1,0)</f>
        <v/>
      </c>
      <c r="AK319" s="15">
        <f>IF(K319&gt;M319,1,0)</f>
        <v/>
      </c>
    </row>
    <row r="320" ht="14.5" customHeight="1">
      <c r="A320" s="12" t="inlineStr">
        <is>
          <t>TORNTPHARM</t>
        </is>
      </c>
      <c r="B320" s="13">
        <f>IFERROR(__xludf.DUMMYFUNCTION("GOOGLEFINANCE(""NSE:""&amp;A320,""PRICE"")"),3344)</f>
        <v/>
      </c>
      <c r="C320" s="13">
        <f>IFERROR(__xludf.DUMMYFUNCTION("GOOGLEFINANCE(""NSE:""&amp;A320,""PRICEOPEN"")"),3342.15)</f>
        <v/>
      </c>
      <c r="D320" s="13">
        <f>IFERROR(__xludf.DUMMYFUNCTION("GOOGLEFINANCE(""NSE:""&amp;A320,""HIGH"")"),3369.5)</f>
        <v/>
      </c>
      <c r="E320" s="13">
        <f>IFERROR(__xludf.DUMMYFUNCTION("GOOGLEFINANCE(""NSE:""&amp;A320,""LOW"")"),3319.45)</f>
        <v/>
      </c>
      <c r="F320" s="13">
        <f>IFERROR(__xludf.DUMMYFUNCTION("GOOGLEFINANCE(""NSE:""&amp;A320,""closeyest"")"),3332.5)</f>
        <v/>
      </c>
      <c r="G320" s="14">
        <f>(B320-C320)/B320</f>
        <v/>
      </c>
      <c r="H320" s="13">
        <f>IFERROR(__xludf.DUMMYFUNCTION("GOOGLEFINANCE(""NSE:""&amp;A320,""VOLUME"")"),251984)</f>
        <v/>
      </c>
      <c r="I320" s="13">
        <f>IFERROR(__xludf.DUMMYFUNCTION("AVERAGE(index(GOOGLEFINANCE(""NSE:""&amp;$A320, ""volume"", today()-21, today()-1), , 2))"),"#N/A")</f>
        <v/>
      </c>
      <c r="J320" s="14">
        <f>(H320-I320)/I320</f>
        <v/>
      </c>
      <c r="K320" s="13">
        <f>IFERROR(__xludf.DUMMYFUNCTION("AVERAGE(index(GOOGLEFINANCE(""NSE:""&amp;$A320, ""close"", today()-6, today()-1), , 2))"),"#N/A")</f>
        <v/>
      </c>
      <c r="L320" s="13">
        <f>IFERROR(__xludf.DUMMYFUNCTION("AVERAGE(index(GOOGLEFINANCE(""NSE:""&amp;$A320, ""close"", today()-14, today()-1), , 2))"),"#N/A")</f>
        <v/>
      </c>
      <c r="M320" s="13">
        <f>IFERROR(__xludf.DUMMYFUNCTION("AVERAGE(index(GOOGLEFINANCE(""NSE:""&amp;$A320, ""close"", today()-22, today()-1), , 2))"),"#N/A")</f>
        <v/>
      </c>
      <c r="N320" s="13">
        <f>AG320</f>
        <v/>
      </c>
      <c r="O320" s="13">
        <f>AI320</f>
        <v/>
      </c>
      <c r="P320" s="13">
        <f>W320</f>
        <v/>
      </c>
      <c r="Q320" s="13">
        <f>Y320</f>
        <v/>
      </c>
      <c r="R320" s="15" t="n"/>
      <c r="S320" s="15">
        <f>LEFT(W320,2)&amp;LEFT(Y320,2)</f>
        <v/>
      </c>
      <c r="T320" s="15" t="n"/>
      <c r="U320" s="15">
        <f>IF(K320&lt;L320,1,0)</f>
        <v/>
      </c>
      <c r="V320" s="15">
        <f>IF(H320&gt;I320,1,0)</f>
        <v/>
      </c>
      <c r="W320" s="15">
        <f>IF(SUM(U320:V320)=2,"Anticipatory_Sell","No_Action")</f>
        <v/>
      </c>
      <c r="X320" s="15" t="n"/>
      <c r="Y320" s="15">
        <f>IF(SUM(Z320:AA320)=2,"Confirm_Sell","No_Action")</f>
        <v/>
      </c>
      <c r="Z320" s="15">
        <f>IF(H320&gt;I320,1,0)</f>
        <v/>
      </c>
      <c r="AA320" s="15">
        <f>IF(K320&lt;M320,1,0)</f>
        <v/>
      </c>
      <c r="AB320" s="15" t="n"/>
      <c r="AC320" s="15">
        <f>LEFT(AG320,2)&amp;LEFT(AI320,2)</f>
        <v/>
      </c>
      <c r="AD320" s="15" t="n"/>
      <c r="AE320" s="15">
        <f>IF(K320&gt;L320,1,0)</f>
        <v/>
      </c>
      <c r="AF320" s="16">
        <f>IF(H320&gt;I320,1,0)</f>
        <v/>
      </c>
      <c r="AG320" s="16">
        <f>IF(SUM(AE320:AF320)=2,"Anticipatory_Buy","No_Action")</f>
        <v/>
      </c>
      <c r="AH320" s="15" t="n"/>
      <c r="AI320" s="15">
        <f>IF(SUM(AJ320:AK320)=2,"Confirm_Buy","No_Action")</f>
        <v/>
      </c>
      <c r="AJ320" s="15">
        <f>IF(H320&gt;I320,1,0)</f>
        <v/>
      </c>
      <c r="AK320" s="15">
        <f>IF(K320&gt;M320,1,0)</f>
        <v/>
      </c>
    </row>
    <row r="321" ht="14.5" customHeight="1">
      <c r="A321" s="12" t="inlineStr">
        <is>
          <t>TORNTPOWER</t>
        </is>
      </c>
      <c r="B321" s="13">
        <f>IFERROR(__xludf.DUMMYFUNCTION("GOOGLEFINANCE(""NSE:""&amp;A321,""PRICE"")"),1649)</f>
        <v/>
      </c>
      <c r="C321" s="13">
        <f>IFERROR(__xludf.DUMMYFUNCTION("GOOGLEFINANCE(""NSE:""&amp;A321,""PRICEOPEN"")"),1655)</f>
        <v/>
      </c>
      <c r="D321" s="13">
        <f>IFERROR(__xludf.DUMMYFUNCTION("GOOGLEFINANCE(""NSE:""&amp;A321,""HIGH"")"),1679)</f>
        <v/>
      </c>
      <c r="E321" s="13">
        <f>IFERROR(__xludf.DUMMYFUNCTION("GOOGLEFINANCE(""NSE:""&amp;A321,""LOW"")"),1628.85)</f>
        <v/>
      </c>
      <c r="F321" s="13">
        <f>IFERROR(__xludf.DUMMYFUNCTION("GOOGLEFINANCE(""NSE:""&amp;A321,""closeyest"")"),1648.65)</f>
        <v/>
      </c>
      <c r="G321" s="14">
        <f>(B321-C321)/B321</f>
        <v/>
      </c>
      <c r="H321" s="13">
        <f>IFERROR(__xludf.DUMMYFUNCTION("GOOGLEFINANCE(""NSE:""&amp;A321,""VOLUME"")"),836072)</f>
        <v/>
      </c>
      <c r="I321" s="13">
        <f>IFERROR(__xludf.DUMMYFUNCTION("AVERAGE(index(GOOGLEFINANCE(""NSE:""&amp;$A321, ""volume"", today()-21, today()-1), , 2))"),"#N/A")</f>
        <v/>
      </c>
      <c r="J321" s="14">
        <f>(H321-I321)/I321</f>
        <v/>
      </c>
      <c r="K321" s="13">
        <f>IFERROR(__xludf.DUMMYFUNCTION("AVERAGE(index(GOOGLEFINANCE(""NSE:""&amp;$A321, ""close"", today()-6, today()-1), , 2))"),"#N/A")</f>
        <v/>
      </c>
      <c r="L321" s="13">
        <f>IFERROR(__xludf.DUMMYFUNCTION("AVERAGE(index(GOOGLEFINANCE(""NSE:""&amp;$A321, ""close"", today()-14, today()-1), , 2))"),"#N/A")</f>
        <v/>
      </c>
      <c r="M321" s="13">
        <f>IFERROR(__xludf.DUMMYFUNCTION("AVERAGE(index(GOOGLEFINANCE(""NSE:""&amp;$A321, ""close"", today()-22, today()-1), , 2))"),"#N/A")</f>
        <v/>
      </c>
      <c r="N321" s="13">
        <f>AG321</f>
        <v/>
      </c>
      <c r="O321" s="13">
        <f>AI321</f>
        <v/>
      </c>
      <c r="P321" s="13">
        <f>W321</f>
        <v/>
      </c>
      <c r="Q321" s="13">
        <f>Y321</f>
        <v/>
      </c>
      <c r="R321" s="15" t="n"/>
      <c r="S321" s="15">
        <f>LEFT(W321,2)&amp;LEFT(Y321,2)</f>
        <v/>
      </c>
      <c r="T321" s="15" t="n"/>
      <c r="U321" s="15">
        <f>IF(K321&lt;L321,1,0)</f>
        <v/>
      </c>
      <c r="V321" s="15">
        <f>IF(H321&gt;I321,1,0)</f>
        <v/>
      </c>
      <c r="W321" s="15">
        <f>IF(SUM(U321:V321)=2,"Anticipatory_Sell","No_Action")</f>
        <v/>
      </c>
      <c r="X321" s="15" t="n"/>
      <c r="Y321" s="15">
        <f>IF(SUM(Z321:AA321)=2,"Confirm_Sell","No_Action")</f>
        <v/>
      </c>
      <c r="Z321" s="15">
        <f>IF(H321&gt;I321,1,0)</f>
        <v/>
      </c>
      <c r="AA321" s="15">
        <f>IF(K321&lt;M321,1,0)</f>
        <v/>
      </c>
      <c r="AB321" s="15" t="n"/>
      <c r="AC321" s="15">
        <f>LEFT(AG321,2)&amp;LEFT(AI321,2)</f>
        <v/>
      </c>
      <c r="AD321" s="15" t="n"/>
      <c r="AE321" s="15">
        <f>IF(K321&gt;L321,1,0)</f>
        <v/>
      </c>
      <c r="AF321" s="16">
        <f>IF(H321&gt;I321,1,0)</f>
        <v/>
      </c>
      <c r="AG321" s="16">
        <f>IF(SUM(AE321:AF321)=2,"Anticipatory_Buy","No_Action")</f>
        <v/>
      </c>
      <c r="AH321" s="15" t="n"/>
      <c r="AI321" s="15">
        <f>IF(SUM(AJ321:AK321)=2,"Confirm_Buy","No_Action")</f>
        <v/>
      </c>
      <c r="AJ321" s="15">
        <f>IF(H321&gt;I321,1,0)</f>
        <v/>
      </c>
      <c r="AK321" s="15">
        <f>IF(K321&gt;M321,1,0)</f>
        <v/>
      </c>
    </row>
    <row r="322" ht="14.5" customHeight="1">
      <c r="A322" s="12" t="inlineStr">
        <is>
          <t>TRIVENI</t>
        </is>
      </c>
      <c r="B322" s="13">
        <f>IFERROR(__xludf.DUMMYFUNCTION("GOOGLEFINANCE(""NSE:""&amp;A322,""PRICE"")"),437.05)</f>
        <v/>
      </c>
      <c r="C322" s="13">
        <f>IFERROR(__xludf.DUMMYFUNCTION("GOOGLEFINANCE(""NSE:""&amp;A322,""PRICEOPEN"")"),449)</f>
        <v/>
      </c>
      <c r="D322" s="13">
        <f>IFERROR(__xludf.DUMMYFUNCTION("GOOGLEFINANCE(""NSE:""&amp;A322,""HIGH"")"),450.05)</f>
        <v/>
      </c>
      <c r="E322" s="13">
        <f>IFERROR(__xludf.DUMMYFUNCTION("GOOGLEFINANCE(""NSE:""&amp;A322,""LOW"")"),431.55)</f>
        <v/>
      </c>
      <c r="F322" s="13">
        <f>IFERROR(__xludf.DUMMYFUNCTION("GOOGLEFINANCE(""NSE:""&amp;A322,""closeyest"")"),448.95)</f>
        <v/>
      </c>
      <c r="G322" s="14">
        <f>(B322-C322)/B322</f>
        <v/>
      </c>
      <c r="H322" s="13">
        <f>IFERROR(__xludf.DUMMYFUNCTION("GOOGLEFINANCE(""NSE:""&amp;A322,""VOLUME"")"),397267)</f>
        <v/>
      </c>
      <c r="I322" s="13">
        <f>IFERROR(__xludf.DUMMYFUNCTION("AVERAGE(index(GOOGLEFINANCE(""NSE:""&amp;$A322, ""volume"", today()-21, today()-1), , 2))"),"#N/A")</f>
        <v/>
      </c>
      <c r="J322" s="14">
        <f>(H322-I322)/I322</f>
        <v/>
      </c>
      <c r="K322" s="13">
        <f>IFERROR(__xludf.DUMMYFUNCTION("AVERAGE(index(GOOGLEFINANCE(""NSE:""&amp;$A322, ""close"", today()-6, today()-1), , 2))"),"#N/A")</f>
        <v/>
      </c>
      <c r="L322" s="13">
        <f>IFERROR(__xludf.DUMMYFUNCTION("AVERAGE(index(GOOGLEFINANCE(""NSE:""&amp;$A322, ""close"", today()-14, today()-1), , 2))"),"#N/A")</f>
        <v/>
      </c>
      <c r="M322" s="13">
        <f>IFERROR(__xludf.DUMMYFUNCTION("AVERAGE(index(GOOGLEFINANCE(""NSE:""&amp;$A322, ""close"", today()-22, today()-1), , 2))"),"#N/A")</f>
        <v/>
      </c>
      <c r="N322" s="13">
        <f>AG322</f>
        <v/>
      </c>
      <c r="O322" s="13">
        <f>AI322</f>
        <v/>
      </c>
      <c r="P322" s="13">
        <f>W322</f>
        <v/>
      </c>
      <c r="Q322" s="13">
        <f>Y322</f>
        <v/>
      </c>
      <c r="R322" s="15" t="n"/>
      <c r="S322" s="15">
        <f>LEFT(W322,2)&amp;LEFT(Y322,2)</f>
        <v/>
      </c>
      <c r="T322" s="15" t="n"/>
      <c r="U322" s="15">
        <f>IF(K322&lt;L322,1,0)</f>
        <v/>
      </c>
      <c r="V322" s="15">
        <f>IF(H322&gt;I322,1,0)</f>
        <v/>
      </c>
      <c r="W322" s="15">
        <f>IF(SUM(U322:V322)=2,"Anticipatory_Sell","No_Action")</f>
        <v/>
      </c>
      <c r="X322" s="15" t="n"/>
      <c r="Y322" s="15">
        <f>IF(SUM(Z322:AA322)=2,"Confirm_Sell","No_Action")</f>
        <v/>
      </c>
      <c r="Z322" s="15">
        <f>IF(H322&gt;I322,1,0)</f>
        <v/>
      </c>
      <c r="AA322" s="15">
        <f>IF(K322&lt;M322,1,0)</f>
        <v/>
      </c>
      <c r="AB322" s="15" t="n"/>
      <c r="AC322" s="15">
        <f>LEFT(AG322,2)&amp;LEFT(AI322,2)</f>
        <v/>
      </c>
      <c r="AD322" s="15" t="n"/>
      <c r="AE322" s="15">
        <f>IF(K322&gt;L322,1,0)</f>
        <v/>
      </c>
      <c r="AF322" s="16">
        <f>IF(H322&gt;I322,1,0)</f>
        <v/>
      </c>
      <c r="AG322" s="16">
        <f>IF(SUM(AE322:AF322)=2,"Anticipatory_Buy","No_Action")</f>
        <v/>
      </c>
      <c r="AH322" s="15" t="n"/>
      <c r="AI322" s="15">
        <f>IF(SUM(AJ322:AK322)=2,"Confirm_Buy","No_Action")</f>
        <v/>
      </c>
      <c r="AJ322" s="15">
        <f>IF(H322&gt;I322,1,0)</f>
        <v/>
      </c>
      <c r="AK322" s="15">
        <f>IF(K322&gt;M322,1,0)</f>
        <v/>
      </c>
    </row>
    <row r="323" ht="14.5" customHeight="1">
      <c r="A323" s="12" t="inlineStr">
        <is>
          <t>TTKPRESTIG</t>
        </is>
      </c>
      <c r="B323" s="13">
        <f>IFERROR(__xludf.DUMMYFUNCTION("GOOGLEFINANCE(""NSE:""&amp;A323,""PRICE"")"),896.55)</f>
        <v/>
      </c>
      <c r="C323" s="13">
        <f>IFERROR(__xludf.DUMMYFUNCTION("GOOGLEFINANCE(""NSE:""&amp;A323,""PRICEOPEN"")"),879.95)</f>
        <v/>
      </c>
      <c r="D323" s="13">
        <f>IFERROR(__xludf.DUMMYFUNCTION("GOOGLEFINANCE(""NSE:""&amp;A323,""HIGH"")"),905)</f>
        <v/>
      </c>
      <c r="E323" s="13">
        <f>IFERROR(__xludf.DUMMYFUNCTION("GOOGLEFINANCE(""NSE:""&amp;A323,""LOW"")"),878.2)</f>
        <v/>
      </c>
      <c r="F323" s="13">
        <f>IFERROR(__xludf.DUMMYFUNCTION("GOOGLEFINANCE(""NSE:""&amp;A323,""closeyest"")"),879.3)</f>
        <v/>
      </c>
      <c r="G323" s="14">
        <f>(B323-C323)/B323</f>
        <v/>
      </c>
      <c r="H323" s="13">
        <f>IFERROR(__xludf.DUMMYFUNCTION("GOOGLEFINANCE(""NSE:""&amp;A323,""VOLUME"")"),37351)</f>
        <v/>
      </c>
      <c r="I323" s="13">
        <f>IFERROR(__xludf.DUMMYFUNCTION("AVERAGE(index(GOOGLEFINANCE(""NSE:""&amp;$A323, ""volume"", today()-21, today()-1), , 2))"),"#N/A")</f>
        <v/>
      </c>
      <c r="J323" s="14">
        <f>(H323-I323)/I323</f>
        <v/>
      </c>
      <c r="K323" s="13">
        <f>IFERROR(__xludf.DUMMYFUNCTION("AVERAGE(index(GOOGLEFINANCE(""NSE:""&amp;$A323, ""close"", today()-6, today()-1), , 2))"),"#N/A")</f>
        <v/>
      </c>
      <c r="L323" s="13">
        <f>IFERROR(__xludf.DUMMYFUNCTION("AVERAGE(index(GOOGLEFINANCE(""NSE:""&amp;$A323, ""close"", today()-14, today()-1), , 2))"),"#N/A")</f>
        <v/>
      </c>
      <c r="M323" s="13">
        <f>IFERROR(__xludf.DUMMYFUNCTION("AVERAGE(index(GOOGLEFINANCE(""NSE:""&amp;$A323, ""close"", today()-22, today()-1), , 2))"),"#N/A")</f>
        <v/>
      </c>
      <c r="N323" s="13">
        <f>AG323</f>
        <v/>
      </c>
      <c r="O323" s="13">
        <f>AI323</f>
        <v/>
      </c>
      <c r="P323" s="13">
        <f>W323</f>
        <v/>
      </c>
      <c r="Q323" s="13">
        <f>Y323</f>
        <v/>
      </c>
      <c r="R323" s="15" t="n"/>
      <c r="S323" s="15">
        <f>LEFT(W323,2)&amp;LEFT(Y323,2)</f>
        <v/>
      </c>
      <c r="T323" s="15" t="n"/>
      <c r="U323" s="15">
        <f>IF(K323&lt;L323,1,0)</f>
        <v/>
      </c>
      <c r="V323" s="15">
        <f>IF(H323&gt;I323,1,0)</f>
        <v/>
      </c>
      <c r="W323" s="15">
        <f>IF(SUM(U323:V323)=2,"Anticipatory_Sell","No_Action")</f>
        <v/>
      </c>
      <c r="X323" s="15" t="n"/>
      <c r="Y323" s="15">
        <f>IF(SUM(Z323:AA323)=2,"Confirm_Sell","No_Action")</f>
        <v/>
      </c>
      <c r="Z323" s="15">
        <f>IF(H323&gt;I323,1,0)</f>
        <v/>
      </c>
      <c r="AA323" s="15">
        <f>IF(K323&lt;M323,1,0)</f>
        <v/>
      </c>
      <c r="AB323" s="15" t="n"/>
      <c r="AC323" s="15">
        <f>LEFT(AG323,2)&amp;LEFT(AI323,2)</f>
        <v/>
      </c>
      <c r="AD323" s="15" t="n"/>
      <c r="AE323" s="15">
        <f>IF(K323&gt;L323,1,0)</f>
        <v/>
      </c>
      <c r="AF323" s="16">
        <f>IF(H323&gt;I323,1,0)</f>
        <v/>
      </c>
      <c r="AG323" s="16">
        <f>IF(SUM(AE323:AF323)=2,"Anticipatory_Buy","No_Action")</f>
        <v/>
      </c>
      <c r="AH323" s="15" t="n"/>
      <c r="AI323" s="15">
        <f>IF(SUM(AJ323:AK323)=2,"Confirm_Buy","No_Action")</f>
        <v/>
      </c>
      <c r="AJ323" s="15">
        <f>IF(H323&gt;I323,1,0)</f>
        <v/>
      </c>
      <c r="AK323" s="15">
        <f>IF(K323&gt;M323,1,0)</f>
        <v/>
      </c>
    </row>
    <row r="324" ht="14.5" customHeight="1">
      <c r="A324" s="12" t="inlineStr">
        <is>
          <t>TIINDIA</t>
        </is>
      </c>
      <c r="B324" s="13">
        <f>IFERROR(__xludf.DUMMYFUNCTION("GOOGLEFINANCE(""NSE:""&amp;A324,""PRICE"")"),3718)</f>
        <v/>
      </c>
      <c r="C324" s="13">
        <f>IFERROR(__xludf.DUMMYFUNCTION("GOOGLEFINANCE(""NSE:""&amp;A324,""PRICEOPEN"")"),3699.5)</f>
        <v/>
      </c>
      <c r="D324" s="13">
        <f>IFERROR(__xludf.DUMMYFUNCTION("GOOGLEFINANCE(""NSE:""&amp;A324,""HIGH"")"),3798)</f>
        <v/>
      </c>
      <c r="E324" s="13">
        <f>IFERROR(__xludf.DUMMYFUNCTION("GOOGLEFINANCE(""NSE:""&amp;A324,""LOW"")"),3673.55)</f>
        <v/>
      </c>
      <c r="F324" s="13">
        <f>IFERROR(__xludf.DUMMYFUNCTION("GOOGLEFINANCE(""NSE:""&amp;A324,""closeyest"")"),3680.15)</f>
        <v/>
      </c>
      <c r="G324" s="14">
        <f>(B324-C324)/B324</f>
        <v/>
      </c>
      <c r="H324" s="13">
        <f>IFERROR(__xludf.DUMMYFUNCTION("GOOGLEFINANCE(""NSE:""&amp;A324,""VOLUME"")"),339027)</f>
        <v/>
      </c>
      <c r="I324" s="13">
        <f>IFERROR(__xludf.DUMMYFUNCTION("AVERAGE(index(GOOGLEFINANCE(""NSE:""&amp;$A324, ""volume"", today()-21, today()-1), , 2))"),"#N/A")</f>
        <v/>
      </c>
      <c r="J324" s="14">
        <f>(H324-I324)/I324</f>
        <v/>
      </c>
      <c r="K324" s="13">
        <f>IFERROR(__xludf.DUMMYFUNCTION("AVERAGE(index(GOOGLEFINANCE(""NSE:""&amp;$A324, ""close"", today()-6, today()-1), , 2))"),"#N/A")</f>
        <v/>
      </c>
      <c r="L324" s="13">
        <f>IFERROR(__xludf.DUMMYFUNCTION("AVERAGE(index(GOOGLEFINANCE(""NSE:""&amp;$A324, ""close"", today()-14, today()-1), , 2))"),"#N/A")</f>
        <v/>
      </c>
      <c r="M324" s="13">
        <f>IFERROR(__xludf.DUMMYFUNCTION("AVERAGE(index(GOOGLEFINANCE(""NSE:""&amp;$A324, ""close"", today()-22, today()-1), , 2))"),"#N/A")</f>
        <v/>
      </c>
      <c r="N324" s="13">
        <f>AG324</f>
        <v/>
      </c>
      <c r="O324" s="13">
        <f>AI324</f>
        <v/>
      </c>
      <c r="P324" s="13">
        <f>W324</f>
        <v/>
      </c>
      <c r="Q324" s="13">
        <f>Y324</f>
        <v/>
      </c>
      <c r="R324" s="15" t="n"/>
      <c r="S324" s="15">
        <f>LEFT(W324,2)&amp;LEFT(Y324,2)</f>
        <v/>
      </c>
      <c r="T324" s="15" t="n"/>
      <c r="U324" s="15">
        <f>IF(K324&lt;L324,1,0)</f>
        <v/>
      </c>
      <c r="V324" s="15">
        <f>IF(H324&gt;I324,1,0)</f>
        <v/>
      </c>
      <c r="W324" s="15">
        <f>IF(SUM(U324:V324)=2,"Anticipatory_Sell","No_Action")</f>
        <v/>
      </c>
      <c r="X324" s="15" t="n"/>
      <c r="Y324" s="15">
        <f>IF(SUM(Z324:AA324)=2,"Confirm_Sell","No_Action")</f>
        <v/>
      </c>
      <c r="Z324" s="15">
        <f>IF(H324&gt;I324,1,0)</f>
        <v/>
      </c>
      <c r="AA324" s="15">
        <f>IF(K324&lt;M324,1,0)</f>
        <v/>
      </c>
      <c r="AB324" s="15" t="n"/>
      <c r="AC324" s="15">
        <f>LEFT(AG324,2)&amp;LEFT(AI324,2)</f>
        <v/>
      </c>
      <c r="AD324" s="15" t="n"/>
      <c r="AE324" s="15">
        <f>IF(K324&gt;L324,1,0)</f>
        <v/>
      </c>
      <c r="AF324" s="16">
        <f>IF(H324&gt;I324,1,0)</f>
        <v/>
      </c>
      <c r="AG324" s="16">
        <f>IF(SUM(AE324:AF324)=2,"Anticipatory_Buy","No_Action")</f>
        <v/>
      </c>
      <c r="AH324" s="15" t="n"/>
      <c r="AI324" s="15">
        <f>IF(SUM(AJ324:AK324)=2,"Confirm_Buy","No_Action")</f>
        <v/>
      </c>
      <c r="AJ324" s="15">
        <f>IF(H324&gt;I324,1,0)</f>
        <v/>
      </c>
      <c r="AK324" s="15">
        <f>IF(K324&gt;M324,1,0)</f>
        <v/>
      </c>
    </row>
    <row r="325" ht="14.5" customHeight="1">
      <c r="A325" s="12" t="inlineStr">
        <is>
          <t>ULTRACEMCO</t>
        </is>
      </c>
      <c r="B325" s="13">
        <f>IFERROR(__xludf.DUMMYFUNCTION("GOOGLEFINANCE(""NSE:""&amp;A325,""PRICE"")"),11795.2)</f>
        <v/>
      </c>
      <c r="C325" s="13">
        <f>IFERROR(__xludf.DUMMYFUNCTION("GOOGLEFINANCE(""NSE:""&amp;A325,""PRICEOPEN"")"),11858.4)</f>
        <v/>
      </c>
      <c r="D325" s="13">
        <f>IFERROR(__xludf.DUMMYFUNCTION("GOOGLEFINANCE(""NSE:""&amp;A325,""HIGH"")"),11890)</f>
        <v/>
      </c>
      <c r="E325" s="13">
        <f>IFERROR(__xludf.DUMMYFUNCTION("GOOGLEFINANCE(""NSE:""&amp;A325,""LOW"")"),11718)</f>
        <v/>
      </c>
      <c r="F325" s="13">
        <f>IFERROR(__xludf.DUMMYFUNCTION("GOOGLEFINANCE(""NSE:""&amp;A325,""closeyest"")"),11848.5)</f>
        <v/>
      </c>
      <c r="G325" s="14">
        <f>(B325-C325)/B325</f>
        <v/>
      </c>
      <c r="H325" s="13">
        <f>IFERROR(__xludf.DUMMYFUNCTION("GOOGLEFINANCE(""NSE:""&amp;A325,""VOLUME"")"),268177)</f>
        <v/>
      </c>
      <c r="I325" s="13">
        <f>IFERROR(__xludf.DUMMYFUNCTION("AVERAGE(index(GOOGLEFINANCE(""NSE:""&amp;$A325, ""volume"", today()-21, today()-1), , 2))"),"#N/A")</f>
        <v/>
      </c>
      <c r="J325" s="14">
        <f>(H325-I325)/I325</f>
        <v/>
      </c>
      <c r="K325" s="13">
        <f>IFERROR(__xludf.DUMMYFUNCTION("AVERAGE(index(GOOGLEFINANCE(""NSE:""&amp;$A325, ""close"", today()-6, today()-1), , 2))"),"#N/A")</f>
        <v/>
      </c>
      <c r="L325" s="13">
        <f>IFERROR(__xludf.DUMMYFUNCTION("AVERAGE(index(GOOGLEFINANCE(""NSE:""&amp;$A325, ""close"", today()-14, today()-1), , 2))"),"#N/A")</f>
        <v/>
      </c>
      <c r="M325" s="13">
        <f>IFERROR(__xludf.DUMMYFUNCTION("AVERAGE(index(GOOGLEFINANCE(""NSE:""&amp;$A325, ""close"", today()-22, today()-1), , 2))"),"#N/A")</f>
        <v/>
      </c>
      <c r="N325" s="13">
        <f>AG325</f>
        <v/>
      </c>
      <c r="O325" s="13">
        <f>AI325</f>
        <v/>
      </c>
      <c r="P325" s="13">
        <f>W325</f>
        <v/>
      </c>
      <c r="Q325" s="13">
        <f>Y325</f>
        <v/>
      </c>
      <c r="R325" s="15" t="n"/>
      <c r="S325" s="15">
        <f>LEFT(W325,2)&amp;LEFT(Y325,2)</f>
        <v/>
      </c>
      <c r="T325" s="15" t="n"/>
      <c r="U325" s="15">
        <f>IF(K325&lt;L325,1,0)</f>
        <v/>
      </c>
      <c r="V325" s="15">
        <f>IF(H325&gt;I325,1,0)</f>
        <v/>
      </c>
      <c r="W325" s="15">
        <f>IF(SUM(U325:V325)=2,"Anticipatory_Sell","No_Action")</f>
        <v/>
      </c>
      <c r="X325" s="15" t="n"/>
      <c r="Y325" s="15">
        <f>IF(SUM(Z325:AA325)=2,"Confirm_Sell","No_Action")</f>
        <v/>
      </c>
      <c r="Z325" s="15">
        <f>IF(H325&gt;I325,1,0)</f>
        <v/>
      </c>
      <c r="AA325" s="15">
        <f>IF(K325&lt;M325,1,0)</f>
        <v/>
      </c>
      <c r="AB325" s="15" t="n"/>
      <c r="AC325" s="15">
        <f>LEFT(AG325,2)&amp;LEFT(AI325,2)</f>
        <v/>
      </c>
      <c r="AD325" s="15" t="n"/>
      <c r="AE325" s="15">
        <f>IF(K325&gt;L325,1,0)</f>
        <v/>
      </c>
      <c r="AF325" s="16">
        <f>IF(H325&gt;I325,1,0)</f>
        <v/>
      </c>
      <c r="AG325" s="16">
        <f>IF(SUM(AE325:AF325)=2,"Anticipatory_Buy","No_Action")</f>
        <v/>
      </c>
      <c r="AH325" s="15" t="n"/>
      <c r="AI325" s="15">
        <f>IF(SUM(AJ325:AK325)=2,"Confirm_Buy","No_Action")</f>
        <v/>
      </c>
      <c r="AJ325" s="15">
        <f>IF(H325&gt;I325,1,0)</f>
        <v/>
      </c>
      <c r="AK325" s="15">
        <f>IF(K325&gt;M325,1,0)</f>
        <v/>
      </c>
    </row>
    <row r="326" ht="14.5" customHeight="1">
      <c r="A326" s="12" t="inlineStr">
        <is>
          <t>UNIPARTS</t>
        </is>
      </c>
      <c r="B326" s="13">
        <f>IFERROR(__xludf.DUMMYFUNCTION("GOOGLEFINANCE(""NSE:""&amp;A326,""PRICE"")"),431)</f>
        <v/>
      </c>
      <c r="C326" s="13">
        <f>IFERROR(__xludf.DUMMYFUNCTION("GOOGLEFINANCE(""NSE:""&amp;A326,""PRICEOPEN"")"),421.3)</f>
        <v/>
      </c>
      <c r="D326" s="13">
        <f>IFERROR(__xludf.DUMMYFUNCTION("GOOGLEFINANCE(""NSE:""&amp;A326,""HIGH"")"),431.45)</f>
        <v/>
      </c>
      <c r="E326" s="13">
        <f>IFERROR(__xludf.DUMMYFUNCTION("GOOGLEFINANCE(""NSE:""&amp;A326,""LOW"")"),421.3)</f>
        <v/>
      </c>
      <c r="F326" s="13">
        <f>IFERROR(__xludf.DUMMYFUNCTION("GOOGLEFINANCE(""NSE:""&amp;A326,""closeyest"")"),421.25)</f>
        <v/>
      </c>
      <c r="G326" s="14">
        <f>(B326-C326)/B326</f>
        <v/>
      </c>
      <c r="H326" s="13">
        <f>IFERROR(__xludf.DUMMYFUNCTION("GOOGLEFINANCE(""NSE:""&amp;A326,""VOLUME"")"),58790)</f>
        <v/>
      </c>
      <c r="I326" s="13">
        <f>IFERROR(__xludf.DUMMYFUNCTION("AVERAGE(index(GOOGLEFINANCE(""NSE:""&amp;$A326, ""volume"", today()-21, today()-1), , 2))"),"#N/A")</f>
        <v/>
      </c>
      <c r="J326" s="14">
        <f>(H326-I326)/I326</f>
        <v/>
      </c>
      <c r="K326" s="13">
        <f>IFERROR(__xludf.DUMMYFUNCTION("AVERAGE(index(GOOGLEFINANCE(""NSE:""&amp;$A326, ""close"", today()-6, today()-1), , 2))"),"#N/A")</f>
        <v/>
      </c>
      <c r="L326" s="13">
        <f>IFERROR(__xludf.DUMMYFUNCTION("AVERAGE(index(GOOGLEFINANCE(""NSE:""&amp;$A326, ""close"", today()-14, today()-1), , 2))"),"#N/A")</f>
        <v/>
      </c>
      <c r="M326" s="13">
        <f>IFERROR(__xludf.DUMMYFUNCTION("AVERAGE(index(GOOGLEFINANCE(""NSE:""&amp;$A326, ""close"", today()-22, today()-1), , 2))"),"#N/A")</f>
        <v/>
      </c>
      <c r="N326" s="13">
        <f>AG326</f>
        <v/>
      </c>
      <c r="O326" s="13">
        <f>AI326</f>
        <v/>
      </c>
      <c r="P326" s="13">
        <f>W326</f>
        <v/>
      </c>
      <c r="Q326" s="13">
        <f>Y326</f>
        <v/>
      </c>
      <c r="R326" s="15" t="n"/>
      <c r="S326" s="15">
        <f>LEFT(W326,2)&amp;LEFT(Y326,2)</f>
        <v/>
      </c>
      <c r="T326" s="15" t="n"/>
      <c r="U326" s="15">
        <f>IF(K326&lt;L326,1,0)</f>
        <v/>
      </c>
      <c r="V326" s="15">
        <f>IF(H326&gt;I326,1,0)</f>
        <v/>
      </c>
      <c r="W326" s="15">
        <f>IF(SUM(U326:V326)=2,"Anticipatory_Sell","No_Action")</f>
        <v/>
      </c>
      <c r="X326" s="15" t="n"/>
      <c r="Y326" s="15">
        <f>IF(SUM(Z326:AA326)=2,"Confirm_Sell","No_Action")</f>
        <v/>
      </c>
      <c r="Z326" s="15">
        <f>IF(H326&gt;I326,1,0)</f>
        <v/>
      </c>
      <c r="AA326" s="15">
        <f>IF(K326&lt;M326,1,0)</f>
        <v/>
      </c>
      <c r="AB326" s="15" t="n"/>
      <c r="AC326" s="15">
        <f>LEFT(AG326,2)&amp;LEFT(AI326,2)</f>
        <v/>
      </c>
      <c r="AD326" s="15" t="n"/>
      <c r="AE326" s="15">
        <f>IF(K326&gt;L326,1,0)</f>
        <v/>
      </c>
      <c r="AF326" s="16">
        <f>IF(H326&gt;I326,1,0)</f>
        <v/>
      </c>
      <c r="AG326" s="16">
        <f>IF(SUM(AE326:AF326)=2,"Anticipatory_Buy","No_Action")</f>
        <v/>
      </c>
      <c r="AH326" s="15" t="n"/>
      <c r="AI326" s="15">
        <f>IF(SUM(AJ326:AK326)=2,"Confirm_Buy","No_Action")</f>
        <v/>
      </c>
      <c r="AJ326" s="15">
        <f>IF(H326&gt;I326,1,0)</f>
        <v/>
      </c>
      <c r="AK326" s="15">
        <f>IF(K326&gt;M326,1,0)</f>
        <v/>
      </c>
    </row>
    <row r="327" ht="14.5" customHeight="1">
      <c r="A327" s="12" t="inlineStr">
        <is>
          <t>UNITDSPR</t>
        </is>
      </c>
      <c r="B327" s="13">
        <f>IFERROR(__xludf.DUMMYFUNCTION("GOOGLEFINANCE(""NSE:""&amp;A327,""PRICE"")"),1508.6)</f>
        <v/>
      </c>
      <c r="C327" s="13">
        <f>IFERROR(__xludf.DUMMYFUNCTION("GOOGLEFINANCE(""NSE:""&amp;A327,""PRICEOPEN"")"),1512.7)</f>
        <v/>
      </c>
      <c r="D327" s="13">
        <f>IFERROR(__xludf.DUMMYFUNCTION("GOOGLEFINANCE(""NSE:""&amp;A327,""HIGH"")"),1522.65)</f>
        <v/>
      </c>
      <c r="E327" s="13">
        <f>IFERROR(__xludf.DUMMYFUNCTION("GOOGLEFINANCE(""NSE:""&amp;A327,""LOW"")"),1492.25)</f>
        <v/>
      </c>
      <c r="F327" s="13">
        <f>IFERROR(__xludf.DUMMYFUNCTION("GOOGLEFINANCE(""NSE:""&amp;A327,""closeyest"")"),1516.6)</f>
        <v/>
      </c>
      <c r="G327" s="14">
        <f>(B327-C327)/B327</f>
        <v/>
      </c>
      <c r="H327" s="13">
        <f>IFERROR(__xludf.DUMMYFUNCTION("GOOGLEFINANCE(""NSE:""&amp;A327,""VOLUME"")"),516426)</f>
        <v/>
      </c>
      <c r="I327" s="13">
        <f>IFERROR(__xludf.DUMMYFUNCTION("AVERAGE(index(GOOGLEFINANCE(""NSE:""&amp;$A327, ""volume"", today()-21, today()-1), , 2))"),"#N/A")</f>
        <v/>
      </c>
      <c r="J327" s="14">
        <f>(H327-I327)/I327</f>
        <v/>
      </c>
      <c r="K327" s="13">
        <f>IFERROR(__xludf.DUMMYFUNCTION("AVERAGE(index(GOOGLEFINANCE(""NSE:""&amp;$A327, ""close"", today()-6, today()-1), , 2))"),"#N/A")</f>
        <v/>
      </c>
      <c r="L327" s="13">
        <f>IFERROR(__xludf.DUMMYFUNCTION("AVERAGE(index(GOOGLEFINANCE(""NSE:""&amp;$A327, ""close"", today()-14, today()-1), , 2))"),"#N/A")</f>
        <v/>
      </c>
      <c r="M327" s="13">
        <f>IFERROR(__xludf.DUMMYFUNCTION("AVERAGE(index(GOOGLEFINANCE(""NSE:""&amp;$A327, ""close"", today()-22, today()-1), , 2))"),"#N/A")</f>
        <v/>
      </c>
      <c r="N327" s="13">
        <f>AG327</f>
        <v/>
      </c>
      <c r="O327" s="13">
        <f>AI327</f>
        <v/>
      </c>
      <c r="P327" s="13">
        <f>W327</f>
        <v/>
      </c>
      <c r="Q327" s="13">
        <f>Y327</f>
        <v/>
      </c>
      <c r="R327" s="15" t="n"/>
      <c r="S327" s="15">
        <f>LEFT(W327,2)&amp;LEFT(Y327,2)</f>
        <v/>
      </c>
      <c r="T327" s="15" t="n"/>
      <c r="U327" s="15">
        <f>IF(K327&lt;L327,1,0)</f>
        <v/>
      </c>
      <c r="V327" s="15">
        <f>IF(H327&gt;I327,1,0)</f>
        <v/>
      </c>
      <c r="W327" s="15">
        <f>IF(SUM(U327:V327)=2,"Anticipatory_Sell","No_Action")</f>
        <v/>
      </c>
      <c r="X327" s="15" t="n"/>
      <c r="Y327" s="15">
        <f>IF(SUM(Z327:AA327)=2,"Confirm_Sell","No_Action")</f>
        <v/>
      </c>
      <c r="Z327" s="15">
        <f>IF(H327&gt;I327,1,0)</f>
        <v/>
      </c>
      <c r="AA327" s="15">
        <f>IF(K327&lt;M327,1,0)</f>
        <v/>
      </c>
      <c r="AB327" s="15" t="n"/>
      <c r="AC327" s="15">
        <f>LEFT(AG327,2)&amp;LEFT(AI327,2)</f>
        <v/>
      </c>
      <c r="AD327" s="15" t="n"/>
      <c r="AE327" s="15">
        <f>IF(K327&gt;L327,1,0)</f>
        <v/>
      </c>
      <c r="AF327" s="16">
        <f>IF(H327&gt;I327,1,0)</f>
        <v/>
      </c>
      <c r="AG327" s="16">
        <f>IF(SUM(AE327:AF327)=2,"Anticipatory_Buy","No_Action")</f>
        <v/>
      </c>
      <c r="AH327" s="15" t="n"/>
      <c r="AI327" s="15">
        <f>IF(SUM(AJ327:AK327)=2,"Confirm_Buy","No_Action")</f>
        <v/>
      </c>
      <c r="AJ327" s="15">
        <f>IF(H327&gt;I327,1,0)</f>
        <v/>
      </c>
      <c r="AK327" s="15">
        <f>IF(K327&gt;M327,1,0)</f>
        <v/>
      </c>
    </row>
    <row r="328" ht="14.5" customHeight="1">
      <c r="A328" s="12" t="inlineStr">
        <is>
          <t>USHAMART</t>
        </is>
      </c>
      <c r="B328" s="13">
        <f>IFERROR(__xludf.DUMMYFUNCTION("GOOGLEFINANCE(""NSE:""&amp;A328,""PRICE"")"),409.05)</f>
        <v/>
      </c>
      <c r="C328" s="13">
        <f>IFERROR(__xludf.DUMMYFUNCTION("GOOGLEFINANCE(""NSE:""&amp;A328,""PRICEOPEN"")"),407.6)</f>
        <v/>
      </c>
      <c r="D328" s="13">
        <f>IFERROR(__xludf.DUMMYFUNCTION("GOOGLEFINANCE(""NSE:""&amp;A328,""HIGH"")"),414.85)</f>
        <v/>
      </c>
      <c r="E328" s="13">
        <f>IFERROR(__xludf.DUMMYFUNCTION("GOOGLEFINANCE(""NSE:""&amp;A328,""LOW"")"),406.15)</f>
        <v/>
      </c>
      <c r="F328" s="13">
        <f>IFERROR(__xludf.DUMMYFUNCTION("GOOGLEFINANCE(""NSE:""&amp;A328,""closeyest"")"),407.6)</f>
        <v/>
      </c>
      <c r="G328" s="14">
        <f>(B328-C328)/B328</f>
        <v/>
      </c>
      <c r="H328" s="13">
        <f>IFERROR(__xludf.DUMMYFUNCTION("GOOGLEFINANCE(""NSE:""&amp;A328,""VOLUME"")"),476984)</f>
        <v/>
      </c>
      <c r="I328" s="13">
        <f>IFERROR(__xludf.DUMMYFUNCTION("AVERAGE(index(GOOGLEFINANCE(""NSE:""&amp;$A328, ""volume"", today()-21, today()-1), , 2))"),"#N/A")</f>
        <v/>
      </c>
      <c r="J328" s="14">
        <f>(H328-I328)/I328</f>
        <v/>
      </c>
      <c r="K328" s="13">
        <f>IFERROR(__xludf.DUMMYFUNCTION("AVERAGE(index(GOOGLEFINANCE(""NSE:""&amp;$A328, ""close"", today()-6, today()-1), , 2))"),"#N/A")</f>
        <v/>
      </c>
      <c r="L328" s="13">
        <f>IFERROR(__xludf.DUMMYFUNCTION("AVERAGE(index(GOOGLEFINANCE(""NSE:""&amp;$A328, ""close"", today()-14, today()-1), , 2))"),"#N/A")</f>
        <v/>
      </c>
      <c r="M328" s="13">
        <f>IFERROR(__xludf.DUMMYFUNCTION("AVERAGE(index(GOOGLEFINANCE(""NSE:""&amp;$A328, ""close"", today()-22, today()-1), , 2))"),"#N/A")</f>
        <v/>
      </c>
      <c r="N328" s="13">
        <f>AG328</f>
        <v/>
      </c>
      <c r="O328" s="13">
        <f>AI328</f>
        <v/>
      </c>
      <c r="P328" s="13">
        <f>W328</f>
        <v/>
      </c>
      <c r="Q328" s="13">
        <f>Y328</f>
        <v/>
      </c>
      <c r="R328" s="15" t="n"/>
      <c r="S328" s="15">
        <f>LEFT(W328,2)&amp;LEFT(Y328,2)</f>
        <v/>
      </c>
      <c r="T328" s="15" t="n"/>
      <c r="U328" s="15">
        <f>IF(K328&lt;L328,1,0)</f>
        <v/>
      </c>
      <c r="V328" s="15">
        <f>IF(H328&gt;I328,1,0)</f>
        <v/>
      </c>
      <c r="W328" s="15">
        <f>IF(SUM(U328:V328)=2,"Anticipatory_Sell","No_Action")</f>
        <v/>
      </c>
      <c r="X328" s="15" t="n"/>
      <c r="Y328" s="15">
        <f>IF(SUM(Z328:AA328)=2,"Confirm_Sell","No_Action")</f>
        <v/>
      </c>
      <c r="Z328" s="15">
        <f>IF(H328&gt;I328,1,0)</f>
        <v/>
      </c>
      <c r="AA328" s="15">
        <f>IF(K328&lt;M328,1,0)</f>
        <v/>
      </c>
      <c r="AB328" s="15" t="n"/>
      <c r="AC328" s="15">
        <f>LEFT(AG328,2)&amp;LEFT(AI328,2)</f>
        <v/>
      </c>
      <c r="AD328" s="15" t="n"/>
      <c r="AE328" s="15">
        <f>IF(K328&gt;L328,1,0)</f>
        <v/>
      </c>
      <c r="AF328" s="16">
        <f>IF(H328&gt;I328,1,0)</f>
        <v/>
      </c>
      <c r="AG328" s="16">
        <f>IF(SUM(AE328:AF328)=2,"Anticipatory_Buy","No_Action")</f>
        <v/>
      </c>
      <c r="AH328" s="15" t="n"/>
      <c r="AI328" s="15">
        <f>IF(SUM(AJ328:AK328)=2,"Confirm_Buy","No_Action")</f>
        <v/>
      </c>
      <c r="AJ328" s="15">
        <f>IF(H328&gt;I328,1,0)</f>
        <v/>
      </c>
      <c r="AK328" s="15">
        <f>IF(K328&gt;M328,1,0)</f>
        <v/>
      </c>
    </row>
    <row r="329" ht="14.5" customHeight="1">
      <c r="A329" s="12" t="inlineStr">
        <is>
          <t>UTIAMC</t>
        </is>
      </c>
      <c r="B329" s="13">
        <f>IFERROR(__xludf.DUMMYFUNCTION("GOOGLEFINANCE(""NSE:""&amp;A329,""PRICE"")"),1365.55)</f>
        <v/>
      </c>
      <c r="C329" s="13">
        <f>IFERROR(__xludf.DUMMYFUNCTION("GOOGLEFINANCE(""NSE:""&amp;A329,""PRICEOPEN"")"),1332.75)</f>
        <v/>
      </c>
      <c r="D329" s="13">
        <f>IFERROR(__xludf.DUMMYFUNCTION("GOOGLEFINANCE(""NSE:""&amp;A329,""HIGH"")"),1384)</f>
        <v/>
      </c>
      <c r="E329" s="13">
        <f>IFERROR(__xludf.DUMMYFUNCTION("GOOGLEFINANCE(""NSE:""&amp;A329,""LOW"")"),1330)</f>
        <v/>
      </c>
      <c r="F329" s="13">
        <f>IFERROR(__xludf.DUMMYFUNCTION("GOOGLEFINANCE(""NSE:""&amp;A329,""closeyest"")"),1325.9)</f>
        <v/>
      </c>
      <c r="G329" s="14">
        <f>(B329-C329)/B329</f>
        <v/>
      </c>
      <c r="H329" s="13">
        <f>IFERROR(__xludf.DUMMYFUNCTION("GOOGLEFINANCE(""NSE:""&amp;A329,""VOLUME"")"),412167)</f>
        <v/>
      </c>
      <c r="I329" s="13">
        <f>IFERROR(__xludf.DUMMYFUNCTION("AVERAGE(index(GOOGLEFINANCE(""NSE:""&amp;$A329, ""volume"", today()-21, today()-1), , 2))"),"#N/A")</f>
        <v/>
      </c>
      <c r="J329" s="14">
        <f>(H329-I329)/I329</f>
        <v/>
      </c>
      <c r="K329" s="13">
        <f>IFERROR(__xludf.DUMMYFUNCTION("AVERAGE(index(GOOGLEFINANCE(""NSE:""&amp;$A329, ""close"", today()-6, today()-1), , 2))"),"#N/A")</f>
        <v/>
      </c>
      <c r="L329" s="13">
        <f>IFERROR(__xludf.DUMMYFUNCTION("AVERAGE(index(GOOGLEFINANCE(""NSE:""&amp;$A329, ""close"", today()-14, today()-1), , 2))"),"#N/A")</f>
        <v/>
      </c>
      <c r="M329" s="13">
        <f>IFERROR(__xludf.DUMMYFUNCTION("AVERAGE(index(GOOGLEFINANCE(""NSE:""&amp;$A329, ""close"", today()-22, today()-1), , 2))"),"#N/A")</f>
        <v/>
      </c>
      <c r="N329" s="13">
        <f>AG329</f>
        <v/>
      </c>
      <c r="O329" s="13">
        <f>AI329</f>
        <v/>
      </c>
      <c r="P329" s="13">
        <f>W329</f>
        <v/>
      </c>
      <c r="Q329" s="13">
        <f>Y329</f>
        <v/>
      </c>
      <c r="R329" s="15" t="n"/>
      <c r="S329" s="15">
        <f>LEFT(W329,2)&amp;LEFT(Y329,2)</f>
        <v/>
      </c>
      <c r="T329" s="15" t="n"/>
      <c r="U329" s="15">
        <f>IF(K329&lt;L329,1,0)</f>
        <v/>
      </c>
      <c r="V329" s="15">
        <f>IF(H329&gt;I329,1,0)</f>
        <v/>
      </c>
      <c r="W329" s="15">
        <f>IF(SUM(U329:V329)=2,"Anticipatory_Sell","No_Action")</f>
        <v/>
      </c>
      <c r="X329" s="15" t="n"/>
      <c r="Y329" s="15">
        <f>IF(SUM(Z329:AA329)=2,"Confirm_Sell","No_Action")</f>
        <v/>
      </c>
      <c r="Z329" s="15">
        <f>IF(H329&gt;I329,1,0)</f>
        <v/>
      </c>
      <c r="AA329" s="15">
        <f>IF(K329&lt;M329,1,0)</f>
        <v/>
      </c>
      <c r="AB329" s="15" t="n"/>
      <c r="AC329" s="15">
        <f>LEFT(AG329,2)&amp;LEFT(AI329,2)</f>
        <v/>
      </c>
      <c r="AD329" s="15" t="n"/>
      <c r="AE329" s="15">
        <f>IF(K329&gt;L329,1,0)</f>
        <v/>
      </c>
      <c r="AF329" s="16">
        <f>IF(H329&gt;I329,1,0)</f>
        <v/>
      </c>
      <c r="AG329" s="16">
        <f>IF(SUM(AE329:AF329)=2,"Anticipatory_Buy","No_Action")</f>
        <v/>
      </c>
      <c r="AH329" s="15" t="n"/>
      <c r="AI329" s="15">
        <f>IF(SUM(AJ329:AK329)=2,"Confirm_Buy","No_Action")</f>
        <v/>
      </c>
      <c r="AJ329" s="15">
        <f>IF(H329&gt;I329,1,0)</f>
        <v/>
      </c>
      <c r="AK329" s="15">
        <f>IF(K329&gt;M329,1,0)</f>
        <v/>
      </c>
    </row>
    <row r="330" ht="14.5" customHeight="1">
      <c r="A330" s="12" t="inlineStr">
        <is>
          <t>VADILALIND</t>
        </is>
      </c>
      <c r="B330" s="13">
        <f>IFERROR(__xludf.DUMMYFUNCTION("GOOGLEFINANCE(""NSE:""&amp;A330,""PRICE"")"),4182)</f>
        <v/>
      </c>
      <c r="C330" s="13">
        <f>IFERROR(__xludf.DUMMYFUNCTION("GOOGLEFINANCE(""NSE:""&amp;A330,""PRICEOPEN"")"),4266.45)</f>
        <v/>
      </c>
      <c r="D330" s="13">
        <f>IFERROR(__xludf.DUMMYFUNCTION("GOOGLEFINANCE(""NSE:""&amp;A330,""HIGH"")"),4270.45)</f>
        <v/>
      </c>
      <c r="E330" s="13">
        <f>IFERROR(__xludf.DUMMYFUNCTION("GOOGLEFINANCE(""NSE:""&amp;A330,""LOW"")"),4155)</f>
        <v/>
      </c>
      <c r="F330" s="13">
        <f>IFERROR(__xludf.DUMMYFUNCTION("GOOGLEFINANCE(""NSE:""&amp;A330,""closeyest"")"),4203.4)</f>
        <v/>
      </c>
      <c r="G330" s="14">
        <f>(B330-C330)/B330</f>
        <v/>
      </c>
      <c r="H330" s="13">
        <f>IFERROR(__xludf.DUMMYFUNCTION("GOOGLEFINANCE(""NSE:""&amp;A330,""VOLUME"")"),4262)</f>
        <v/>
      </c>
      <c r="I330" s="13">
        <f>IFERROR(__xludf.DUMMYFUNCTION("AVERAGE(index(GOOGLEFINANCE(""NSE:""&amp;$A330, ""volume"", today()-21, today()-1), , 2))"),"#N/A")</f>
        <v/>
      </c>
      <c r="J330" s="14">
        <f>(H330-I330)/I330</f>
        <v/>
      </c>
      <c r="K330" s="13">
        <f>IFERROR(__xludf.DUMMYFUNCTION("AVERAGE(index(GOOGLEFINANCE(""NSE:""&amp;$A330, ""close"", today()-6, today()-1), , 2))"),"#N/A")</f>
        <v/>
      </c>
      <c r="L330" s="13">
        <f>IFERROR(__xludf.DUMMYFUNCTION("AVERAGE(index(GOOGLEFINANCE(""NSE:""&amp;$A330, ""close"", today()-14, today()-1), , 2))"),"#N/A")</f>
        <v/>
      </c>
      <c r="M330" s="13">
        <f>IFERROR(__xludf.DUMMYFUNCTION("AVERAGE(index(GOOGLEFINANCE(""NSE:""&amp;$A330, ""close"", today()-22, today()-1), , 2))"),"#N/A")</f>
        <v/>
      </c>
      <c r="N330" s="13">
        <f>AG330</f>
        <v/>
      </c>
      <c r="O330" s="13">
        <f>AI330</f>
        <v/>
      </c>
      <c r="P330" s="13">
        <f>W330</f>
        <v/>
      </c>
      <c r="Q330" s="13">
        <f>Y330</f>
        <v/>
      </c>
      <c r="R330" s="15" t="n"/>
      <c r="S330" s="15">
        <f>LEFT(W330,2)&amp;LEFT(Y330,2)</f>
        <v/>
      </c>
      <c r="T330" s="15" t="n"/>
      <c r="U330" s="15">
        <f>IF(K330&lt;L330,1,0)</f>
        <v/>
      </c>
      <c r="V330" s="15">
        <f>IF(H330&gt;I330,1,0)</f>
        <v/>
      </c>
      <c r="W330" s="15">
        <f>IF(SUM(U330:V330)=2,"Anticipatory_Sell","No_Action")</f>
        <v/>
      </c>
      <c r="X330" s="15" t="n"/>
      <c r="Y330" s="15">
        <f>IF(SUM(Z330:AA330)=2,"Confirm_Sell","No_Action")</f>
        <v/>
      </c>
      <c r="Z330" s="15">
        <f>IF(H330&gt;I330,1,0)</f>
        <v/>
      </c>
      <c r="AA330" s="15">
        <f>IF(K330&lt;M330,1,0)</f>
        <v/>
      </c>
      <c r="AB330" s="15" t="n"/>
      <c r="AC330" s="15">
        <f>LEFT(AG330,2)&amp;LEFT(AI330,2)</f>
        <v/>
      </c>
      <c r="AD330" s="15" t="n"/>
      <c r="AE330" s="15">
        <f>IF(K330&gt;L330,1,0)</f>
        <v/>
      </c>
      <c r="AF330" s="16">
        <f>IF(H330&gt;I330,1,0)</f>
        <v/>
      </c>
      <c r="AG330" s="16">
        <f>IF(SUM(AE330:AF330)=2,"Anticipatory_Buy","No_Action")</f>
        <v/>
      </c>
      <c r="AH330" s="15" t="n"/>
      <c r="AI330" s="15">
        <f>IF(SUM(AJ330:AK330)=2,"Confirm_Buy","No_Action")</f>
        <v/>
      </c>
      <c r="AJ330" s="15">
        <f>IF(H330&gt;I330,1,0)</f>
        <v/>
      </c>
      <c r="AK330" s="15">
        <f>IF(K330&gt;M330,1,0)</f>
        <v/>
      </c>
    </row>
    <row r="331" ht="14.5" customHeight="1">
      <c r="A331" s="12" t="inlineStr">
        <is>
          <t>VBL</t>
        </is>
      </c>
      <c r="B331" s="13">
        <f>IFERROR(__xludf.DUMMYFUNCTION("GOOGLEFINANCE(""NSE:""&amp;A331,""PRICE"")"),642.75)</f>
        <v/>
      </c>
      <c r="C331" s="13">
        <f>IFERROR(__xludf.DUMMYFUNCTION("GOOGLEFINANCE(""NSE:""&amp;A331,""PRICEOPEN"")"),644)</f>
        <v/>
      </c>
      <c r="D331" s="13">
        <f>IFERROR(__xludf.DUMMYFUNCTION("GOOGLEFINANCE(""NSE:""&amp;A331,""HIGH"")"),650)</f>
        <v/>
      </c>
      <c r="E331" s="13">
        <f>IFERROR(__xludf.DUMMYFUNCTION("GOOGLEFINANCE(""NSE:""&amp;A331,""LOW"")"),639.2)</f>
        <v/>
      </c>
      <c r="F331" s="13">
        <f>IFERROR(__xludf.DUMMYFUNCTION("GOOGLEFINANCE(""NSE:""&amp;A331,""closeyest"")"),644.05)</f>
        <v/>
      </c>
      <c r="G331" s="14">
        <f>(B331-C331)/B331</f>
        <v/>
      </c>
      <c r="H331" s="13">
        <f>IFERROR(__xludf.DUMMYFUNCTION("GOOGLEFINANCE(""NSE:""&amp;A331,""VOLUME"")"),6600185)</f>
        <v/>
      </c>
      <c r="I331" s="13">
        <f>IFERROR(__xludf.DUMMYFUNCTION("AVERAGE(index(GOOGLEFINANCE(""NSE:""&amp;$A331, ""volume"", today()-21, today()-1), , 2))"),"#N/A")</f>
        <v/>
      </c>
      <c r="J331" s="14">
        <f>(H331-I331)/I331</f>
        <v/>
      </c>
      <c r="K331" s="13">
        <f>IFERROR(__xludf.DUMMYFUNCTION("AVERAGE(index(GOOGLEFINANCE(""NSE:""&amp;$A331, ""close"", today()-6, today()-1), , 2))"),"#N/A")</f>
        <v/>
      </c>
      <c r="L331" s="13">
        <f>IFERROR(__xludf.DUMMYFUNCTION("AVERAGE(index(GOOGLEFINANCE(""NSE:""&amp;$A331, ""close"", today()-14, today()-1), , 2))"),"#N/A")</f>
        <v/>
      </c>
      <c r="M331" s="13">
        <f>IFERROR(__xludf.DUMMYFUNCTION("AVERAGE(index(GOOGLEFINANCE(""NSE:""&amp;$A331, ""close"", today()-22, today()-1), , 2))"),"#N/A")</f>
        <v/>
      </c>
      <c r="N331" s="13">
        <f>AG331</f>
        <v/>
      </c>
      <c r="O331" s="13">
        <f>AI331</f>
        <v/>
      </c>
      <c r="P331" s="13">
        <f>W331</f>
        <v/>
      </c>
      <c r="Q331" s="13">
        <f>Y331</f>
        <v/>
      </c>
      <c r="R331" s="15" t="n"/>
      <c r="S331" s="15">
        <f>LEFT(W331,2)&amp;LEFT(Y331,2)</f>
        <v/>
      </c>
      <c r="T331" s="15" t="n"/>
      <c r="U331" s="15">
        <f>IF(K331&lt;L331,1,0)</f>
        <v/>
      </c>
      <c r="V331" s="15">
        <f>IF(H331&gt;I331,1,0)</f>
        <v/>
      </c>
      <c r="W331" s="15">
        <f>IF(SUM(U331:V331)=2,"Anticipatory_Sell","No_Action")</f>
        <v/>
      </c>
      <c r="X331" s="15" t="n"/>
      <c r="Y331" s="15">
        <f>IF(SUM(Z331:AA331)=2,"Confirm_Sell","No_Action")</f>
        <v/>
      </c>
      <c r="Z331" s="15">
        <f>IF(H331&gt;I331,1,0)</f>
        <v/>
      </c>
      <c r="AA331" s="15">
        <f>IF(K331&lt;M331,1,0)</f>
        <v/>
      </c>
      <c r="AB331" s="15" t="n"/>
      <c r="AC331" s="15">
        <f>LEFT(AG331,2)&amp;LEFT(AI331,2)</f>
        <v/>
      </c>
      <c r="AD331" s="15" t="n"/>
      <c r="AE331" s="15">
        <f>IF(K331&gt;L331,1,0)</f>
        <v/>
      </c>
      <c r="AF331" s="16">
        <f>IF(H331&gt;I331,1,0)</f>
        <v/>
      </c>
      <c r="AG331" s="16">
        <f>IF(SUM(AE331:AF331)=2,"Anticipatory_Buy","No_Action")</f>
        <v/>
      </c>
      <c r="AH331" s="15" t="n"/>
      <c r="AI331" s="15">
        <f>IF(SUM(AJ331:AK331)=2,"Confirm_Buy","No_Action")</f>
        <v/>
      </c>
      <c r="AJ331" s="15">
        <f>IF(H331&gt;I331,1,0)</f>
        <v/>
      </c>
      <c r="AK331" s="15">
        <f>IF(K331&gt;M331,1,0)</f>
        <v/>
      </c>
    </row>
    <row r="332" ht="14.5" customHeight="1">
      <c r="A332" s="12" t="inlineStr">
        <is>
          <t>VEDL</t>
        </is>
      </c>
      <c r="B332" s="13">
        <f>IFERROR(__xludf.DUMMYFUNCTION("GOOGLEFINANCE(""NSE:""&amp;A332,""PRICE"")"),496.25)</f>
        <v/>
      </c>
      <c r="C332" s="13">
        <f>IFERROR(__xludf.DUMMYFUNCTION("GOOGLEFINANCE(""NSE:""&amp;A332,""PRICEOPEN"")"),499.95)</f>
        <v/>
      </c>
      <c r="D332" s="13">
        <f>IFERROR(__xludf.DUMMYFUNCTION("GOOGLEFINANCE(""NSE:""&amp;A332,""HIGH"")"),501.7)</f>
        <v/>
      </c>
      <c r="E332" s="13">
        <f>IFERROR(__xludf.DUMMYFUNCTION("GOOGLEFINANCE(""NSE:""&amp;A332,""LOW"")"),488.8)</f>
        <v/>
      </c>
      <c r="F332" s="13">
        <f>IFERROR(__xludf.DUMMYFUNCTION("GOOGLEFINANCE(""NSE:""&amp;A332,""closeyest"")"),501.4)</f>
        <v/>
      </c>
      <c r="G332" s="14">
        <f>(B332-C332)/B332</f>
        <v/>
      </c>
      <c r="H332" s="13">
        <f>IFERROR(__xludf.DUMMYFUNCTION("GOOGLEFINANCE(""NSE:""&amp;A332,""VOLUME"")"),11524481)</f>
        <v/>
      </c>
      <c r="I332" s="13">
        <f>IFERROR(__xludf.DUMMYFUNCTION("AVERAGE(index(GOOGLEFINANCE(""NSE:""&amp;$A332, ""volume"", today()-21, today()-1), , 2))"),"#N/A")</f>
        <v/>
      </c>
      <c r="J332" s="14">
        <f>(H332-I332)/I332</f>
        <v/>
      </c>
      <c r="K332" s="13">
        <f>IFERROR(__xludf.DUMMYFUNCTION("AVERAGE(index(GOOGLEFINANCE(""NSE:""&amp;$A332, ""close"", today()-6, today()-1), , 2))"),"#N/A")</f>
        <v/>
      </c>
      <c r="L332" s="13">
        <f>IFERROR(__xludf.DUMMYFUNCTION("AVERAGE(index(GOOGLEFINANCE(""NSE:""&amp;$A332, ""close"", today()-14, today()-1), , 2))"),"#N/A")</f>
        <v/>
      </c>
      <c r="M332" s="13">
        <f>IFERROR(__xludf.DUMMYFUNCTION("AVERAGE(index(GOOGLEFINANCE(""NSE:""&amp;$A332, ""close"", today()-22, today()-1), , 2))"),"#N/A")</f>
        <v/>
      </c>
      <c r="N332" s="13">
        <f>AG332</f>
        <v/>
      </c>
      <c r="O332" s="13">
        <f>AI332</f>
        <v/>
      </c>
      <c r="P332" s="13">
        <f>W332</f>
        <v/>
      </c>
      <c r="Q332" s="13">
        <f>Y332</f>
        <v/>
      </c>
      <c r="R332" s="15" t="n"/>
      <c r="S332" s="15">
        <f>LEFT(W332,2)&amp;LEFT(Y332,2)</f>
        <v/>
      </c>
      <c r="T332" s="15" t="n"/>
      <c r="U332" s="15">
        <f>IF(K332&lt;L332,1,0)</f>
        <v/>
      </c>
      <c r="V332" s="15">
        <f>IF(H332&gt;I332,1,0)</f>
        <v/>
      </c>
      <c r="W332" s="15">
        <f>IF(SUM(U332:V332)=2,"Anticipatory_Sell","No_Action")</f>
        <v/>
      </c>
      <c r="X332" s="15" t="n"/>
      <c r="Y332" s="15">
        <f>IF(SUM(Z332:AA332)=2,"Confirm_Sell","No_Action")</f>
        <v/>
      </c>
      <c r="Z332" s="15">
        <f>IF(H332&gt;I332,1,0)</f>
        <v/>
      </c>
      <c r="AA332" s="15">
        <f>IF(K332&lt;M332,1,0)</f>
        <v/>
      </c>
      <c r="AB332" s="15" t="n"/>
      <c r="AC332" s="15">
        <f>LEFT(AG332,2)&amp;LEFT(AI332,2)</f>
        <v/>
      </c>
      <c r="AD332" s="15" t="n"/>
      <c r="AE332" s="15">
        <f>IF(K332&gt;L332,1,0)</f>
        <v/>
      </c>
      <c r="AF332" s="16">
        <f>IF(H332&gt;I332,1,0)</f>
        <v/>
      </c>
      <c r="AG332" s="16">
        <f>IF(SUM(AE332:AF332)=2,"Anticipatory_Buy","No_Action")</f>
        <v/>
      </c>
      <c r="AH332" s="15" t="n"/>
      <c r="AI332" s="15">
        <f>IF(SUM(AJ332:AK332)=2,"Confirm_Buy","No_Action")</f>
        <v/>
      </c>
      <c r="AJ332" s="15">
        <f>IF(H332&gt;I332,1,0)</f>
        <v/>
      </c>
      <c r="AK332" s="15">
        <f>IF(K332&gt;M332,1,0)</f>
        <v/>
      </c>
    </row>
    <row r="333" ht="14.5" customHeight="1">
      <c r="A333" s="12" t="inlineStr">
        <is>
          <t>VIDHIING</t>
        </is>
      </c>
      <c r="B333" s="13">
        <f>IFERROR(__xludf.DUMMYFUNCTION("GOOGLEFINANCE(""NSE:""&amp;A333,""PRICE"")"),534.5)</f>
        <v/>
      </c>
      <c r="C333" s="13">
        <f>IFERROR(__xludf.DUMMYFUNCTION("GOOGLEFINANCE(""NSE:""&amp;A333,""PRICEOPEN"")"),485.9)</f>
        <v/>
      </c>
      <c r="D333" s="13">
        <f>IFERROR(__xludf.DUMMYFUNCTION("GOOGLEFINANCE(""NSE:""&amp;A333,""HIGH"")"),534.5)</f>
        <v/>
      </c>
      <c r="E333" s="13">
        <f>IFERROR(__xludf.DUMMYFUNCTION("GOOGLEFINANCE(""NSE:""&amp;A333,""LOW"")"),480.15)</f>
        <v/>
      </c>
      <c r="F333" s="13">
        <f>IFERROR(__xludf.DUMMYFUNCTION("GOOGLEFINANCE(""NSE:""&amp;A333,""closeyest"")"),480.5)</f>
        <v/>
      </c>
      <c r="G333" s="14">
        <f>(B333-C333)/B333</f>
        <v/>
      </c>
      <c r="H333" s="13">
        <f>IFERROR(__xludf.DUMMYFUNCTION("GOOGLEFINANCE(""NSE:""&amp;A333,""VOLUME"")"),447563)</f>
        <v/>
      </c>
      <c r="I333" s="13">
        <f>IFERROR(__xludf.DUMMYFUNCTION("AVERAGE(index(GOOGLEFINANCE(""NSE:""&amp;$A333, ""volume"", today()-21, today()-1), , 2))"),"#N/A")</f>
        <v/>
      </c>
      <c r="J333" s="14">
        <f>(H333-I333)/I333</f>
        <v/>
      </c>
      <c r="K333" s="13">
        <f>IFERROR(__xludf.DUMMYFUNCTION("AVERAGE(index(GOOGLEFINANCE(""NSE:""&amp;$A333, ""close"", today()-6, today()-1), , 2))"),"#N/A")</f>
        <v/>
      </c>
      <c r="L333" s="13">
        <f>IFERROR(__xludf.DUMMYFUNCTION("AVERAGE(index(GOOGLEFINANCE(""NSE:""&amp;$A333, ""close"", today()-14, today()-1), , 2))"),"#N/A")</f>
        <v/>
      </c>
      <c r="M333" s="13">
        <f>IFERROR(__xludf.DUMMYFUNCTION("AVERAGE(index(GOOGLEFINANCE(""NSE:""&amp;$A333, ""close"", today()-22, today()-1), , 2))"),"#N/A")</f>
        <v/>
      </c>
      <c r="N333" s="13">
        <f>AG333</f>
        <v/>
      </c>
      <c r="O333" s="13">
        <f>AI333</f>
        <v/>
      </c>
      <c r="P333" s="13">
        <f>W333</f>
        <v/>
      </c>
      <c r="Q333" s="13">
        <f>Y333</f>
        <v/>
      </c>
      <c r="R333" s="15" t="n"/>
      <c r="S333" s="15">
        <f>LEFT(W333,2)&amp;LEFT(Y333,2)</f>
        <v/>
      </c>
      <c r="T333" s="15" t="n"/>
      <c r="U333" s="15">
        <f>IF(K333&lt;L333,1,0)</f>
        <v/>
      </c>
      <c r="V333" s="15">
        <f>IF(H333&gt;I333,1,0)</f>
        <v/>
      </c>
      <c r="W333" s="15">
        <f>IF(SUM(U333:V333)=2,"Anticipatory_Sell","No_Action")</f>
        <v/>
      </c>
      <c r="X333" s="15" t="n"/>
      <c r="Y333" s="15">
        <f>IF(SUM(Z333:AA333)=2,"Confirm_Sell","No_Action")</f>
        <v/>
      </c>
      <c r="Z333" s="15">
        <f>IF(H333&gt;I333,1,0)</f>
        <v/>
      </c>
      <c r="AA333" s="15">
        <f>IF(K333&lt;M333,1,0)</f>
        <v/>
      </c>
      <c r="AB333" s="15" t="n"/>
      <c r="AC333" s="15">
        <f>LEFT(AG333,2)&amp;LEFT(AI333,2)</f>
        <v/>
      </c>
      <c r="AD333" s="15" t="n"/>
      <c r="AE333" s="15">
        <f>IF(K333&gt;L333,1,0)</f>
        <v/>
      </c>
      <c r="AF333" s="16">
        <f>IF(H333&gt;I333,1,0)</f>
        <v/>
      </c>
      <c r="AG333" s="16">
        <f>IF(SUM(AE333:AF333)=2,"Anticipatory_Buy","No_Action")</f>
        <v/>
      </c>
      <c r="AH333" s="15" t="n"/>
      <c r="AI333" s="15">
        <f>IF(SUM(AJ333:AK333)=2,"Confirm_Buy","No_Action")</f>
        <v/>
      </c>
      <c r="AJ333" s="15">
        <f>IF(H333&gt;I333,1,0)</f>
        <v/>
      </c>
      <c r="AK333" s="15">
        <f>IF(K333&gt;M333,1,0)</f>
        <v/>
      </c>
    </row>
    <row r="334" ht="14.5" customHeight="1">
      <c r="A334" s="12" t="inlineStr">
        <is>
          <t>VIJAYA</t>
        </is>
      </c>
      <c r="B334" s="13">
        <f>IFERROR(__xludf.DUMMYFUNCTION("GOOGLEFINANCE(""NSE:""&amp;A334,""PRICE"")"),1124)</f>
        <v/>
      </c>
      <c r="C334" s="13">
        <f>IFERROR(__xludf.DUMMYFUNCTION("GOOGLEFINANCE(""NSE:""&amp;A334,""PRICEOPEN"")"),1140)</f>
        <v/>
      </c>
      <c r="D334" s="13">
        <f>IFERROR(__xludf.DUMMYFUNCTION("GOOGLEFINANCE(""NSE:""&amp;A334,""HIGH"")"),1148.9)</f>
        <v/>
      </c>
      <c r="E334" s="13">
        <f>IFERROR(__xludf.DUMMYFUNCTION("GOOGLEFINANCE(""NSE:""&amp;A334,""LOW"")"),1122.3)</f>
        <v/>
      </c>
      <c r="F334" s="13">
        <f>IFERROR(__xludf.DUMMYFUNCTION("GOOGLEFINANCE(""NSE:""&amp;A334,""closeyest"")"),1141.95)</f>
        <v/>
      </c>
      <c r="G334" s="14">
        <f>(B334-C334)/B334</f>
        <v/>
      </c>
      <c r="H334" s="13">
        <f>IFERROR(__xludf.DUMMYFUNCTION("GOOGLEFINANCE(""NSE:""&amp;A334,""VOLUME"")"),118932)</f>
        <v/>
      </c>
      <c r="I334" s="13">
        <f>IFERROR(__xludf.DUMMYFUNCTION("AVERAGE(index(GOOGLEFINANCE(""NSE:""&amp;$A334, ""volume"", today()-21, today()-1), , 2))"),"#N/A")</f>
        <v/>
      </c>
      <c r="J334" s="14">
        <f>(H334-I334)/I334</f>
        <v/>
      </c>
      <c r="K334" s="13">
        <f>IFERROR(__xludf.DUMMYFUNCTION("AVERAGE(index(GOOGLEFINANCE(""NSE:""&amp;$A334, ""close"", today()-6, today()-1), , 2))"),"#N/A")</f>
        <v/>
      </c>
      <c r="L334" s="13">
        <f>IFERROR(__xludf.DUMMYFUNCTION("AVERAGE(index(GOOGLEFINANCE(""NSE:""&amp;$A334, ""close"", today()-14, today()-1), , 2))"),"#N/A")</f>
        <v/>
      </c>
      <c r="M334" s="13">
        <f>IFERROR(__xludf.DUMMYFUNCTION("AVERAGE(index(GOOGLEFINANCE(""NSE:""&amp;$A334, ""close"", today()-22, today()-1), , 2))"),"#N/A")</f>
        <v/>
      </c>
      <c r="N334" s="13">
        <f>AG334</f>
        <v/>
      </c>
      <c r="O334" s="13">
        <f>AI334</f>
        <v/>
      </c>
      <c r="P334" s="13">
        <f>W334</f>
        <v/>
      </c>
      <c r="Q334" s="13">
        <f>Y334</f>
        <v/>
      </c>
      <c r="R334" s="15" t="n"/>
      <c r="S334" s="15">
        <f>LEFT(W334,2)&amp;LEFT(Y334,2)</f>
        <v/>
      </c>
      <c r="T334" s="15" t="n"/>
      <c r="U334" s="15">
        <f>IF(K334&lt;L334,1,0)</f>
        <v/>
      </c>
      <c r="V334" s="15">
        <f>IF(H334&gt;I334,1,0)</f>
        <v/>
      </c>
      <c r="W334" s="15">
        <f>IF(SUM(U334:V334)=2,"Anticipatory_Sell","No_Action")</f>
        <v/>
      </c>
      <c r="X334" s="15" t="n"/>
      <c r="Y334" s="15">
        <f>IF(SUM(Z334:AA334)=2,"Confirm_Sell","No_Action")</f>
        <v/>
      </c>
      <c r="Z334" s="15">
        <f>IF(H334&gt;I334,1,0)</f>
        <v/>
      </c>
      <c r="AA334" s="15">
        <f>IF(K334&lt;M334,1,0)</f>
        <v/>
      </c>
      <c r="AB334" s="15" t="n"/>
      <c r="AC334" s="15">
        <f>LEFT(AG334,2)&amp;LEFT(AI334,2)</f>
        <v/>
      </c>
      <c r="AD334" s="15" t="n"/>
      <c r="AE334" s="15">
        <f>IF(K334&gt;L334,1,0)</f>
        <v/>
      </c>
      <c r="AF334" s="16">
        <f>IF(H334&gt;I334,1,0)</f>
        <v/>
      </c>
      <c r="AG334" s="16">
        <f>IF(SUM(AE334:AF334)=2,"Anticipatory_Buy","No_Action")</f>
        <v/>
      </c>
      <c r="AH334" s="15" t="n"/>
      <c r="AI334" s="15">
        <f>IF(SUM(AJ334:AK334)=2,"Confirm_Buy","No_Action")</f>
        <v/>
      </c>
      <c r="AJ334" s="15">
        <f>IF(H334&gt;I334,1,0)</f>
        <v/>
      </c>
      <c r="AK334" s="15">
        <f>IF(K334&gt;M334,1,0)</f>
        <v/>
      </c>
    </row>
    <row r="335" ht="14.5" customHeight="1">
      <c r="A335" s="12" t="inlineStr">
        <is>
          <t>VIMTALABS</t>
        </is>
      </c>
      <c r="B335" s="13">
        <f>IFERROR(__xludf.DUMMYFUNCTION("GOOGLEFINANCE(""NSE:""&amp;A335,""PRICE"")"),911.5)</f>
        <v/>
      </c>
      <c r="C335" s="13">
        <f>IFERROR(__xludf.DUMMYFUNCTION("GOOGLEFINANCE(""NSE:""&amp;A335,""PRICEOPEN"")"),936.7)</f>
        <v/>
      </c>
      <c r="D335" s="13">
        <f>IFERROR(__xludf.DUMMYFUNCTION("GOOGLEFINANCE(""NSE:""&amp;A335,""HIGH"")"),936.7)</f>
        <v/>
      </c>
      <c r="E335" s="13">
        <f>IFERROR(__xludf.DUMMYFUNCTION("GOOGLEFINANCE(""NSE:""&amp;A335,""LOW"")"),906.65)</f>
        <v/>
      </c>
      <c r="F335" s="13">
        <f>IFERROR(__xludf.DUMMYFUNCTION("GOOGLEFINANCE(""NSE:""&amp;A335,""closeyest"")"),936.7)</f>
        <v/>
      </c>
      <c r="G335" s="14">
        <f>(B335-C335)/B335</f>
        <v/>
      </c>
      <c r="H335" s="13">
        <f>IFERROR(__xludf.DUMMYFUNCTION("GOOGLEFINANCE(""NSE:""&amp;A335,""VOLUME"")"),55352)</f>
        <v/>
      </c>
      <c r="I335" s="13">
        <f>IFERROR(__xludf.DUMMYFUNCTION("AVERAGE(index(GOOGLEFINANCE(""NSE:""&amp;$A335, ""volume"", today()-21, today()-1), , 2))"),"#N/A")</f>
        <v/>
      </c>
      <c r="J335" s="14">
        <f>(H335-I335)/I335</f>
        <v/>
      </c>
      <c r="K335" s="13">
        <f>IFERROR(__xludf.DUMMYFUNCTION("AVERAGE(index(GOOGLEFINANCE(""NSE:""&amp;$A335, ""close"", today()-6, today()-1), , 2))"),"#N/A")</f>
        <v/>
      </c>
      <c r="L335" s="13">
        <f>IFERROR(__xludf.DUMMYFUNCTION("AVERAGE(index(GOOGLEFINANCE(""NSE:""&amp;$A335, ""close"", today()-14, today()-1), , 2))"),"#N/A")</f>
        <v/>
      </c>
      <c r="M335" s="13">
        <f>IFERROR(__xludf.DUMMYFUNCTION("AVERAGE(index(GOOGLEFINANCE(""NSE:""&amp;$A335, ""close"", today()-22, today()-1), , 2))"),"#N/A")</f>
        <v/>
      </c>
      <c r="N335" s="13">
        <f>AG335</f>
        <v/>
      </c>
      <c r="O335" s="13">
        <f>AI335</f>
        <v/>
      </c>
      <c r="P335" s="13">
        <f>W335</f>
        <v/>
      </c>
      <c r="Q335" s="13">
        <f>Y335</f>
        <v/>
      </c>
      <c r="R335" s="15" t="n"/>
      <c r="S335" s="15">
        <f>LEFT(W335,2)&amp;LEFT(Y335,2)</f>
        <v/>
      </c>
      <c r="T335" s="15" t="n"/>
      <c r="U335" s="15">
        <f>IF(K335&lt;L335,1,0)</f>
        <v/>
      </c>
      <c r="V335" s="15">
        <f>IF(H335&gt;I335,1,0)</f>
        <v/>
      </c>
      <c r="W335" s="15">
        <f>IF(SUM(U335:V335)=2,"Anticipatory_Sell","No_Action")</f>
        <v/>
      </c>
      <c r="X335" s="15" t="n"/>
      <c r="Y335" s="15">
        <f>IF(SUM(Z335:AA335)=2,"Confirm_Sell","No_Action")</f>
        <v/>
      </c>
      <c r="Z335" s="15">
        <f>IF(H335&gt;I335,1,0)</f>
        <v/>
      </c>
      <c r="AA335" s="15">
        <f>IF(K335&lt;M335,1,0)</f>
        <v/>
      </c>
      <c r="AB335" s="15" t="n"/>
      <c r="AC335" s="15">
        <f>LEFT(AG335,2)&amp;LEFT(AI335,2)</f>
        <v/>
      </c>
      <c r="AD335" s="15" t="n"/>
      <c r="AE335" s="15">
        <f>IF(K335&gt;L335,1,0)</f>
        <v/>
      </c>
      <c r="AF335" s="16">
        <f>IF(H335&gt;I335,1,0)</f>
        <v/>
      </c>
      <c r="AG335" s="16">
        <f>IF(SUM(AE335:AF335)=2,"Anticipatory_Buy","No_Action")</f>
        <v/>
      </c>
      <c r="AH335" s="15" t="n"/>
      <c r="AI335" s="15">
        <f>IF(SUM(AJ335:AK335)=2,"Confirm_Buy","No_Action")</f>
        <v/>
      </c>
      <c r="AJ335" s="15">
        <f>IF(H335&gt;I335,1,0)</f>
        <v/>
      </c>
      <c r="AK335" s="15">
        <f>IF(K335&gt;M335,1,0)</f>
        <v/>
      </c>
    </row>
    <row r="336" ht="14.5" customHeight="1">
      <c r="A336" s="12" t="inlineStr">
        <is>
          <t>VINATIORGA</t>
        </is>
      </c>
      <c r="B336" s="13">
        <f>IFERROR(__xludf.DUMMYFUNCTION("GOOGLEFINANCE(""NSE:""&amp;A336,""PRICE"")"),1815)</f>
        <v/>
      </c>
      <c r="C336" s="13">
        <f>IFERROR(__xludf.DUMMYFUNCTION("GOOGLEFINANCE(""NSE:""&amp;A336,""PRICEOPEN"")"),1839.35)</f>
        <v/>
      </c>
      <c r="D336" s="13">
        <f>IFERROR(__xludf.DUMMYFUNCTION("GOOGLEFINANCE(""NSE:""&amp;A336,""HIGH"")"),1848.9)</f>
        <v/>
      </c>
      <c r="E336" s="13">
        <f>IFERROR(__xludf.DUMMYFUNCTION("GOOGLEFINANCE(""NSE:""&amp;A336,""LOW"")"),1808)</f>
        <v/>
      </c>
      <c r="F336" s="13">
        <f>IFERROR(__xludf.DUMMYFUNCTION("GOOGLEFINANCE(""NSE:""&amp;A336,""closeyest"")"),1839.35)</f>
        <v/>
      </c>
      <c r="G336" s="14">
        <f>(B336-C336)/B336</f>
        <v/>
      </c>
      <c r="H336" s="13">
        <f>IFERROR(__xludf.DUMMYFUNCTION("GOOGLEFINANCE(""NSE:""&amp;A336,""VOLUME"")"),22987)</f>
        <v/>
      </c>
      <c r="I336" s="13">
        <f>IFERROR(__xludf.DUMMYFUNCTION("AVERAGE(index(GOOGLEFINANCE(""NSE:""&amp;$A336, ""volume"", today()-21, today()-1), , 2))"),"#N/A")</f>
        <v/>
      </c>
      <c r="J336" s="14">
        <f>(H336-I336)/I336</f>
        <v/>
      </c>
      <c r="K336" s="13">
        <f>IFERROR(__xludf.DUMMYFUNCTION("AVERAGE(index(GOOGLEFINANCE(""NSE:""&amp;$A336, ""close"", today()-6, today()-1), , 2))"),"#N/A")</f>
        <v/>
      </c>
      <c r="L336" s="13">
        <f>IFERROR(__xludf.DUMMYFUNCTION("AVERAGE(index(GOOGLEFINANCE(""NSE:""&amp;$A336, ""close"", today()-14, today()-1), , 2))"),"#N/A")</f>
        <v/>
      </c>
      <c r="M336" s="13">
        <f>IFERROR(__xludf.DUMMYFUNCTION("AVERAGE(index(GOOGLEFINANCE(""NSE:""&amp;$A336, ""close"", today()-22, today()-1), , 2))"),"#N/A")</f>
        <v/>
      </c>
      <c r="N336" s="13">
        <f>AG336</f>
        <v/>
      </c>
      <c r="O336" s="13">
        <f>AI336</f>
        <v/>
      </c>
      <c r="P336" s="13">
        <f>W336</f>
        <v/>
      </c>
      <c r="Q336" s="13">
        <f>Y336</f>
        <v/>
      </c>
      <c r="R336" s="15" t="n"/>
      <c r="S336" s="15">
        <f>LEFT(W336,2)&amp;LEFT(Y336,2)</f>
        <v/>
      </c>
      <c r="T336" s="15" t="n"/>
      <c r="U336" s="15">
        <f>IF(K336&lt;L336,1,0)</f>
        <v/>
      </c>
      <c r="V336" s="15">
        <f>IF(H336&gt;I336,1,0)</f>
        <v/>
      </c>
      <c r="W336" s="15">
        <f>IF(SUM(U336:V336)=2,"Anticipatory_Sell","No_Action")</f>
        <v/>
      </c>
      <c r="X336" s="15" t="n"/>
      <c r="Y336" s="15">
        <f>IF(SUM(Z336:AA336)=2,"Confirm_Sell","No_Action")</f>
        <v/>
      </c>
      <c r="Z336" s="15">
        <f>IF(H336&gt;I336,1,0)</f>
        <v/>
      </c>
      <c r="AA336" s="15">
        <f>IF(K336&lt;M336,1,0)</f>
        <v/>
      </c>
      <c r="AB336" s="15" t="n"/>
      <c r="AC336" s="15">
        <f>LEFT(AG336,2)&amp;LEFT(AI336,2)</f>
        <v/>
      </c>
      <c r="AD336" s="15" t="n"/>
      <c r="AE336" s="15">
        <f>IF(K336&gt;L336,1,0)</f>
        <v/>
      </c>
      <c r="AF336" s="16">
        <f>IF(H336&gt;I336,1,0)</f>
        <v/>
      </c>
      <c r="AG336" s="16">
        <f>IF(SUM(AE336:AF336)=2,"Anticipatory_Buy","No_Action")</f>
        <v/>
      </c>
      <c r="AH336" s="15" t="n"/>
      <c r="AI336" s="15">
        <f>IF(SUM(AJ336:AK336)=2,"Confirm_Buy","No_Action")</f>
        <v/>
      </c>
      <c r="AJ336" s="15">
        <f>IF(H336&gt;I336,1,0)</f>
        <v/>
      </c>
      <c r="AK336" s="15">
        <f>IF(K336&gt;M336,1,0)</f>
        <v/>
      </c>
    </row>
    <row r="337" ht="14.5" customHeight="1">
      <c r="A337" s="12" t="inlineStr">
        <is>
          <t>VISHNU</t>
        </is>
      </c>
      <c r="B337" s="13">
        <f>IFERROR(__xludf.DUMMYFUNCTION("GOOGLEFINANCE(""NSE:""&amp;A337,""PRICE"")"),400)</f>
        <v/>
      </c>
      <c r="C337" s="13">
        <f>IFERROR(__xludf.DUMMYFUNCTION("GOOGLEFINANCE(""NSE:""&amp;A337,""PRICEOPEN"")"),411.7)</f>
        <v/>
      </c>
      <c r="D337" s="13">
        <f>IFERROR(__xludf.DUMMYFUNCTION("GOOGLEFINANCE(""NSE:""&amp;A337,""HIGH"")"),420.2)</f>
        <v/>
      </c>
      <c r="E337" s="13">
        <f>IFERROR(__xludf.DUMMYFUNCTION("GOOGLEFINANCE(""NSE:""&amp;A337,""LOW"")"),398.8)</f>
        <v/>
      </c>
      <c r="F337" s="13">
        <f>IFERROR(__xludf.DUMMYFUNCTION("GOOGLEFINANCE(""NSE:""&amp;A337,""closeyest"")"),412.2)</f>
        <v/>
      </c>
      <c r="G337" s="14">
        <f>(B337-C337)/B337</f>
        <v/>
      </c>
      <c r="H337" s="13">
        <f>IFERROR(__xludf.DUMMYFUNCTION("GOOGLEFINANCE(""NSE:""&amp;A337,""VOLUME"")"),205745)</f>
        <v/>
      </c>
      <c r="I337" s="13">
        <f>IFERROR(__xludf.DUMMYFUNCTION("AVERAGE(index(GOOGLEFINANCE(""NSE:""&amp;$A337, ""volume"", today()-21, today()-1), , 2))"),"#N/A")</f>
        <v/>
      </c>
      <c r="J337" s="14">
        <f>(H337-I337)/I337</f>
        <v/>
      </c>
      <c r="K337" s="13">
        <f>IFERROR(__xludf.DUMMYFUNCTION("AVERAGE(index(GOOGLEFINANCE(""NSE:""&amp;$A337, ""close"", today()-6, today()-1), , 2))"),"#N/A")</f>
        <v/>
      </c>
      <c r="L337" s="13">
        <f>IFERROR(__xludf.DUMMYFUNCTION("AVERAGE(index(GOOGLEFINANCE(""NSE:""&amp;$A337, ""close"", today()-14, today()-1), , 2))"),"#N/A")</f>
        <v/>
      </c>
      <c r="M337" s="13">
        <f>IFERROR(__xludf.DUMMYFUNCTION("AVERAGE(index(GOOGLEFINANCE(""NSE:""&amp;$A337, ""close"", today()-22, today()-1), , 2))"),"#N/A")</f>
        <v/>
      </c>
      <c r="N337" s="13">
        <f>AG337</f>
        <v/>
      </c>
      <c r="O337" s="13">
        <f>AI337</f>
        <v/>
      </c>
      <c r="P337" s="13">
        <f>W337</f>
        <v/>
      </c>
      <c r="Q337" s="13">
        <f>Y337</f>
        <v/>
      </c>
      <c r="R337" s="15" t="n"/>
      <c r="S337" s="15">
        <f>LEFT(W337,2)&amp;LEFT(Y337,2)</f>
        <v/>
      </c>
      <c r="T337" s="15" t="n"/>
      <c r="U337" s="15">
        <f>IF(K337&lt;L337,1,0)</f>
        <v/>
      </c>
      <c r="V337" s="15">
        <f>IF(H337&gt;I337,1,0)</f>
        <v/>
      </c>
      <c r="W337" s="15">
        <f>IF(SUM(U337:V337)=2,"Anticipatory_Sell","No_Action")</f>
        <v/>
      </c>
      <c r="X337" s="15" t="n"/>
      <c r="Y337" s="15">
        <f>IF(SUM(Z337:AA337)=2,"Confirm_Sell","No_Action")</f>
        <v/>
      </c>
      <c r="Z337" s="15">
        <f>IF(H337&gt;I337,1,0)</f>
        <v/>
      </c>
      <c r="AA337" s="15">
        <f>IF(K337&lt;M337,1,0)</f>
        <v/>
      </c>
      <c r="AB337" s="15" t="n"/>
      <c r="AC337" s="15">
        <f>LEFT(AG337,2)&amp;LEFT(AI337,2)</f>
        <v/>
      </c>
      <c r="AD337" s="15" t="n"/>
      <c r="AE337" s="15">
        <f>IF(K337&gt;L337,1,0)</f>
        <v/>
      </c>
      <c r="AF337" s="16">
        <f>IF(H337&gt;I337,1,0)</f>
        <v/>
      </c>
      <c r="AG337" s="16">
        <f>IF(SUM(AE337:AF337)=2,"Anticipatory_Buy","No_Action")</f>
        <v/>
      </c>
      <c r="AH337" s="15" t="n"/>
      <c r="AI337" s="15">
        <f>IF(SUM(AJ337:AK337)=2,"Confirm_Buy","No_Action")</f>
        <v/>
      </c>
      <c r="AJ337" s="15">
        <f>IF(H337&gt;I337,1,0)</f>
        <v/>
      </c>
      <c r="AK337" s="15">
        <f>IF(K337&gt;M337,1,0)</f>
        <v/>
      </c>
    </row>
    <row r="338" ht="14.5" customHeight="1">
      <c r="A338" s="12" t="inlineStr">
        <is>
          <t>VOLTAS</t>
        </is>
      </c>
      <c r="B338" s="13">
        <f>IFERROR(__xludf.DUMMYFUNCTION("GOOGLEFINANCE(""NSE:""&amp;A338,""PRICE"")"),1762.95)</f>
        <v/>
      </c>
      <c r="C338" s="13">
        <f>IFERROR(__xludf.DUMMYFUNCTION("GOOGLEFINANCE(""NSE:""&amp;A338,""PRICEOPEN"")"),1714.1)</f>
        <v/>
      </c>
      <c r="D338" s="13">
        <f>IFERROR(__xludf.DUMMYFUNCTION("GOOGLEFINANCE(""NSE:""&amp;A338,""HIGH"")"),1767)</f>
        <v/>
      </c>
      <c r="E338" s="13">
        <f>IFERROR(__xludf.DUMMYFUNCTION("GOOGLEFINANCE(""NSE:""&amp;A338,""LOW"")"),1713.45)</f>
        <v/>
      </c>
      <c r="F338" s="13">
        <f>IFERROR(__xludf.DUMMYFUNCTION("GOOGLEFINANCE(""NSE:""&amp;A338,""closeyest"")"),1710.9)</f>
        <v/>
      </c>
      <c r="G338" s="14">
        <f>(B338-C338)/B338</f>
        <v/>
      </c>
      <c r="H338" s="13">
        <f>IFERROR(__xludf.DUMMYFUNCTION("GOOGLEFINANCE(""NSE:""&amp;A338,""VOLUME"")"),1382138)</f>
        <v/>
      </c>
      <c r="I338" s="13">
        <f>IFERROR(__xludf.DUMMYFUNCTION("AVERAGE(index(GOOGLEFINANCE(""NSE:""&amp;$A338, ""volume"", today()-21, today()-1), , 2))"),"#N/A")</f>
        <v/>
      </c>
      <c r="J338" s="14">
        <f>(H338-I338)/I338</f>
        <v/>
      </c>
      <c r="K338" s="13">
        <f>IFERROR(__xludf.DUMMYFUNCTION("AVERAGE(index(GOOGLEFINANCE(""NSE:""&amp;$A338, ""close"", today()-6, today()-1), , 2))"),"#N/A")</f>
        <v/>
      </c>
      <c r="L338" s="13">
        <f>IFERROR(__xludf.DUMMYFUNCTION("AVERAGE(index(GOOGLEFINANCE(""NSE:""&amp;$A338, ""close"", today()-14, today()-1), , 2))"),"#N/A")</f>
        <v/>
      </c>
      <c r="M338" s="13">
        <f>IFERROR(__xludf.DUMMYFUNCTION("AVERAGE(index(GOOGLEFINANCE(""NSE:""&amp;$A338, ""close"", today()-22, today()-1), , 2))"),"#N/A")</f>
        <v/>
      </c>
      <c r="N338" s="13">
        <f>AG338</f>
        <v/>
      </c>
      <c r="O338" s="13">
        <f>AI338</f>
        <v/>
      </c>
      <c r="P338" s="13">
        <f>W338</f>
        <v/>
      </c>
      <c r="Q338" s="13">
        <f>Y338</f>
        <v/>
      </c>
      <c r="R338" s="15" t="n"/>
      <c r="S338" s="15">
        <f>LEFT(W338,2)&amp;LEFT(Y338,2)</f>
        <v/>
      </c>
      <c r="T338" s="15" t="n"/>
      <c r="U338" s="15">
        <f>IF(K338&lt;L338,1,0)</f>
        <v/>
      </c>
      <c r="V338" s="15">
        <f>IF(H338&gt;I338,1,0)</f>
        <v/>
      </c>
      <c r="W338" s="15">
        <f>IF(SUM(U338:V338)=2,"Anticipatory_Sell","No_Action")</f>
        <v/>
      </c>
      <c r="X338" s="15" t="n"/>
      <c r="Y338" s="15">
        <f>IF(SUM(Z338:AA338)=2,"Confirm_Sell","No_Action")</f>
        <v/>
      </c>
      <c r="Z338" s="15">
        <f>IF(H338&gt;I338,1,0)</f>
        <v/>
      </c>
      <c r="AA338" s="15">
        <f>IF(K338&lt;M338,1,0)</f>
        <v/>
      </c>
      <c r="AB338" s="15" t="n"/>
      <c r="AC338" s="15">
        <f>LEFT(AG338,2)&amp;LEFT(AI338,2)</f>
        <v/>
      </c>
      <c r="AD338" s="15" t="n"/>
      <c r="AE338" s="15">
        <f>IF(K338&gt;L338,1,0)</f>
        <v/>
      </c>
      <c r="AF338" s="16">
        <f>IF(H338&gt;I338,1,0)</f>
        <v/>
      </c>
      <c r="AG338" s="16">
        <f>IF(SUM(AE338:AF338)=2,"Anticipatory_Buy","No_Action")</f>
        <v/>
      </c>
      <c r="AH338" s="15" t="n"/>
      <c r="AI338" s="15">
        <f>IF(SUM(AJ338:AK338)=2,"Confirm_Buy","No_Action")</f>
        <v/>
      </c>
      <c r="AJ338" s="15">
        <f>IF(H338&gt;I338,1,0)</f>
        <v/>
      </c>
      <c r="AK338" s="15">
        <f>IF(K338&gt;M338,1,0)</f>
        <v/>
      </c>
    </row>
    <row r="339" ht="14.5" customHeight="1">
      <c r="A339" s="12" t="inlineStr">
        <is>
          <t>VSTIND</t>
        </is>
      </c>
      <c r="B339" s="13">
        <f>IFERROR(__xludf.DUMMYFUNCTION("GOOGLEFINANCE(""NSE:""&amp;A339,""PRICE"")"),323.4)</f>
        <v/>
      </c>
      <c r="C339" s="13">
        <f>IFERROR(__xludf.DUMMYFUNCTION("GOOGLEFINANCE(""NSE:""&amp;A339,""PRICEOPEN"")"),326.95)</f>
        <v/>
      </c>
      <c r="D339" s="13">
        <f>IFERROR(__xludf.DUMMYFUNCTION("GOOGLEFINANCE(""NSE:""&amp;A339,""HIGH"")"),327)</f>
        <v/>
      </c>
      <c r="E339" s="13">
        <f>IFERROR(__xludf.DUMMYFUNCTION("GOOGLEFINANCE(""NSE:""&amp;A339,""LOW"")"),322.2)</f>
        <v/>
      </c>
      <c r="F339" s="13">
        <f>IFERROR(__xludf.DUMMYFUNCTION("GOOGLEFINANCE(""NSE:""&amp;A339,""closeyest"")"),323.6)</f>
        <v/>
      </c>
      <c r="G339" s="14">
        <f>(B339-C339)/B339</f>
        <v/>
      </c>
      <c r="H339" s="13">
        <f>IFERROR(__xludf.DUMMYFUNCTION("GOOGLEFINANCE(""NSE:""&amp;A339,""VOLUME"")"),144664)</f>
        <v/>
      </c>
      <c r="I339" s="13">
        <f>IFERROR(__xludf.DUMMYFUNCTION("AVERAGE(index(GOOGLEFINANCE(""NSE:""&amp;$A339, ""volume"", today()-21, today()-1), , 2))"),"#N/A")</f>
        <v/>
      </c>
      <c r="J339" s="14">
        <f>(H339-I339)/I339</f>
        <v/>
      </c>
      <c r="K339" s="13">
        <f>IFERROR(__xludf.DUMMYFUNCTION("AVERAGE(index(GOOGLEFINANCE(""NSE:""&amp;$A339, ""close"", today()-6, today()-1), , 2))"),"#N/A")</f>
        <v/>
      </c>
      <c r="L339" s="13">
        <f>IFERROR(__xludf.DUMMYFUNCTION("AVERAGE(index(GOOGLEFINANCE(""NSE:""&amp;$A339, ""close"", today()-14, today()-1), , 2))"),"#N/A")</f>
        <v/>
      </c>
      <c r="M339" s="13">
        <f>IFERROR(__xludf.DUMMYFUNCTION("AVERAGE(index(GOOGLEFINANCE(""NSE:""&amp;$A339, ""close"", today()-22, today()-1), , 2))"),"#N/A")</f>
        <v/>
      </c>
      <c r="N339" s="13">
        <f>AG339</f>
        <v/>
      </c>
      <c r="O339" s="13">
        <f>AI339</f>
        <v/>
      </c>
      <c r="P339" s="13">
        <f>W339</f>
        <v/>
      </c>
      <c r="Q339" s="13">
        <f>Y339</f>
        <v/>
      </c>
      <c r="R339" s="15" t="n"/>
      <c r="S339" s="15">
        <f>LEFT(W339,2)&amp;LEFT(Y339,2)</f>
        <v/>
      </c>
      <c r="T339" s="15" t="n"/>
      <c r="U339" s="15">
        <f>IF(K339&lt;L339,1,0)</f>
        <v/>
      </c>
      <c r="V339" s="15">
        <f>IF(H339&gt;I339,1,0)</f>
        <v/>
      </c>
      <c r="W339" s="15">
        <f>IF(SUM(U339:V339)=2,"Anticipatory_Sell","No_Action")</f>
        <v/>
      </c>
      <c r="X339" s="15" t="n"/>
      <c r="Y339" s="15">
        <f>IF(SUM(Z339:AA339)=2,"Confirm_Sell","No_Action")</f>
        <v/>
      </c>
      <c r="Z339" s="15">
        <f>IF(H339&gt;I339,1,0)</f>
        <v/>
      </c>
      <c r="AA339" s="15">
        <f>IF(K339&lt;M339,1,0)</f>
        <v/>
      </c>
      <c r="AB339" s="15" t="n"/>
      <c r="AC339" s="15">
        <f>LEFT(AG339,2)&amp;LEFT(AI339,2)</f>
        <v/>
      </c>
      <c r="AD339" s="15" t="n"/>
      <c r="AE339" s="15">
        <f>IF(K339&gt;L339,1,0)</f>
        <v/>
      </c>
      <c r="AF339" s="16">
        <f>IF(H339&gt;I339,1,0)</f>
        <v/>
      </c>
      <c r="AG339" s="16">
        <f>IF(SUM(AE339:AF339)=2,"Anticipatory_Buy","No_Action")</f>
        <v/>
      </c>
      <c r="AH339" s="15" t="n"/>
      <c r="AI339" s="15">
        <f>IF(SUM(AJ339:AK339)=2,"Confirm_Buy","No_Action")</f>
        <v/>
      </c>
      <c r="AJ339" s="15">
        <f>IF(H339&gt;I339,1,0)</f>
        <v/>
      </c>
      <c r="AK339" s="15">
        <f>IF(K339&gt;M339,1,0)</f>
        <v/>
      </c>
    </row>
    <row r="340" ht="14.5" customHeight="1">
      <c r="A340" s="12" t="inlineStr">
        <is>
          <t>WELSPUNLIV</t>
        </is>
      </c>
      <c r="B340" s="13">
        <f>IFERROR(__xludf.DUMMYFUNCTION("GOOGLEFINANCE(""NSE:""&amp;A340,""PRICE"")"),173.6)</f>
        <v/>
      </c>
      <c r="C340" s="13">
        <f>IFERROR(__xludf.DUMMYFUNCTION("GOOGLEFINANCE(""NSE:""&amp;A340,""PRICEOPEN"")"),165.45)</f>
        <v/>
      </c>
      <c r="D340" s="13">
        <f>IFERROR(__xludf.DUMMYFUNCTION("GOOGLEFINANCE(""NSE:""&amp;A340,""HIGH"")"),175)</f>
        <v/>
      </c>
      <c r="E340" s="13">
        <f>IFERROR(__xludf.DUMMYFUNCTION("GOOGLEFINANCE(""NSE:""&amp;A340,""LOW"")"),165.16)</f>
        <v/>
      </c>
      <c r="F340" s="13">
        <f>IFERROR(__xludf.DUMMYFUNCTION("GOOGLEFINANCE(""NSE:""&amp;A340,""closeyest"")"),164.16)</f>
        <v/>
      </c>
      <c r="G340" s="14">
        <f>(B340-C340)/B340</f>
        <v/>
      </c>
      <c r="H340" s="13">
        <f>IFERROR(__xludf.DUMMYFUNCTION("GOOGLEFINANCE(""NSE:""&amp;A340,""VOLUME"")"),14603217)</f>
        <v/>
      </c>
      <c r="I340" s="13">
        <f>IFERROR(__xludf.DUMMYFUNCTION("AVERAGE(index(GOOGLEFINANCE(""NSE:""&amp;$A340, ""volume"", today()-21, today()-1), , 2))"),"#N/A")</f>
        <v/>
      </c>
      <c r="J340" s="14">
        <f>(H340-I340)/I340</f>
        <v/>
      </c>
      <c r="K340" s="13">
        <f>IFERROR(__xludf.DUMMYFUNCTION("AVERAGE(index(GOOGLEFINANCE(""NSE:""&amp;$A340, ""close"", today()-6, today()-1), , 2))"),"#N/A")</f>
        <v/>
      </c>
      <c r="L340" s="13">
        <f>IFERROR(__xludf.DUMMYFUNCTION("AVERAGE(index(GOOGLEFINANCE(""NSE:""&amp;$A340, ""close"", today()-14, today()-1), , 2))"),"#N/A")</f>
        <v/>
      </c>
      <c r="M340" s="13">
        <f>IFERROR(__xludf.DUMMYFUNCTION("AVERAGE(index(GOOGLEFINANCE(""NSE:""&amp;$A340, ""close"", today()-22, today()-1), , 2))"),"#N/A")</f>
        <v/>
      </c>
      <c r="N340" s="13">
        <f>AG340</f>
        <v/>
      </c>
      <c r="O340" s="13">
        <f>AI340</f>
        <v/>
      </c>
      <c r="P340" s="13">
        <f>W340</f>
        <v/>
      </c>
      <c r="Q340" s="13">
        <f>Y340</f>
        <v/>
      </c>
      <c r="R340" s="15" t="n"/>
      <c r="S340" s="15">
        <f>LEFT(W340,2)&amp;LEFT(Y340,2)</f>
        <v/>
      </c>
      <c r="T340" s="15" t="n"/>
      <c r="U340" s="15">
        <f>IF(K340&lt;L340,1,0)</f>
        <v/>
      </c>
      <c r="V340" s="15">
        <f>IF(H340&gt;I340,1,0)</f>
        <v/>
      </c>
      <c r="W340" s="15">
        <f>IF(SUM(U340:V340)=2,"Anticipatory_Sell","No_Action")</f>
        <v/>
      </c>
      <c r="X340" s="15" t="n"/>
      <c r="Y340" s="15">
        <f>IF(SUM(Z340:AA340)=2,"Confirm_Sell","No_Action")</f>
        <v/>
      </c>
      <c r="Z340" s="15">
        <f>IF(H340&gt;I340,1,0)</f>
        <v/>
      </c>
      <c r="AA340" s="15">
        <f>IF(K340&lt;M340,1,0)</f>
        <v/>
      </c>
      <c r="AB340" s="15" t="n"/>
      <c r="AC340" s="15">
        <f>LEFT(AG340,2)&amp;LEFT(AI340,2)</f>
        <v/>
      </c>
      <c r="AD340" s="15" t="n"/>
      <c r="AE340" s="15">
        <f>IF(K340&gt;L340,1,0)</f>
        <v/>
      </c>
      <c r="AF340" s="16">
        <f>IF(H340&gt;I340,1,0)</f>
        <v/>
      </c>
      <c r="AG340" s="16">
        <f>IF(SUM(AE340:AF340)=2,"Anticipatory_Buy","No_Action")</f>
        <v/>
      </c>
      <c r="AH340" s="15" t="n"/>
      <c r="AI340" s="15">
        <f>IF(SUM(AJ340:AK340)=2,"Confirm_Buy","No_Action")</f>
        <v/>
      </c>
      <c r="AJ340" s="15">
        <f>IF(H340&gt;I340,1,0)</f>
        <v/>
      </c>
      <c r="AK340" s="15">
        <f>IF(K340&gt;M340,1,0)</f>
        <v/>
      </c>
    </row>
    <row r="341" ht="14.5" customHeight="1">
      <c r="A341" s="12" t="inlineStr">
        <is>
          <t>WENDT</t>
        </is>
      </c>
      <c r="B341" s="13">
        <f>IFERROR(__xludf.DUMMYFUNCTION("GOOGLEFINANCE(""NSE:""&amp;A341,""PRICE"")"),16297.95)</f>
        <v/>
      </c>
      <c r="C341" s="13">
        <f>IFERROR(__xludf.DUMMYFUNCTION("GOOGLEFINANCE(""NSE:""&amp;A341,""PRICEOPEN"")"),15711.5)</f>
        <v/>
      </c>
      <c r="D341" s="13">
        <f>IFERROR(__xludf.DUMMYFUNCTION("GOOGLEFINANCE(""NSE:""&amp;A341,""HIGH"")"),16376)</f>
        <v/>
      </c>
      <c r="E341" s="13">
        <f>IFERROR(__xludf.DUMMYFUNCTION("GOOGLEFINANCE(""NSE:""&amp;A341,""LOW"")"),15395.55)</f>
        <v/>
      </c>
      <c r="F341" s="13">
        <f>IFERROR(__xludf.DUMMYFUNCTION("GOOGLEFINANCE(""NSE:""&amp;A341,""closeyest"")"),15866.9)</f>
        <v/>
      </c>
      <c r="G341" s="14">
        <f>(B341-C341)/B341</f>
        <v/>
      </c>
      <c r="H341" s="13">
        <f>IFERROR(__xludf.DUMMYFUNCTION("GOOGLEFINANCE(""NSE:""&amp;A341,""VOLUME"")"),739)</f>
        <v/>
      </c>
      <c r="I341" s="13">
        <f>IFERROR(__xludf.DUMMYFUNCTION("AVERAGE(index(GOOGLEFINANCE(""NSE:""&amp;$A341, ""volume"", today()-21, today()-1), , 2))"),"#N/A")</f>
        <v/>
      </c>
      <c r="J341" s="14">
        <f>(H341-I341)/I341</f>
        <v/>
      </c>
      <c r="K341" s="13">
        <f>IFERROR(__xludf.DUMMYFUNCTION("AVERAGE(index(GOOGLEFINANCE(""NSE:""&amp;$A341, ""close"", today()-6, today()-1), , 2))"),"#N/A")</f>
        <v/>
      </c>
      <c r="L341" s="13">
        <f>IFERROR(__xludf.DUMMYFUNCTION("AVERAGE(index(GOOGLEFINANCE(""NSE:""&amp;$A341, ""close"", today()-14, today()-1), , 2))"),"#N/A")</f>
        <v/>
      </c>
      <c r="M341" s="13">
        <f>IFERROR(__xludf.DUMMYFUNCTION("AVERAGE(index(GOOGLEFINANCE(""NSE:""&amp;$A341, ""close"", today()-22, today()-1), , 2))"),"#N/A")</f>
        <v/>
      </c>
      <c r="N341" s="13">
        <f>AG341</f>
        <v/>
      </c>
      <c r="O341" s="13">
        <f>AI341</f>
        <v/>
      </c>
      <c r="P341" s="13">
        <f>W341</f>
        <v/>
      </c>
      <c r="Q341" s="13">
        <f>Y341</f>
        <v/>
      </c>
      <c r="R341" s="15" t="n"/>
      <c r="S341" s="15">
        <f>LEFT(W341,2)&amp;LEFT(Y341,2)</f>
        <v/>
      </c>
      <c r="T341" s="15" t="n"/>
      <c r="U341" s="15">
        <f>IF(K341&lt;L341,1,0)</f>
        <v/>
      </c>
      <c r="V341" s="15">
        <f>IF(H341&gt;I341,1,0)</f>
        <v/>
      </c>
      <c r="W341" s="15">
        <f>IF(SUM(U341:V341)=2,"Anticipatory_Sell","No_Action")</f>
        <v/>
      </c>
      <c r="X341" s="15" t="n"/>
      <c r="Y341" s="15">
        <f>IF(SUM(Z341:AA341)=2,"Confirm_Sell","No_Action")</f>
        <v/>
      </c>
      <c r="Z341" s="15">
        <f>IF(H341&gt;I341,1,0)</f>
        <v/>
      </c>
      <c r="AA341" s="15">
        <f>IF(K341&lt;M341,1,0)</f>
        <v/>
      </c>
      <c r="AB341" s="15" t="n"/>
      <c r="AC341" s="15">
        <f>LEFT(AG341,2)&amp;LEFT(AI341,2)</f>
        <v/>
      </c>
      <c r="AD341" s="15" t="n"/>
      <c r="AE341" s="15">
        <f>IF(K341&gt;L341,1,0)</f>
        <v/>
      </c>
      <c r="AF341" s="16">
        <f>IF(H341&gt;I341,1,0)</f>
        <v/>
      </c>
      <c r="AG341" s="16">
        <f>IF(SUM(AE341:AF341)=2,"Anticipatory_Buy","No_Action")</f>
        <v/>
      </c>
      <c r="AH341" s="15" t="n"/>
      <c r="AI341" s="15">
        <f>IF(SUM(AJ341:AK341)=2,"Confirm_Buy","No_Action")</f>
        <v/>
      </c>
      <c r="AJ341" s="15">
        <f>IF(H341&gt;I341,1,0)</f>
        <v/>
      </c>
      <c r="AK341" s="15">
        <f>IF(K341&gt;M341,1,0)</f>
        <v/>
      </c>
    </row>
    <row r="342" ht="14.5" customHeight="1">
      <c r="A342" s="12" t="inlineStr">
        <is>
          <t>WSTCSTPAPR</t>
        </is>
      </c>
      <c r="B342" s="13">
        <f>IFERROR(__xludf.DUMMYFUNCTION("GOOGLEFINANCE(""NSE:""&amp;A342,""PRICE"")"),617.8)</f>
        <v/>
      </c>
      <c r="C342" s="13">
        <f>IFERROR(__xludf.DUMMYFUNCTION("GOOGLEFINANCE(""NSE:""&amp;A342,""PRICEOPEN"")"),638.3)</f>
        <v/>
      </c>
      <c r="D342" s="13">
        <f>IFERROR(__xludf.DUMMYFUNCTION("GOOGLEFINANCE(""NSE:""&amp;A342,""HIGH"")"),638.85)</f>
        <v/>
      </c>
      <c r="E342" s="13">
        <f>IFERROR(__xludf.DUMMYFUNCTION("GOOGLEFINANCE(""NSE:""&amp;A342,""LOW"")"),612.5)</f>
        <v/>
      </c>
      <c r="F342" s="13">
        <f>IFERROR(__xludf.DUMMYFUNCTION("GOOGLEFINANCE(""NSE:""&amp;A342,""closeyest"")"),632.15)</f>
        <v/>
      </c>
      <c r="G342" s="14">
        <f>(B342-C342)/B342</f>
        <v/>
      </c>
      <c r="H342" s="13">
        <f>IFERROR(__xludf.DUMMYFUNCTION("GOOGLEFINANCE(""NSE:""&amp;A342,""VOLUME"")"),125109)</f>
        <v/>
      </c>
      <c r="I342" s="13">
        <f>IFERROR(__xludf.DUMMYFUNCTION("AVERAGE(index(GOOGLEFINANCE(""NSE:""&amp;$A342, ""volume"", today()-21, today()-1), , 2))"),"#N/A")</f>
        <v/>
      </c>
      <c r="J342" s="14">
        <f>(H342-I342)/I342</f>
        <v/>
      </c>
      <c r="K342" s="13">
        <f>IFERROR(__xludf.DUMMYFUNCTION("AVERAGE(index(GOOGLEFINANCE(""NSE:""&amp;$A342, ""close"", today()-6, today()-1), , 2))"),"#N/A")</f>
        <v/>
      </c>
      <c r="L342" s="13">
        <f>IFERROR(__xludf.DUMMYFUNCTION("AVERAGE(index(GOOGLEFINANCE(""NSE:""&amp;$A342, ""close"", today()-14, today()-1), , 2))"),"#N/A")</f>
        <v/>
      </c>
      <c r="M342" s="13">
        <f>IFERROR(__xludf.DUMMYFUNCTION("AVERAGE(index(GOOGLEFINANCE(""NSE:""&amp;$A342, ""close"", today()-22, today()-1), , 2))"),"#N/A")</f>
        <v/>
      </c>
      <c r="N342" s="13">
        <f>AG342</f>
        <v/>
      </c>
      <c r="O342" s="13">
        <f>AI342</f>
        <v/>
      </c>
      <c r="P342" s="13">
        <f>W342</f>
        <v/>
      </c>
      <c r="Q342" s="13">
        <f>Y342</f>
        <v/>
      </c>
      <c r="R342" s="15" t="n"/>
      <c r="S342" s="15">
        <f>LEFT(W342,2)&amp;LEFT(Y342,2)</f>
        <v/>
      </c>
      <c r="T342" s="15" t="n"/>
      <c r="U342" s="15">
        <f>IF(K342&lt;L342,1,0)</f>
        <v/>
      </c>
      <c r="V342" s="15">
        <f>IF(H342&gt;I342,1,0)</f>
        <v/>
      </c>
      <c r="W342" s="15">
        <f>IF(SUM(U342:V342)=2,"Anticipatory_Sell","No_Action")</f>
        <v/>
      </c>
      <c r="X342" s="15" t="n"/>
      <c r="Y342" s="15">
        <f>IF(SUM(Z342:AA342)=2,"Confirm_Sell","No_Action")</f>
        <v/>
      </c>
      <c r="Z342" s="15">
        <f>IF(H342&gt;I342,1,0)</f>
        <v/>
      </c>
      <c r="AA342" s="15">
        <f>IF(K342&lt;M342,1,0)</f>
        <v/>
      </c>
      <c r="AB342" s="15" t="n"/>
      <c r="AC342" s="15">
        <f>LEFT(AG342,2)&amp;LEFT(AI342,2)</f>
        <v/>
      </c>
      <c r="AD342" s="15" t="n"/>
      <c r="AE342" s="15">
        <f>IF(K342&gt;L342,1,0)</f>
        <v/>
      </c>
      <c r="AF342" s="16">
        <f>IF(H342&gt;I342,1,0)</f>
        <v/>
      </c>
      <c r="AG342" s="16">
        <f>IF(SUM(AE342:AF342)=2,"Anticipatory_Buy","No_Action")</f>
        <v/>
      </c>
      <c r="AH342" s="15" t="n"/>
      <c r="AI342" s="15">
        <f>IF(SUM(AJ342:AK342)=2,"Confirm_Buy","No_Action")</f>
        <v/>
      </c>
      <c r="AJ342" s="15">
        <f>IF(H342&gt;I342,1,0)</f>
        <v/>
      </c>
      <c r="AK342" s="15">
        <f>IF(K342&gt;M342,1,0)</f>
        <v/>
      </c>
    </row>
    <row r="343" ht="14.5" customHeight="1">
      <c r="A343" s="12" t="inlineStr">
        <is>
          <t>XPROINDIA</t>
        </is>
      </c>
      <c r="B343" s="13">
        <f>IFERROR(__xludf.DUMMYFUNCTION("GOOGLEFINANCE(""NSE:""&amp;A343,""PRICE"")"),1548.9)</f>
        <v/>
      </c>
      <c r="C343" s="13">
        <f>IFERROR(__xludf.DUMMYFUNCTION("GOOGLEFINANCE(""NSE:""&amp;A343,""PRICEOPEN"")"),1593.55)</f>
        <v/>
      </c>
      <c r="D343" s="13">
        <f>IFERROR(__xludf.DUMMYFUNCTION("GOOGLEFINANCE(""NSE:""&amp;A343,""HIGH"")"),1610.05)</f>
        <v/>
      </c>
      <c r="E343" s="13">
        <f>IFERROR(__xludf.DUMMYFUNCTION("GOOGLEFINANCE(""NSE:""&amp;A343,""LOW"")"),1540.2)</f>
        <v/>
      </c>
      <c r="F343" s="13">
        <f>IFERROR(__xludf.DUMMYFUNCTION("GOOGLEFINANCE(""NSE:""&amp;A343,""closeyest"")"),1593.55)</f>
        <v/>
      </c>
      <c r="G343" s="14">
        <f>(B343-C343)/B343</f>
        <v/>
      </c>
      <c r="H343" s="13">
        <f>IFERROR(__xludf.DUMMYFUNCTION("GOOGLEFINANCE(""NSE:""&amp;A343,""VOLUME"")"),49957)</f>
        <v/>
      </c>
      <c r="I343" s="13">
        <f>IFERROR(__xludf.DUMMYFUNCTION("AVERAGE(index(GOOGLEFINANCE(""NSE:""&amp;$A343, ""volume"", today()-21, today()-1), , 2))"),"#N/A")</f>
        <v/>
      </c>
      <c r="J343" s="14">
        <f>(H343-I343)/I343</f>
        <v/>
      </c>
      <c r="K343" s="13">
        <f>IFERROR(__xludf.DUMMYFUNCTION("AVERAGE(index(GOOGLEFINANCE(""NSE:""&amp;$A343, ""close"", today()-6, today()-1), , 2))"),"#N/A")</f>
        <v/>
      </c>
      <c r="L343" s="13">
        <f>IFERROR(__xludf.DUMMYFUNCTION("AVERAGE(index(GOOGLEFINANCE(""NSE:""&amp;$A343, ""close"", today()-14, today()-1), , 2))"),"#N/A")</f>
        <v/>
      </c>
      <c r="M343" s="13">
        <f>IFERROR(__xludf.DUMMYFUNCTION("AVERAGE(index(GOOGLEFINANCE(""NSE:""&amp;$A343, ""close"", today()-22, today()-1), , 2))"),"#N/A")</f>
        <v/>
      </c>
      <c r="N343" s="13">
        <f>AG343</f>
        <v/>
      </c>
      <c r="O343" s="13">
        <f>AI343</f>
        <v/>
      </c>
      <c r="P343" s="13">
        <f>W343</f>
        <v/>
      </c>
      <c r="Q343" s="13">
        <f>Y343</f>
        <v/>
      </c>
      <c r="R343" s="15" t="n"/>
      <c r="S343" s="15">
        <f>LEFT(W343,2)&amp;LEFT(Y343,2)</f>
        <v/>
      </c>
      <c r="T343" s="15" t="n"/>
      <c r="U343" s="15">
        <f>IF(K343&lt;L343,1,0)</f>
        <v/>
      </c>
      <c r="V343" s="15">
        <f>IF(H343&gt;I343,1,0)</f>
        <v/>
      </c>
      <c r="W343" s="15">
        <f>IF(SUM(U343:V343)=2,"Anticipatory_Sell","No_Action")</f>
        <v/>
      </c>
      <c r="X343" s="15" t="n"/>
      <c r="Y343" s="15">
        <f>IF(SUM(Z343:AA343)=2,"Confirm_Sell","No_Action")</f>
        <v/>
      </c>
      <c r="Z343" s="15">
        <f>IF(H343&gt;I343,1,0)</f>
        <v/>
      </c>
      <c r="AA343" s="15">
        <f>IF(K343&lt;M343,1,0)</f>
        <v/>
      </c>
      <c r="AB343" s="15" t="n"/>
      <c r="AC343" s="15">
        <f>LEFT(AG343,2)&amp;LEFT(AI343,2)</f>
        <v/>
      </c>
      <c r="AD343" s="15" t="n"/>
      <c r="AE343" s="15">
        <f>IF(K343&gt;L343,1,0)</f>
        <v/>
      </c>
      <c r="AF343" s="16">
        <f>IF(H343&gt;I343,1,0)</f>
        <v/>
      </c>
      <c r="AG343" s="16">
        <f>IF(SUM(AE343:AF343)=2,"Anticipatory_Buy","No_Action")</f>
        <v/>
      </c>
      <c r="AH343" s="15" t="n"/>
      <c r="AI343" s="15">
        <f>IF(SUM(AJ343:AK343)=2,"Confirm_Buy","No_Action")</f>
        <v/>
      </c>
      <c r="AJ343" s="15">
        <f>IF(H343&gt;I343,1,0)</f>
        <v/>
      </c>
      <c r="AK343" s="15">
        <f>IF(K343&gt;M343,1,0)</f>
        <v/>
      </c>
    </row>
    <row r="344" ht="14.5" customHeight="1">
      <c r="A344" s="12" t="inlineStr">
        <is>
          <t>YASHO</t>
        </is>
      </c>
      <c r="B344" s="13">
        <f>IFERROR(__xludf.DUMMYFUNCTION("GOOGLEFINANCE(""NSE:""&amp;A344,""PRICE"")"),1800)</f>
        <v/>
      </c>
      <c r="C344" s="13">
        <f>IFERROR(__xludf.DUMMYFUNCTION("GOOGLEFINANCE(""NSE:""&amp;A344,""PRICEOPEN"")"),1761.25)</f>
        <v/>
      </c>
      <c r="D344" s="13">
        <f>IFERROR(__xludf.DUMMYFUNCTION("GOOGLEFINANCE(""NSE:""&amp;A344,""HIGH"")"),1827.95)</f>
        <v/>
      </c>
      <c r="E344" s="13">
        <f>IFERROR(__xludf.DUMMYFUNCTION("GOOGLEFINANCE(""NSE:""&amp;A344,""LOW"")"),1761.25)</f>
        <v/>
      </c>
      <c r="F344" s="13">
        <f>IFERROR(__xludf.DUMMYFUNCTION("GOOGLEFINANCE(""NSE:""&amp;A344,""closeyest"")"),1769.45)</f>
        <v/>
      </c>
      <c r="G344" s="14">
        <f>(B344-C344)/B344</f>
        <v/>
      </c>
      <c r="H344" s="13">
        <f>IFERROR(__xludf.DUMMYFUNCTION("GOOGLEFINANCE(""NSE:""&amp;A344,""VOLUME"")"),8570)</f>
        <v/>
      </c>
      <c r="I344" s="13">
        <f>IFERROR(__xludf.DUMMYFUNCTION("AVERAGE(index(GOOGLEFINANCE(""NSE:""&amp;$A344, ""volume"", today()-21, today()-1), , 2))"),"#N/A")</f>
        <v/>
      </c>
      <c r="J344" s="14">
        <f>(H344-I344)/I344</f>
        <v/>
      </c>
      <c r="K344" s="13">
        <f>IFERROR(__xludf.DUMMYFUNCTION("AVERAGE(index(GOOGLEFINANCE(""NSE:""&amp;$A344, ""close"", today()-6, today()-1), , 2))"),"#N/A")</f>
        <v/>
      </c>
      <c r="L344" s="13">
        <f>IFERROR(__xludf.DUMMYFUNCTION("AVERAGE(index(GOOGLEFINANCE(""NSE:""&amp;$A344, ""close"", today()-14, today()-1), , 2))"),"#N/A")</f>
        <v/>
      </c>
      <c r="M344" s="13">
        <f>IFERROR(__xludf.DUMMYFUNCTION("AVERAGE(index(GOOGLEFINANCE(""NSE:""&amp;$A344, ""close"", today()-22, today()-1), , 2))"),"#N/A")</f>
        <v/>
      </c>
      <c r="N344" s="13">
        <f>AG344</f>
        <v/>
      </c>
      <c r="O344" s="13">
        <f>AI344</f>
        <v/>
      </c>
      <c r="P344" s="13">
        <f>W344</f>
        <v/>
      </c>
      <c r="Q344" s="13">
        <f>Y344</f>
        <v/>
      </c>
      <c r="R344" s="15" t="n"/>
      <c r="S344" s="15">
        <f>LEFT(W344,2)&amp;LEFT(Y344,2)</f>
        <v/>
      </c>
      <c r="T344" s="15" t="n"/>
      <c r="U344" s="15">
        <f>IF(K344&lt;L344,1,0)</f>
        <v/>
      </c>
      <c r="V344" s="15">
        <f>IF(H344&gt;I344,1,0)</f>
        <v/>
      </c>
      <c r="W344" s="15">
        <f>IF(SUM(U344:V344)=2,"Anticipatory_Sell","No_Action")</f>
        <v/>
      </c>
      <c r="X344" s="15" t="n"/>
      <c r="Y344" s="15">
        <f>IF(SUM(Z344:AA344)=2,"Confirm_Sell","No_Action")</f>
        <v/>
      </c>
      <c r="Z344" s="15">
        <f>IF(H344&gt;I344,1,0)</f>
        <v/>
      </c>
      <c r="AA344" s="15">
        <f>IF(K344&lt;M344,1,0)</f>
        <v/>
      </c>
      <c r="AB344" s="15" t="n"/>
      <c r="AC344" s="15">
        <f>LEFT(AG344,2)&amp;LEFT(AI344,2)</f>
        <v/>
      </c>
      <c r="AD344" s="15" t="n"/>
      <c r="AE344" s="15">
        <f>IF(K344&gt;L344,1,0)</f>
        <v/>
      </c>
      <c r="AF344" s="16">
        <f>IF(H344&gt;I344,1,0)</f>
        <v/>
      </c>
      <c r="AG344" s="16">
        <f>IF(SUM(AE344:AF344)=2,"Anticipatory_Buy","No_Action")</f>
        <v/>
      </c>
      <c r="AH344" s="15" t="n"/>
      <c r="AI344" s="15">
        <f>IF(SUM(AJ344:AK344)=2,"Confirm_Buy","No_Action")</f>
        <v/>
      </c>
      <c r="AJ344" s="15">
        <f>IF(H344&gt;I344,1,0)</f>
        <v/>
      </c>
      <c r="AK344" s="15">
        <f>IF(K344&gt;M344,1,0)</f>
        <v/>
      </c>
    </row>
    <row r="345" ht="14.5" customHeight="1">
      <c r="A345" s="12" t="inlineStr">
        <is>
          <t>ZYDUSLIFE</t>
        </is>
      </c>
      <c r="B345" s="13">
        <f>IFERROR(__xludf.DUMMYFUNCTION("GOOGLEFINANCE(""NSE:""&amp;A345,""PRICE"")"),985)</f>
        <v/>
      </c>
      <c r="C345" s="13">
        <f>IFERROR(__xludf.DUMMYFUNCTION("GOOGLEFINANCE(""NSE:""&amp;A345,""PRICEOPEN"")"),995.1)</f>
        <v/>
      </c>
      <c r="D345" s="13">
        <f>IFERROR(__xludf.DUMMYFUNCTION("GOOGLEFINANCE(""NSE:""&amp;A345,""HIGH"")"),1000)</f>
        <v/>
      </c>
      <c r="E345" s="13">
        <f>IFERROR(__xludf.DUMMYFUNCTION("GOOGLEFINANCE(""NSE:""&amp;A345,""LOW"")"),981)</f>
        <v/>
      </c>
      <c r="F345" s="13">
        <f>IFERROR(__xludf.DUMMYFUNCTION("GOOGLEFINANCE(""NSE:""&amp;A345,""closeyest"")"),995.1)</f>
        <v/>
      </c>
      <c r="G345" s="14">
        <f>(B345-C345)/B345</f>
        <v/>
      </c>
      <c r="H345" s="13">
        <f>IFERROR(__xludf.DUMMYFUNCTION("GOOGLEFINANCE(""NSE:""&amp;A345,""VOLUME"")"),1191543)</f>
        <v/>
      </c>
      <c r="I345" s="13">
        <f>IFERROR(__xludf.DUMMYFUNCTION("AVERAGE(index(GOOGLEFINANCE(""NSE:""&amp;$A345, ""volume"", today()-21, today()-1), , 2))"),"#N/A")</f>
        <v/>
      </c>
      <c r="J345" s="14">
        <f>(H345-I345)/I345</f>
        <v/>
      </c>
      <c r="K345" s="13">
        <f>IFERROR(__xludf.DUMMYFUNCTION("AVERAGE(index(GOOGLEFINANCE(""NSE:""&amp;$A345, ""close"", today()-6, today()-1), , 2))"),"#N/A")</f>
        <v/>
      </c>
      <c r="L345" s="13">
        <f>IFERROR(__xludf.DUMMYFUNCTION("AVERAGE(index(GOOGLEFINANCE(""NSE:""&amp;$A345, ""close"", today()-14, today()-1), , 2))"),"#N/A")</f>
        <v/>
      </c>
      <c r="M345" s="13">
        <f>IFERROR(__xludf.DUMMYFUNCTION("AVERAGE(index(GOOGLEFINANCE(""NSE:""&amp;$A345, ""close"", today()-22, today()-1), , 2))"),"#N/A")</f>
        <v/>
      </c>
      <c r="N345" s="13">
        <f>AG345</f>
        <v/>
      </c>
      <c r="O345" s="13">
        <f>AI345</f>
        <v/>
      </c>
      <c r="P345" s="13">
        <f>W345</f>
        <v/>
      </c>
      <c r="Q345" s="13">
        <f>Y345</f>
        <v/>
      </c>
      <c r="R345" s="15" t="n"/>
      <c r="S345" s="15">
        <f>LEFT(W345,2)&amp;LEFT(Y345,2)</f>
        <v/>
      </c>
      <c r="T345" s="15" t="n"/>
      <c r="U345" s="15">
        <f>IF(K345&lt;L345,1,0)</f>
        <v/>
      </c>
      <c r="V345" s="15">
        <f>IF(H345&gt;I345,1,0)</f>
        <v/>
      </c>
      <c r="W345" s="15">
        <f>IF(SUM(U345:V345)=2,"Anticipatory_Sell","No_Action")</f>
        <v/>
      </c>
      <c r="X345" s="15" t="n"/>
      <c r="Y345" s="15">
        <f>IF(SUM(Z345:AA345)=2,"Confirm_Sell","No_Action")</f>
        <v/>
      </c>
      <c r="Z345" s="15">
        <f>IF(H345&gt;I345,1,0)</f>
        <v/>
      </c>
      <c r="AA345" s="15">
        <f>IF(K345&lt;M345,1,0)</f>
        <v/>
      </c>
      <c r="AB345" s="15" t="n"/>
      <c r="AC345" s="15">
        <f>LEFT(AG345,2)&amp;LEFT(AI345,2)</f>
        <v/>
      </c>
      <c r="AD345" s="15" t="n"/>
      <c r="AE345" s="15">
        <f>IF(K345&gt;L345,1,0)</f>
        <v/>
      </c>
      <c r="AF345" s="16">
        <f>IF(H345&gt;I345,1,0)</f>
        <v/>
      </c>
      <c r="AG345" s="16">
        <f>IF(SUM(AE345:AF345)=2,"Anticipatory_Buy","No_Action")</f>
        <v/>
      </c>
      <c r="AH345" s="15" t="n"/>
      <c r="AI345" s="15">
        <f>IF(SUM(AJ345:AK345)=2,"Confirm_Buy","No_Action")</f>
        <v/>
      </c>
      <c r="AJ345" s="15">
        <f>IF(H345&gt;I345,1,0)</f>
        <v/>
      </c>
      <c r="AK345" s="15">
        <f>IF(K345&gt;M345,1,0)</f>
        <v/>
      </c>
    </row>
    <row r="346" ht="14.5" customHeight="1">
      <c r="A346" s="17" t="n"/>
      <c r="B346" s="15" t="n"/>
      <c r="C346" s="15" t="n"/>
      <c r="D346" s="15" t="n"/>
      <c r="E346" s="15" t="n"/>
      <c r="F346" s="15" t="n"/>
      <c r="G346" s="18" t="n"/>
      <c r="H346" s="15" t="n"/>
      <c r="I346" s="15" t="n"/>
      <c r="J346" s="18" t="n"/>
      <c r="K346" s="15" t="n"/>
      <c r="L346" s="15" t="n"/>
      <c r="M346" s="15" t="n"/>
      <c r="N346" s="15" t="n"/>
      <c r="O346" s="15" t="n"/>
      <c r="P346" s="15" t="n"/>
      <c r="Q346" s="15" t="n"/>
      <c r="R346" s="15" t="n"/>
      <c r="S346" s="15" t="n"/>
      <c r="T346" s="15" t="n"/>
      <c r="U346" s="15" t="n"/>
      <c r="V346" s="15" t="n"/>
      <c r="W346" s="15" t="n"/>
      <c r="X346" s="15" t="n"/>
      <c r="Y346" s="15" t="n"/>
      <c r="Z346" s="15" t="n"/>
      <c r="AA346" s="15" t="n"/>
      <c r="AB346" s="15" t="n"/>
      <c r="AC346" s="15" t="n"/>
      <c r="AD346" s="15" t="n"/>
      <c r="AE346" s="15" t="n"/>
      <c r="AH346" s="15" t="n"/>
      <c r="AI346" s="15" t="n"/>
      <c r="AJ346" s="15" t="n"/>
      <c r="AK346" s="15" t="n"/>
    </row>
    <row r="347" ht="14.5" customHeight="1">
      <c r="A347" s="17" t="n"/>
      <c r="B347" s="15" t="n"/>
      <c r="C347" s="15" t="n"/>
      <c r="D347" s="15" t="n"/>
      <c r="E347" s="15" t="n"/>
      <c r="F347" s="15" t="n"/>
      <c r="G347" s="18" t="n"/>
      <c r="H347" s="15" t="n"/>
      <c r="I347" s="15" t="n"/>
      <c r="J347" s="18" t="n"/>
      <c r="K347" s="15" t="n"/>
      <c r="L347" s="15" t="n"/>
      <c r="M347" s="15" t="n"/>
      <c r="N347" s="15" t="n"/>
      <c r="O347" s="15" t="n"/>
      <c r="P347" s="15" t="n"/>
      <c r="Q347" s="15" t="n"/>
      <c r="R347" s="15" t="n"/>
      <c r="S347" s="15" t="n"/>
      <c r="T347" s="15" t="n"/>
      <c r="U347" s="15" t="n"/>
      <c r="V347" s="15" t="n"/>
      <c r="W347" s="15" t="n"/>
      <c r="X347" s="15" t="n"/>
      <c r="Y347" s="15" t="n"/>
      <c r="Z347" s="15" t="n"/>
      <c r="AA347" s="15" t="n"/>
      <c r="AB347" s="15" t="n"/>
      <c r="AC347" s="15" t="n"/>
      <c r="AD347" s="15" t="n"/>
      <c r="AE347" s="15" t="n"/>
      <c r="AH347" s="15" t="n"/>
      <c r="AI347" s="15" t="n"/>
      <c r="AJ347" s="15" t="n"/>
      <c r="AK347" s="15" t="n"/>
    </row>
    <row r="348" ht="14.5" customHeight="1">
      <c r="A348" s="17" t="n"/>
      <c r="B348" s="15" t="n"/>
      <c r="C348" s="15" t="n"/>
      <c r="D348" s="15" t="n"/>
      <c r="E348" s="15" t="n"/>
      <c r="F348" s="15" t="n"/>
      <c r="G348" s="18" t="n"/>
      <c r="H348" s="15" t="n"/>
      <c r="I348" s="15" t="n"/>
      <c r="J348" s="18" t="n"/>
      <c r="K348" s="15" t="n"/>
      <c r="L348" s="15" t="n"/>
      <c r="M348" s="15" t="n"/>
      <c r="N348" s="15" t="n"/>
      <c r="O348" s="15" t="n"/>
      <c r="P348" s="15" t="n"/>
      <c r="Q348" s="15" t="n"/>
      <c r="R348" s="15" t="n"/>
      <c r="S348" s="15" t="n"/>
      <c r="T348" s="15" t="n"/>
      <c r="U348" s="15" t="n"/>
      <c r="V348" s="15" t="n"/>
      <c r="W348" s="15" t="n"/>
      <c r="X348" s="15" t="n"/>
      <c r="Y348" s="15" t="n"/>
      <c r="Z348" s="15" t="n"/>
      <c r="AA348" s="15" t="n"/>
      <c r="AB348" s="15" t="n"/>
      <c r="AC348" s="15" t="n"/>
      <c r="AD348" s="15" t="n"/>
      <c r="AE348" s="15" t="n"/>
      <c r="AH348" s="15" t="n"/>
      <c r="AI348" s="15" t="n"/>
      <c r="AJ348" s="15" t="n"/>
      <c r="AK348" s="15" t="n"/>
    </row>
    <row r="349" ht="14.5" customHeight="1">
      <c r="A349" s="17" t="n"/>
      <c r="B349" s="15" t="n"/>
      <c r="C349" s="15" t="n"/>
      <c r="D349" s="15" t="n"/>
      <c r="E349" s="15" t="n"/>
      <c r="F349" s="15" t="n"/>
      <c r="G349" s="18" t="n"/>
      <c r="H349" s="15" t="n"/>
      <c r="I349" s="15" t="n"/>
      <c r="J349" s="18" t="n"/>
      <c r="K349" s="15" t="n"/>
      <c r="L349" s="15" t="n"/>
      <c r="M349" s="15" t="n"/>
      <c r="N349" s="15" t="n"/>
      <c r="O349" s="15" t="n"/>
      <c r="P349" s="15" t="n"/>
      <c r="Q349" s="15" t="n"/>
      <c r="R349" s="15" t="n"/>
      <c r="S349" s="15" t="n"/>
      <c r="T349" s="15" t="n"/>
      <c r="U349" s="15" t="n"/>
      <c r="V349" s="15" t="n"/>
      <c r="W349" s="15" t="n"/>
      <c r="X349" s="15" t="n"/>
      <c r="Y349" s="15" t="n"/>
      <c r="Z349" s="15" t="n"/>
      <c r="AA349" s="15" t="n"/>
      <c r="AB349" s="15" t="n"/>
      <c r="AC349" s="15" t="n"/>
      <c r="AD349" s="15" t="n"/>
      <c r="AE349" s="15" t="n"/>
      <c r="AH349" s="15" t="n"/>
      <c r="AI349" s="15" t="n"/>
      <c r="AJ349" s="15" t="n"/>
      <c r="AK349" s="15" t="n"/>
    </row>
    <row r="350" ht="14.5" customHeight="1">
      <c r="A350" s="17" t="n"/>
      <c r="B350" s="15" t="n"/>
      <c r="C350" s="15" t="n"/>
      <c r="D350" s="15" t="n"/>
      <c r="E350" s="15" t="n"/>
      <c r="F350" s="15" t="n"/>
      <c r="G350" s="18" t="n"/>
      <c r="H350" s="15" t="n"/>
      <c r="I350" s="15" t="n"/>
      <c r="J350" s="18" t="n"/>
      <c r="K350" s="15" t="n"/>
      <c r="L350" s="15" t="n"/>
      <c r="M350" s="15" t="n"/>
      <c r="N350" s="15" t="n"/>
      <c r="O350" s="15" t="n"/>
      <c r="P350" s="15" t="n"/>
      <c r="Q350" s="15" t="n"/>
      <c r="R350" s="15" t="n"/>
      <c r="S350" s="15" t="n"/>
      <c r="T350" s="15" t="n"/>
      <c r="U350" s="15" t="n"/>
      <c r="V350" s="15" t="n"/>
      <c r="W350" s="15" t="n"/>
      <c r="X350" s="15" t="n"/>
      <c r="Y350" s="15" t="n"/>
      <c r="Z350" s="15" t="n"/>
      <c r="AA350" s="15" t="n"/>
      <c r="AB350" s="15" t="n"/>
      <c r="AC350" s="15" t="n"/>
      <c r="AD350" s="15" t="n"/>
      <c r="AE350" s="15" t="n"/>
      <c r="AH350" s="15" t="n"/>
      <c r="AI350" s="15" t="n"/>
      <c r="AJ350" s="15" t="n"/>
      <c r="AK350" s="15" t="n"/>
    </row>
    <row r="351" ht="14.5" customHeight="1">
      <c r="A351" s="17" t="n"/>
      <c r="B351" s="15" t="n"/>
      <c r="C351" s="15" t="n"/>
      <c r="D351" s="15" t="n"/>
      <c r="E351" s="15" t="n"/>
      <c r="F351" s="15" t="n"/>
      <c r="G351" s="18" t="n"/>
      <c r="H351" s="15" t="n"/>
      <c r="I351" s="15" t="n"/>
      <c r="J351" s="18" t="n"/>
      <c r="K351" s="15" t="n"/>
      <c r="L351" s="15" t="n"/>
      <c r="M351" s="15" t="n"/>
      <c r="N351" s="15" t="n"/>
      <c r="O351" s="15" t="n"/>
      <c r="P351" s="15" t="n"/>
      <c r="Q351" s="15" t="n"/>
      <c r="R351" s="15" t="n"/>
      <c r="S351" s="15" t="n"/>
      <c r="T351" s="15" t="n"/>
      <c r="U351" s="15" t="n"/>
      <c r="V351" s="15" t="n"/>
      <c r="W351" s="15" t="n"/>
      <c r="X351" s="15" t="n"/>
      <c r="Y351" s="15" t="n"/>
      <c r="Z351" s="15" t="n"/>
      <c r="AA351" s="15" t="n"/>
      <c r="AB351" s="15" t="n"/>
      <c r="AC351" s="15" t="n"/>
      <c r="AD351" s="15" t="n"/>
      <c r="AE351" s="15" t="n"/>
      <c r="AH351" s="15" t="n"/>
      <c r="AI351" s="15" t="n"/>
      <c r="AJ351" s="15" t="n"/>
      <c r="AK351" s="15" t="n"/>
    </row>
    <row r="352" ht="14.5" customHeight="1">
      <c r="A352" s="17" t="n"/>
      <c r="B352" s="15" t="n"/>
      <c r="C352" s="15" t="n"/>
      <c r="D352" s="15" t="n"/>
      <c r="E352" s="15" t="n"/>
      <c r="F352" s="15" t="n"/>
      <c r="G352" s="18" t="n"/>
      <c r="H352" s="15" t="n"/>
      <c r="I352" s="15" t="n"/>
      <c r="J352" s="18" t="n"/>
      <c r="K352" s="15" t="n"/>
      <c r="L352" s="15" t="n"/>
      <c r="M352" s="15" t="n"/>
      <c r="N352" s="15" t="n"/>
      <c r="O352" s="15" t="n"/>
      <c r="P352" s="15" t="n"/>
      <c r="Q352" s="15" t="n"/>
      <c r="R352" s="15" t="n"/>
      <c r="S352" s="15" t="n"/>
      <c r="T352" s="15" t="n"/>
      <c r="U352" s="15" t="n"/>
      <c r="V352" s="15" t="n"/>
      <c r="W352" s="15" t="n"/>
      <c r="X352" s="15" t="n"/>
      <c r="Y352" s="15" t="n"/>
      <c r="Z352" s="15" t="n"/>
      <c r="AA352" s="15" t="n"/>
      <c r="AB352" s="15" t="n"/>
      <c r="AC352" s="15" t="n"/>
      <c r="AD352" s="15" t="n"/>
      <c r="AE352" s="15" t="n"/>
      <c r="AH352" s="15" t="n"/>
      <c r="AI352" s="15" t="n"/>
      <c r="AJ352" s="15" t="n"/>
      <c r="AK352" s="15" t="n"/>
    </row>
    <row r="353" ht="14.5" customHeight="1">
      <c r="A353" s="17" t="n"/>
      <c r="B353" s="15" t="n"/>
      <c r="C353" s="15" t="n"/>
      <c r="D353" s="15" t="n"/>
      <c r="E353" s="15" t="n"/>
      <c r="F353" s="15" t="n"/>
      <c r="G353" s="18" t="n"/>
      <c r="H353" s="15" t="n"/>
      <c r="I353" s="15" t="n"/>
      <c r="J353" s="18" t="n"/>
      <c r="K353" s="15" t="n"/>
      <c r="L353" s="15" t="n"/>
      <c r="M353" s="15" t="n"/>
      <c r="N353" s="15" t="n"/>
      <c r="O353" s="15" t="n"/>
      <c r="P353" s="15" t="n"/>
      <c r="Q353" s="15" t="n"/>
      <c r="R353" s="15" t="n"/>
      <c r="S353" s="15" t="n"/>
      <c r="T353" s="15" t="n"/>
      <c r="U353" s="15" t="n"/>
      <c r="V353" s="15" t="n"/>
      <c r="W353" s="15" t="n"/>
      <c r="X353" s="15" t="n"/>
      <c r="Y353" s="15" t="n"/>
      <c r="Z353" s="15" t="n"/>
      <c r="AA353" s="15" t="n"/>
      <c r="AB353" s="15" t="n"/>
      <c r="AC353" s="15" t="n"/>
      <c r="AD353" s="15" t="n"/>
      <c r="AE353" s="15" t="n"/>
      <c r="AH353" s="15" t="n"/>
      <c r="AI353" s="15" t="n"/>
      <c r="AJ353" s="15" t="n"/>
      <c r="AK353" s="15" t="n"/>
    </row>
    <row r="354" ht="14.5" customHeight="1">
      <c r="A354" s="17" t="n"/>
      <c r="B354" s="15" t="n"/>
      <c r="C354" s="15" t="n"/>
      <c r="D354" s="15" t="n"/>
      <c r="E354" s="15" t="n"/>
      <c r="F354" s="15" t="n"/>
      <c r="G354" s="18" t="n"/>
      <c r="H354" s="15" t="n"/>
      <c r="I354" s="15" t="n"/>
      <c r="J354" s="18" t="n"/>
      <c r="K354" s="15" t="n"/>
      <c r="L354" s="15" t="n"/>
      <c r="M354" s="15" t="n"/>
      <c r="N354" s="15" t="n"/>
      <c r="O354" s="15" t="n"/>
      <c r="P354" s="15" t="n"/>
      <c r="Q354" s="15" t="n"/>
      <c r="R354" s="15" t="n"/>
      <c r="S354" s="15" t="n"/>
      <c r="T354" s="15" t="n"/>
      <c r="U354" s="15" t="n"/>
      <c r="V354" s="15" t="n"/>
      <c r="W354" s="15" t="n"/>
      <c r="X354" s="15" t="n"/>
      <c r="Y354" s="15" t="n"/>
      <c r="Z354" s="15" t="n"/>
      <c r="AA354" s="15" t="n"/>
      <c r="AB354" s="15" t="n"/>
      <c r="AC354" s="15" t="n"/>
      <c r="AD354" s="15" t="n"/>
      <c r="AE354" s="15" t="n"/>
      <c r="AH354" s="15" t="n"/>
      <c r="AI354" s="15" t="n"/>
      <c r="AJ354" s="15" t="n"/>
      <c r="AK354" s="15" t="n"/>
    </row>
    <row r="355" ht="14.5" customHeight="1">
      <c r="A355" s="17" t="n"/>
      <c r="B355" s="15" t="n"/>
      <c r="C355" s="15" t="n"/>
      <c r="D355" s="15" t="n"/>
      <c r="E355" s="15" t="n"/>
      <c r="F355" s="15" t="n"/>
      <c r="G355" s="18" t="n"/>
      <c r="H355" s="15" t="n"/>
      <c r="I355" s="15" t="n"/>
      <c r="J355" s="18" t="n"/>
      <c r="K355" s="15" t="n"/>
      <c r="L355" s="15" t="n"/>
      <c r="M355" s="15" t="n"/>
      <c r="N355" s="15" t="n"/>
      <c r="O355" s="15" t="n"/>
      <c r="P355" s="15" t="n"/>
      <c r="Q355" s="15" t="n"/>
      <c r="R355" s="15" t="n"/>
      <c r="S355" s="15" t="n"/>
      <c r="T355" s="15" t="n"/>
      <c r="U355" s="15" t="n"/>
      <c r="V355" s="15" t="n"/>
      <c r="W355" s="15" t="n"/>
      <c r="X355" s="15" t="n"/>
      <c r="Y355" s="15" t="n"/>
      <c r="Z355" s="15" t="n"/>
      <c r="AA355" s="15" t="n"/>
      <c r="AB355" s="15" t="n"/>
      <c r="AC355" s="15" t="n"/>
      <c r="AD355" s="15" t="n"/>
      <c r="AE355" s="15" t="n"/>
      <c r="AH355" s="15" t="n"/>
      <c r="AI355" s="15" t="n"/>
      <c r="AJ355" s="15" t="n"/>
      <c r="AK355" s="15" t="n"/>
    </row>
    <row r="356" ht="14.5" customHeight="1">
      <c r="A356" s="17" t="n"/>
      <c r="B356" s="15" t="n"/>
      <c r="C356" s="15" t="n"/>
      <c r="D356" s="15" t="n"/>
      <c r="E356" s="15" t="n"/>
      <c r="F356" s="15" t="n"/>
      <c r="G356" s="18" t="n"/>
      <c r="H356" s="15" t="n"/>
      <c r="I356" s="15" t="n"/>
      <c r="J356" s="18" t="n"/>
      <c r="K356" s="15" t="n"/>
      <c r="L356" s="15" t="n"/>
      <c r="M356" s="15" t="n"/>
      <c r="N356" s="15" t="n"/>
      <c r="O356" s="15" t="n"/>
      <c r="P356" s="15" t="n"/>
      <c r="Q356" s="15" t="n"/>
      <c r="R356" s="15" t="n"/>
      <c r="S356" s="15" t="n"/>
      <c r="T356" s="15" t="n"/>
      <c r="U356" s="15" t="n"/>
      <c r="V356" s="15" t="n"/>
      <c r="W356" s="15" t="n"/>
      <c r="X356" s="15" t="n"/>
      <c r="Y356" s="15" t="n"/>
      <c r="Z356" s="15" t="n"/>
      <c r="AA356" s="15" t="n"/>
      <c r="AB356" s="15" t="n"/>
      <c r="AC356" s="15" t="n"/>
      <c r="AD356" s="15" t="n"/>
      <c r="AE356" s="15" t="n"/>
      <c r="AH356" s="15" t="n"/>
      <c r="AI356" s="15" t="n"/>
      <c r="AJ356" s="15" t="n"/>
      <c r="AK356" s="15" t="n"/>
    </row>
    <row r="357" ht="14.5" customHeight="1">
      <c r="A357" s="17" t="n"/>
      <c r="B357" s="15" t="n"/>
      <c r="C357" s="15" t="n"/>
      <c r="D357" s="15" t="n"/>
      <c r="E357" s="15" t="n"/>
      <c r="F357" s="15" t="n"/>
      <c r="G357" s="18" t="n"/>
      <c r="H357" s="15" t="n"/>
      <c r="I357" s="15" t="n"/>
      <c r="J357" s="18" t="n"/>
      <c r="K357" s="15" t="n"/>
      <c r="L357" s="15" t="n"/>
      <c r="M357" s="15" t="n"/>
      <c r="N357" s="15" t="n"/>
      <c r="O357" s="15" t="n"/>
      <c r="P357" s="15" t="n"/>
      <c r="Q357" s="15" t="n"/>
      <c r="R357" s="15" t="n"/>
      <c r="S357" s="15" t="n"/>
      <c r="T357" s="15" t="n"/>
      <c r="U357" s="15" t="n"/>
      <c r="V357" s="15" t="n"/>
      <c r="W357" s="15" t="n"/>
      <c r="X357" s="15" t="n"/>
      <c r="Y357" s="15" t="n"/>
      <c r="Z357" s="15" t="n"/>
      <c r="AA357" s="15" t="n"/>
      <c r="AB357" s="15" t="n"/>
      <c r="AC357" s="15" t="n"/>
      <c r="AD357" s="15" t="n"/>
      <c r="AE357" s="15" t="n"/>
      <c r="AH357" s="15" t="n"/>
      <c r="AI357" s="15" t="n"/>
      <c r="AJ357" s="15" t="n"/>
      <c r="AK357" s="15" t="n"/>
    </row>
    <row r="358" ht="14.5" customHeight="1">
      <c r="A358" s="17" t="n"/>
      <c r="B358" s="15" t="n"/>
      <c r="C358" s="15" t="n"/>
      <c r="D358" s="15" t="n"/>
      <c r="E358" s="15" t="n"/>
      <c r="F358" s="15" t="n"/>
      <c r="G358" s="18" t="n"/>
      <c r="H358" s="15" t="n"/>
      <c r="I358" s="15" t="n"/>
      <c r="J358" s="18" t="n"/>
      <c r="K358" s="15" t="n"/>
      <c r="L358" s="15" t="n"/>
      <c r="M358" s="15" t="n"/>
      <c r="N358" s="15" t="n"/>
      <c r="O358" s="15" t="n"/>
      <c r="P358" s="15" t="n"/>
      <c r="Q358" s="15" t="n"/>
      <c r="R358" s="15" t="n"/>
      <c r="S358" s="15" t="n"/>
      <c r="T358" s="15" t="n"/>
      <c r="U358" s="15" t="n"/>
      <c r="V358" s="15" t="n"/>
      <c r="W358" s="15" t="n"/>
      <c r="X358" s="15" t="n"/>
      <c r="Y358" s="15" t="n"/>
      <c r="Z358" s="15" t="n"/>
      <c r="AA358" s="15" t="n"/>
      <c r="AB358" s="15" t="n"/>
      <c r="AC358" s="15" t="n"/>
      <c r="AD358" s="15" t="n"/>
      <c r="AE358" s="15" t="n"/>
      <c r="AH358" s="15" t="n"/>
      <c r="AI358" s="15" t="n"/>
      <c r="AJ358" s="15" t="n"/>
      <c r="AK358" s="15" t="n"/>
    </row>
    <row r="359" ht="14.5" customHeight="1">
      <c r="A359" s="17" t="n"/>
      <c r="B359" s="15" t="n"/>
      <c r="C359" s="15" t="n"/>
      <c r="D359" s="15" t="n"/>
      <c r="E359" s="15" t="n"/>
      <c r="F359" s="15" t="n"/>
      <c r="G359" s="18" t="n"/>
      <c r="H359" s="15" t="n"/>
      <c r="I359" s="15" t="n"/>
      <c r="J359" s="18" t="n"/>
      <c r="K359" s="15" t="n"/>
      <c r="L359" s="15" t="n"/>
      <c r="M359" s="15" t="n"/>
      <c r="N359" s="15" t="n"/>
      <c r="O359" s="15" t="n"/>
      <c r="P359" s="15" t="n"/>
      <c r="Q359" s="15" t="n"/>
      <c r="R359" s="15" t="n"/>
      <c r="S359" s="15" t="n"/>
      <c r="T359" s="15" t="n"/>
      <c r="U359" s="15" t="n"/>
      <c r="V359" s="15" t="n"/>
      <c r="W359" s="15" t="n"/>
      <c r="X359" s="15" t="n"/>
      <c r="Y359" s="15" t="n"/>
      <c r="Z359" s="15" t="n"/>
      <c r="AA359" s="15" t="n"/>
      <c r="AB359" s="15" t="n"/>
      <c r="AC359" s="15" t="n"/>
      <c r="AD359" s="15" t="n"/>
      <c r="AE359" s="15" t="n"/>
      <c r="AH359" s="15" t="n"/>
      <c r="AI359" s="15" t="n"/>
      <c r="AJ359" s="15" t="n"/>
      <c r="AK359" s="15" t="n"/>
    </row>
    <row r="360" ht="14.5" customHeight="1">
      <c r="A360" s="17" t="n"/>
      <c r="B360" s="15" t="n"/>
      <c r="C360" s="15" t="n"/>
      <c r="D360" s="15" t="n"/>
      <c r="E360" s="15" t="n"/>
      <c r="F360" s="15" t="n"/>
      <c r="G360" s="18" t="n"/>
      <c r="H360" s="15" t="n"/>
      <c r="I360" s="15" t="n"/>
      <c r="J360" s="18" t="n"/>
      <c r="K360" s="15" t="n"/>
      <c r="L360" s="15" t="n"/>
      <c r="M360" s="15" t="n"/>
      <c r="N360" s="15" t="n"/>
      <c r="O360" s="15" t="n"/>
      <c r="P360" s="15" t="n"/>
      <c r="Q360" s="15" t="n"/>
      <c r="R360" s="15" t="n"/>
      <c r="S360" s="15" t="n"/>
      <c r="T360" s="15" t="n"/>
      <c r="U360" s="15" t="n"/>
      <c r="V360" s="15" t="n"/>
      <c r="W360" s="15" t="n"/>
      <c r="X360" s="15" t="n"/>
      <c r="Y360" s="15" t="n"/>
      <c r="Z360" s="15" t="n"/>
      <c r="AA360" s="15" t="n"/>
      <c r="AB360" s="15" t="n"/>
      <c r="AC360" s="15" t="n"/>
      <c r="AD360" s="15" t="n"/>
      <c r="AE360" s="15" t="n"/>
      <c r="AH360" s="15" t="n"/>
      <c r="AI360" s="15" t="n"/>
      <c r="AJ360" s="15" t="n"/>
      <c r="AK360" s="15" t="n"/>
    </row>
    <row r="361" ht="14.5" customHeight="1">
      <c r="A361" s="17" t="n"/>
      <c r="B361" s="15" t="n"/>
      <c r="C361" s="15" t="n"/>
      <c r="D361" s="15" t="n"/>
      <c r="E361" s="15" t="n"/>
      <c r="F361" s="15" t="n"/>
      <c r="G361" s="18" t="n"/>
      <c r="H361" s="15" t="n"/>
      <c r="I361" s="15" t="n"/>
      <c r="J361" s="18" t="n"/>
      <c r="K361" s="15" t="n"/>
      <c r="L361" s="15" t="n"/>
      <c r="M361" s="15" t="n"/>
      <c r="N361" s="15" t="n"/>
      <c r="O361" s="15" t="n"/>
      <c r="P361" s="15" t="n"/>
      <c r="Q361" s="15" t="n"/>
      <c r="R361" s="15" t="n"/>
      <c r="S361" s="15" t="n"/>
      <c r="T361" s="15" t="n"/>
      <c r="U361" s="15" t="n"/>
      <c r="V361" s="15" t="n"/>
      <c r="W361" s="15" t="n"/>
      <c r="X361" s="15" t="n"/>
      <c r="Y361" s="15" t="n"/>
      <c r="Z361" s="15" t="n"/>
      <c r="AA361" s="15" t="n"/>
      <c r="AB361" s="15" t="n"/>
      <c r="AC361" s="15" t="n"/>
      <c r="AD361" s="15" t="n"/>
      <c r="AE361" s="15" t="n"/>
      <c r="AH361" s="15" t="n"/>
      <c r="AI361" s="15" t="n"/>
      <c r="AJ361" s="15" t="n"/>
      <c r="AK361" s="15" t="n"/>
    </row>
    <row r="362" ht="14.5" customHeight="1">
      <c r="A362" s="17" t="n"/>
      <c r="B362" s="15" t="n"/>
      <c r="C362" s="15" t="n"/>
      <c r="D362" s="15" t="n"/>
      <c r="E362" s="15" t="n"/>
      <c r="F362" s="15" t="n"/>
      <c r="G362" s="18" t="n"/>
      <c r="H362" s="15" t="n"/>
      <c r="I362" s="15" t="n"/>
      <c r="J362" s="18" t="n"/>
      <c r="K362" s="15" t="n"/>
      <c r="L362" s="15" t="n"/>
      <c r="M362" s="15" t="n"/>
      <c r="N362" s="15" t="n"/>
      <c r="O362" s="15" t="n"/>
      <c r="P362" s="15" t="n"/>
      <c r="Q362" s="15" t="n"/>
      <c r="R362" s="15" t="n"/>
      <c r="S362" s="15" t="n"/>
      <c r="T362" s="15" t="n"/>
      <c r="U362" s="15" t="n"/>
      <c r="V362" s="15" t="n"/>
      <c r="W362" s="15" t="n"/>
      <c r="X362" s="15" t="n"/>
      <c r="Y362" s="15" t="n"/>
      <c r="Z362" s="15" t="n"/>
      <c r="AA362" s="15" t="n"/>
      <c r="AB362" s="15" t="n"/>
      <c r="AC362" s="15" t="n"/>
      <c r="AD362" s="15" t="n"/>
      <c r="AE362" s="15" t="n"/>
      <c r="AH362" s="15" t="n"/>
      <c r="AI362" s="15" t="n"/>
      <c r="AJ362" s="15" t="n"/>
      <c r="AK362" s="15" t="n"/>
    </row>
    <row r="363" ht="14.5" customHeight="1">
      <c r="A363" s="17" t="n"/>
      <c r="B363" s="15" t="n"/>
      <c r="C363" s="15" t="n"/>
      <c r="D363" s="15" t="n"/>
      <c r="E363" s="15" t="n"/>
      <c r="F363" s="15" t="n"/>
      <c r="G363" s="18" t="n"/>
      <c r="H363" s="15" t="n"/>
      <c r="I363" s="15" t="n"/>
      <c r="J363" s="18" t="n"/>
      <c r="K363" s="15" t="n"/>
      <c r="L363" s="15" t="n"/>
      <c r="M363" s="15" t="n"/>
      <c r="N363" s="15" t="n"/>
      <c r="O363" s="15" t="n"/>
      <c r="P363" s="15" t="n"/>
      <c r="Q363" s="15" t="n"/>
      <c r="R363" s="15" t="n"/>
      <c r="S363" s="15" t="n"/>
      <c r="T363" s="15" t="n"/>
      <c r="U363" s="15" t="n"/>
      <c r="V363" s="15" t="n"/>
      <c r="W363" s="15" t="n"/>
      <c r="X363" s="15" t="n"/>
      <c r="Y363" s="15" t="n"/>
      <c r="Z363" s="15" t="n"/>
      <c r="AA363" s="15" t="n"/>
      <c r="AB363" s="15" t="n"/>
      <c r="AC363" s="15" t="n"/>
      <c r="AD363" s="15" t="n"/>
      <c r="AE363" s="15" t="n"/>
      <c r="AH363" s="15" t="n"/>
      <c r="AI363" s="15" t="n"/>
      <c r="AJ363" s="15" t="n"/>
      <c r="AK363" s="15" t="n"/>
    </row>
    <row r="364" ht="14.5" customHeight="1">
      <c r="A364" s="17" t="n"/>
      <c r="B364" s="15" t="n"/>
      <c r="C364" s="15" t="n"/>
      <c r="D364" s="15" t="n"/>
      <c r="E364" s="15" t="n"/>
      <c r="F364" s="15" t="n"/>
      <c r="G364" s="18" t="n"/>
      <c r="H364" s="15" t="n"/>
      <c r="I364" s="15" t="n"/>
      <c r="J364" s="18" t="n"/>
      <c r="K364" s="15" t="n"/>
      <c r="L364" s="15" t="n"/>
      <c r="M364" s="15" t="n"/>
      <c r="N364" s="15" t="n"/>
      <c r="O364" s="15" t="n"/>
      <c r="P364" s="15" t="n"/>
      <c r="Q364" s="15" t="n"/>
      <c r="R364" s="15" t="n"/>
      <c r="S364" s="15" t="n"/>
      <c r="T364" s="15" t="n"/>
      <c r="U364" s="15" t="n"/>
      <c r="V364" s="15" t="n"/>
      <c r="W364" s="15" t="n"/>
      <c r="X364" s="15" t="n"/>
      <c r="Y364" s="15" t="n"/>
      <c r="Z364" s="15" t="n"/>
      <c r="AA364" s="15" t="n"/>
      <c r="AB364" s="15" t="n"/>
      <c r="AC364" s="15" t="n"/>
      <c r="AD364" s="15" t="n"/>
      <c r="AE364" s="15" t="n"/>
      <c r="AH364" s="15" t="n"/>
      <c r="AI364" s="15" t="n"/>
      <c r="AJ364" s="15" t="n"/>
      <c r="AK364" s="15" t="n"/>
    </row>
    <row r="365" ht="14.5" customHeight="1">
      <c r="A365" s="17" t="n"/>
      <c r="B365" s="15" t="n"/>
      <c r="C365" s="15" t="n"/>
      <c r="D365" s="15" t="n"/>
      <c r="E365" s="15" t="n"/>
      <c r="F365" s="15" t="n"/>
      <c r="G365" s="18" t="n"/>
      <c r="H365" s="15" t="n"/>
      <c r="I365" s="15" t="n"/>
      <c r="J365" s="18" t="n"/>
      <c r="K365" s="15" t="n"/>
      <c r="L365" s="15" t="n"/>
      <c r="M365" s="15" t="n"/>
      <c r="N365" s="15" t="n"/>
      <c r="O365" s="15" t="n"/>
      <c r="P365" s="15" t="n"/>
      <c r="Q365" s="15" t="n"/>
      <c r="R365" s="15" t="n"/>
      <c r="S365" s="15" t="n"/>
      <c r="T365" s="15" t="n"/>
      <c r="U365" s="15" t="n"/>
      <c r="V365" s="15" t="n"/>
      <c r="W365" s="15" t="n"/>
      <c r="X365" s="15" t="n"/>
      <c r="Y365" s="15" t="n"/>
      <c r="Z365" s="15" t="n"/>
      <c r="AA365" s="15" t="n"/>
      <c r="AB365" s="15" t="n"/>
      <c r="AC365" s="15" t="n"/>
      <c r="AD365" s="15" t="n"/>
      <c r="AE365" s="15" t="n"/>
      <c r="AH365" s="15" t="n"/>
      <c r="AI365" s="15" t="n"/>
      <c r="AJ365" s="15" t="n"/>
      <c r="AK365" s="15" t="n"/>
    </row>
    <row r="366" ht="14.5" customHeight="1">
      <c r="A366" s="17" t="n"/>
      <c r="B366" s="15" t="n"/>
      <c r="C366" s="15" t="n"/>
      <c r="D366" s="15" t="n"/>
      <c r="E366" s="15" t="n"/>
      <c r="F366" s="15" t="n"/>
      <c r="G366" s="18" t="n"/>
      <c r="H366" s="15" t="n"/>
      <c r="I366" s="15" t="n"/>
      <c r="J366" s="18" t="n"/>
      <c r="K366" s="15" t="n"/>
      <c r="L366" s="15" t="n"/>
      <c r="M366" s="15" t="n"/>
      <c r="N366" s="15" t="n"/>
      <c r="O366" s="15" t="n"/>
      <c r="P366" s="15" t="n"/>
      <c r="Q366" s="15" t="n"/>
      <c r="R366" s="15" t="n"/>
      <c r="S366" s="15" t="n"/>
      <c r="T366" s="15" t="n"/>
      <c r="U366" s="15" t="n"/>
      <c r="V366" s="15" t="n"/>
      <c r="W366" s="15" t="n"/>
      <c r="X366" s="15" t="n"/>
      <c r="Y366" s="15" t="n"/>
      <c r="Z366" s="15" t="n"/>
      <c r="AA366" s="15" t="n"/>
      <c r="AB366" s="15" t="n"/>
      <c r="AC366" s="15" t="n"/>
      <c r="AD366" s="15" t="n"/>
      <c r="AE366" s="15" t="n"/>
      <c r="AH366" s="15" t="n"/>
      <c r="AI366" s="15" t="n"/>
      <c r="AJ366" s="15" t="n"/>
      <c r="AK366" s="15" t="n"/>
    </row>
    <row r="367" ht="14.5" customHeight="1">
      <c r="A367" s="17" t="n"/>
      <c r="B367" s="15" t="n"/>
      <c r="C367" s="15" t="n"/>
      <c r="D367" s="15" t="n"/>
      <c r="E367" s="15" t="n"/>
      <c r="F367" s="15" t="n"/>
      <c r="G367" s="18" t="n"/>
      <c r="H367" s="15" t="n"/>
      <c r="I367" s="15" t="n"/>
      <c r="J367" s="18" t="n"/>
      <c r="K367" s="15" t="n"/>
      <c r="L367" s="15" t="n"/>
      <c r="M367" s="15" t="n"/>
      <c r="N367" s="15" t="n"/>
      <c r="O367" s="15" t="n"/>
      <c r="P367" s="15" t="n"/>
      <c r="Q367" s="15" t="n"/>
      <c r="R367" s="15" t="n"/>
      <c r="S367" s="15" t="n"/>
      <c r="T367" s="15" t="n"/>
      <c r="U367" s="15" t="n"/>
      <c r="V367" s="15" t="n"/>
      <c r="W367" s="15" t="n"/>
      <c r="X367" s="15" t="n"/>
      <c r="Y367" s="15" t="n"/>
      <c r="Z367" s="15" t="n"/>
      <c r="AA367" s="15" t="n"/>
      <c r="AB367" s="15" t="n"/>
      <c r="AC367" s="15" t="n"/>
      <c r="AD367" s="15" t="n"/>
      <c r="AE367" s="15" t="n"/>
      <c r="AH367" s="15" t="n"/>
      <c r="AI367" s="15" t="n"/>
      <c r="AJ367" s="15" t="n"/>
      <c r="AK367" s="15" t="n"/>
    </row>
    <row r="368" ht="14.5" customHeight="1">
      <c r="A368" s="17" t="n"/>
      <c r="B368" s="15" t="n"/>
      <c r="C368" s="15" t="n"/>
      <c r="D368" s="15" t="n"/>
      <c r="E368" s="15" t="n"/>
      <c r="F368" s="15" t="n"/>
      <c r="G368" s="18" t="n"/>
      <c r="H368" s="15" t="n"/>
      <c r="I368" s="15" t="n"/>
      <c r="J368" s="18" t="n"/>
      <c r="K368" s="15" t="n"/>
      <c r="L368" s="15" t="n"/>
      <c r="M368" s="15" t="n"/>
      <c r="N368" s="15" t="n"/>
      <c r="O368" s="15" t="n"/>
      <c r="P368" s="15" t="n"/>
      <c r="Q368" s="15" t="n"/>
      <c r="R368" s="15" t="n"/>
      <c r="S368" s="15" t="n"/>
      <c r="T368" s="15" t="n"/>
      <c r="U368" s="15" t="n"/>
      <c r="V368" s="15" t="n"/>
      <c r="W368" s="15" t="n"/>
      <c r="X368" s="15" t="n"/>
      <c r="Y368" s="15" t="n"/>
      <c r="Z368" s="15" t="n"/>
      <c r="AA368" s="15" t="n"/>
      <c r="AB368" s="15" t="n"/>
      <c r="AC368" s="15" t="n"/>
      <c r="AD368" s="15" t="n"/>
      <c r="AE368" s="15" t="n"/>
      <c r="AH368" s="15" t="n"/>
      <c r="AI368" s="15" t="n"/>
      <c r="AJ368" s="15" t="n"/>
      <c r="AK368" s="15" t="n"/>
    </row>
    <row r="369" ht="14.5" customHeight="1">
      <c r="A369" s="17" t="n"/>
      <c r="B369" s="15" t="n"/>
      <c r="C369" s="15" t="n"/>
      <c r="D369" s="15" t="n"/>
      <c r="E369" s="15" t="n"/>
      <c r="F369" s="15" t="n"/>
      <c r="G369" s="18" t="n"/>
      <c r="H369" s="15" t="n"/>
      <c r="I369" s="15" t="n"/>
      <c r="J369" s="18" t="n"/>
      <c r="K369" s="15" t="n"/>
      <c r="L369" s="15" t="n"/>
      <c r="M369" s="15" t="n"/>
      <c r="N369" s="15" t="n"/>
      <c r="O369" s="15" t="n"/>
      <c r="P369" s="15" t="n"/>
      <c r="Q369" s="15" t="n"/>
      <c r="R369" s="15" t="n"/>
      <c r="S369" s="15" t="n"/>
      <c r="T369" s="15" t="n"/>
      <c r="U369" s="15" t="n"/>
      <c r="V369" s="15" t="n"/>
      <c r="W369" s="15" t="n"/>
      <c r="X369" s="15" t="n"/>
      <c r="Y369" s="15" t="n"/>
      <c r="Z369" s="15" t="n"/>
      <c r="AA369" s="15" t="n"/>
      <c r="AB369" s="15" t="n"/>
      <c r="AC369" s="15" t="n"/>
      <c r="AD369" s="15" t="n"/>
      <c r="AE369" s="15" t="n"/>
      <c r="AH369" s="15" t="n"/>
      <c r="AI369" s="15" t="n"/>
      <c r="AJ369" s="15" t="n"/>
      <c r="AK369" s="15" t="n"/>
    </row>
    <row r="370" ht="14.5" customHeight="1">
      <c r="A370" s="17" t="n"/>
      <c r="B370" s="15" t="n"/>
      <c r="C370" s="15" t="n"/>
      <c r="D370" s="15" t="n"/>
      <c r="E370" s="15" t="n"/>
      <c r="F370" s="15" t="n"/>
      <c r="G370" s="18" t="n"/>
      <c r="H370" s="15" t="n"/>
      <c r="I370" s="15" t="n"/>
      <c r="J370" s="18" t="n"/>
      <c r="K370" s="15" t="n"/>
      <c r="L370" s="15" t="n"/>
      <c r="M370" s="15" t="n"/>
      <c r="N370" s="15" t="n"/>
      <c r="O370" s="15" t="n"/>
      <c r="P370" s="15" t="n"/>
      <c r="Q370" s="15" t="n"/>
      <c r="R370" s="15" t="n"/>
      <c r="S370" s="15" t="n"/>
      <c r="T370" s="15" t="n"/>
      <c r="U370" s="15" t="n"/>
      <c r="V370" s="15" t="n"/>
      <c r="W370" s="15" t="n"/>
      <c r="X370" s="15" t="n"/>
      <c r="Y370" s="15" t="n"/>
      <c r="Z370" s="15" t="n"/>
      <c r="AA370" s="15" t="n"/>
      <c r="AB370" s="15" t="n"/>
      <c r="AC370" s="15" t="n"/>
      <c r="AD370" s="15" t="n"/>
      <c r="AE370" s="15" t="n"/>
      <c r="AH370" s="15" t="n"/>
      <c r="AI370" s="15" t="n"/>
      <c r="AJ370" s="15" t="n"/>
      <c r="AK370" s="15" t="n"/>
    </row>
    <row r="371" ht="14.5" customHeight="1">
      <c r="A371" s="17" t="n"/>
      <c r="B371" s="15" t="n"/>
      <c r="C371" s="15" t="n"/>
      <c r="D371" s="15" t="n"/>
      <c r="E371" s="15" t="n"/>
      <c r="F371" s="15" t="n"/>
      <c r="G371" s="18" t="n"/>
      <c r="H371" s="15" t="n"/>
      <c r="I371" s="15" t="n"/>
      <c r="J371" s="18" t="n"/>
      <c r="K371" s="15" t="n"/>
      <c r="L371" s="15" t="n"/>
      <c r="M371" s="15" t="n"/>
      <c r="N371" s="15" t="n"/>
      <c r="O371" s="15" t="n"/>
      <c r="P371" s="15" t="n"/>
      <c r="Q371" s="15" t="n"/>
      <c r="R371" s="15" t="n"/>
      <c r="S371" s="15" t="n"/>
      <c r="T371" s="15" t="n"/>
      <c r="U371" s="15" t="n"/>
      <c r="V371" s="15" t="n"/>
      <c r="W371" s="15" t="n"/>
      <c r="X371" s="15" t="n"/>
      <c r="Y371" s="15" t="n"/>
      <c r="Z371" s="15" t="n"/>
      <c r="AA371" s="15" t="n"/>
      <c r="AB371" s="15" t="n"/>
      <c r="AC371" s="15" t="n"/>
      <c r="AD371" s="15" t="n"/>
      <c r="AE371" s="15" t="n"/>
      <c r="AH371" s="15" t="n"/>
      <c r="AI371" s="15" t="n"/>
      <c r="AJ371" s="15" t="n"/>
      <c r="AK371" s="15" t="n"/>
    </row>
    <row r="372" ht="14.5" customHeight="1">
      <c r="A372" s="17" t="n"/>
      <c r="B372" s="15" t="n"/>
      <c r="C372" s="15" t="n"/>
      <c r="D372" s="15" t="n"/>
      <c r="E372" s="15" t="n"/>
      <c r="F372" s="15" t="n"/>
      <c r="G372" s="18" t="n"/>
      <c r="H372" s="15" t="n"/>
      <c r="I372" s="15" t="n"/>
      <c r="J372" s="18" t="n"/>
      <c r="K372" s="15" t="n"/>
      <c r="L372" s="15" t="n"/>
      <c r="M372" s="15" t="n"/>
      <c r="N372" s="15" t="n"/>
      <c r="O372" s="15" t="n"/>
      <c r="P372" s="15" t="n"/>
      <c r="Q372" s="15" t="n"/>
      <c r="R372" s="15" t="n"/>
      <c r="S372" s="15" t="n"/>
      <c r="T372" s="15" t="n"/>
      <c r="U372" s="15" t="n"/>
      <c r="V372" s="15" t="n"/>
      <c r="W372" s="15" t="n"/>
      <c r="X372" s="15" t="n"/>
      <c r="Y372" s="15" t="n"/>
      <c r="Z372" s="15" t="n"/>
      <c r="AA372" s="15" t="n"/>
      <c r="AB372" s="15" t="n"/>
      <c r="AC372" s="15" t="n"/>
      <c r="AD372" s="15" t="n"/>
      <c r="AE372" s="15" t="n"/>
      <c r="AH372" s="15" t="n"/>
      <c r="AI372" s="15" t="n"/>
      <c r="AJ372" s="15" t="n"/>
      <c r="AK372" s="15" t="n"/>
    </row>
    <row r="373" ht="14.5" customHeight="1">
      <c r="A373" s="17" t="n"/>
      <c r="B373" s="15" t="n"/>
      <c r="C373" s="15" t="n"/>
      <c r="D373" s="15" t="n"/>
      <c r="E373" s="15" t="n"/>
      <c r="F373" s="15" t="n"/>
      <c r="G373" s="18" t="n"/>
      <c r="H373" s="15" t="n"/>
      <c r="I373" s="15" t="n"/>
      <c r="J373" s="18" t="n"/>
      <c r="K373" s="15" t="n"/>
      <c r="L373" s="15" t="n"/>
      <c r="M373" s="15" t="n"/>
      <c r="N373" s="15" t="n"/>
      <c r="O373" s="15" t="n"/>
      <c r="P373" s="15" t="n"/>
      <c r="Q373" s="15" t="n"/>
      <c r="R373" s="15" t="n"/>
      <c r="S373" s="15" t="n"/>
      <c r="T373" s="15" t="n"/>
      <c r="U373" s="15" t="n"/>
      <c r="V373" s="15" t="n"/>
      <c r="W373" s="15" t="n"/>
      <c r="X373" s="15" t="n"/>
      <c r="Y373" s="15" t="n"/>
      <c r="Z373" s="15" t="n"/>
      <c r="AA373" s="15" t="n"/>
      <c r="AB373" s="15" t="n"/>
      <c r="AC373" s="15" t="n"/>
      <c r="AD373" s="15" t="n"/>
      <c r="AE373" s="15" t="n"/>
      <c r="AH373" s="15" t="n"/>
      <c r="AI373" s="15" t="n"/>
      <c r="AJ373" s="15" t="n"/>
      <c r="AK373" s="15" t="n"/>
    </row>
    <row r="374" ht="14.5" customHeight="1">
      <c r="A374" s="17" t="n"/>
      <c r="B374" s="15" t="n"/>
      <c r="C374" s="15" t="n"/>
      <c r="D374" s="15" t="n"/>
      <c r="E374" s="15" t="n"/>
      <c r="F374" s="15" t="n"/>
      <c r="G374" s="18" t="n"/>
      <c r="H374" s="15" t="n"/>
      <c r="I374" s="15" t="n"/>
      <c r="J374" s="18" t="n"/>
      <c r="K374" s="15" t="n"/>
      <c r="L374" s="15" t="n"/>
      <c r="M374" s="15" t="n"/>
      <c r="N374" s="15" t="n"/>
      <c r="O374" s="15" t="n"/>
      <c r="P374" s="15" t="n"/>
      <c r="Q374" s="15" t="n"/>
      <c r="R374" s="15" t="n"/>
      <c r="S374" s="15" t="n"/>
      <c r="T374" s="15" t="n"/>
      <c r="U374" s="15" t="n"/>
      <c r="V374" s="15" t="n"/>
      <c r="W374" s="15" t="n"/>
      <c r="X374" s="15" t="n"/>
      <c r="Y374" s="15" t="n"/>
      <c r="Z374" s="15" t="n"/>
      <c r="AA374" s="15" t="n"/>
      <c r="AB374" s="15" t="n"/>
      <c r="AC374" s="15" t="n"/>
      <c r="AD374" s="15" t="n"/>
      <c r="AE374" s="15" t="n"/>
      <c r="AH374" s="15" t="n"/>
      <c r="AI374" s="15" t="n"/>
      <c r="AJ374" s="15" t="n"/>
      <c r="AK374" s="15" t="n"/>
    </row>
    <row r="375" ht="14.5" customHeight="1">
      <c r="A375" s="17" t="n"/>
      <c r="B375" s="15" t="n"/>
      <c r="C375" s="15" t="n"/>
      <c r="D375" s="15" t="n"/>
      <c r="E375" s="15" t="n"/>
      <c r="F375" s="15" t="n"/>
      <c r="G375" s="18" t="n"/>
      <c r="H375" s="15" t="n"/>
      <c r="I375" s="15" t="n"/>
      <c r="J375" s="18" t="n"/>
      <c r="K375" s="15" t="n"/>
      <c r="L375" s="15" t="n"/>
      <c r="M375" s="15" t="n"/>
      <c r="N375" s="15" t="n"/>
      <c r="O375" s="15" t="n"/>
      <c r="P375" s="15" t="n"/>
      <c r="Q375" s="15" t="n"/>
      <c r="R375" s="15" t="n"/>
      <c r="S375" s="15" t="n"/>
      <c r="T375" s="15" t="n"/>
      <c r="U375" s="15" t="n"/>
      <c r="V375" s="15" t="n"/>
      <c r="W375" s="15" t="n"/>
      <c r="X375" s="15" t="n"/>
      <c r="Y375" s="15" t="n"/>
      <c r="Z375" s="15" t="n"/>
      <c r="AA375" s="15" t="n"/>
      <c r="AB375" s="15" t="n"/>
      <c r="AC375" s="15" t="n"/>
      <c r="AD375" s="15" t="n"/>
      <c r="AE375" s="15" t="n"/>
      <c r="AH375" s="15" t="n"/>
      <c r="AI375" s="15" t="n"/>
      <c r="AJ375" s="15" t="n"/>
      <c r="AK375" s="15" t="n"/>
    </row>
    <row r="376" ht="14.5" customHeight="1">
      <c r="A376" s="17" t="n"/>
      <c r="B376" s="15" t="n"/>
      <c r="C376" s="15" t="n"/>
      <c r="D376" s="15" t="n"/>
      <c r="E376" s="15" t="n"/>
      <c r="F376" s="15" t="n"/>
      <c r="G376" s="18" t="n"/>
      <c r="H376" s="15" t="n"/>
      <c r="I376" s="15" t="n"/>
      <c r="J376" s="18" t="n"/>
      <c r="K376" s="15" t="n"/>
      <c r="L376" s="15" t="n"/>
      <c r="M376" s="15" t="n"/>
      <c r="N376" s="15" t="n"/>
      <c r="O376" s="15" t="n"/>
      <c r="P376" s="15" t="n"/>
      <c r="Q376" s="15" t="n"/>
      <c r="R376" s="15" t="n"/>
      <c r="S376" s="15" t="n"/>
      <c r="T376" s="15" t="n"/>
      <c r="U376" s="15" t="n"/>
      <c r="V376" s="15" t="n"/>
      <c r="W376" s="15" t="n"/>
      <c r="X376" s="15" t="n"/>
      <c r="Y376" s="15" t="n"/>
      <c r="Z376" s="15" t="n"/>
      <c r="AA376" s="15" t="n"/>
      <c r="AB376" s="15" t="n"/>
      <c r="AC376" s="15" t="n"/>
      <c r="AD376" s="15" t="n"/>
      <c r="AE376" s="15" t="n"/>
      <c r="AH376" s="15" t="n"/>
      <c r="AI376" s="15" t="n"/>
      <c r="AJ376" s="15" t="n"/>
      <c r="AK376" s="15" t="n"/>
    </row>
    <row r="377" ht="14.5" customHeight="1">
      <c r="A377" s="17" t="n"/>
      <c r="B377" s="15" t="n"/>
      <c r="C377" s="15" t="n"/>
      <c r="D377" s="15" t="n"/>
      <c r="E377" s="15" t="n"/>
      <c r="F377" s="15" t="n"/>
      <c r="G377" s="18" t="n"/>
      <c r="H377" s="15" t="n"/>
      <c r="I377" s="15" t="n"/>
      <c r="J377" s="18" t="n"/>
      <c r="K377" s="15" t="n"/>
      <c r="L377" s="15" t="n"/>
      <c r="M377" s="15" t="n"/>
      <c r="N377" s="15" t="n"/>
      <c r="O377" s="15" t="n"/>
      <c r="P377" s="15" t="n"/>
      <c r="Q377" s="15" t="n"/>
      <c r="R377" s="15" t="n"/>
      <c r="S377" s="15" t="n"/>
      <c r="T377" s="15" t="n"/>
      <c r="U377" s="15" t="n"/>
      <c r="V377" s="15" t="n"/>
      <c r="W377" s="15" t="n"/>
      <c r="X377" s="15" t="n"/>
      <c r="Y377" s="15" t="n"/>
      <c r="Z377" s="15" t="n"/>
      <c r="AA377" s="15" t="n"/>
      <c r="AB377" s="15" t="n"/>
      <c r="AC377" s="15" t="n"/>
      <c r="AD377" s="15" t="n"/>
      <c r="AE377" s="15" t="n"/>
      <c r="AH377" s="15" t="n"/>
      <c r="AI377" s="15" t="n"/>
      <c r="AJ377" s="15" t="n"/>
      <c r="AK377" s="15" t="n"/>
    </row>
    <row r="378" ht="14.5" customHeight="1">
      <c r="A378" s="17" t="n"/>
      <c r="B378" s="15" t="n"/>
      <c r="C378" s="15" t="n"/>
      <c r="D378" s="15" t="n"/>
      <c r="E378" s="15" t="n"/>
      <c r="F378" s="15" t="n"/>
      <c r="G378" s="18" t="n"/>
      <c r="H378" s="15" t="n"/>
      <c r="I378" s="15" t="n"/>
      <c r="J378" s="18" t="n"/>
      <c r="K378" s="15" t="n"/>
      <c r="L378" s="15" t="n"/>
      <c r="M378" s="15" t="n"/>
      <c r="N378" s="15" t="n"/>
      <c r="O378" s="15" t="n"/>
      <c r="P378" s="15" t="n"/>
      <c r="Q378" s="15" t="n"/>
      <c r="R378" s="15" t="n"/>
      <c r="S378" s="15" t="n"/>
      <c r="T378" s="15" t="n"/>
      <c r="U378" s="15" t="n"/>
      <c r="V378" s="15" t="n"/>
      <c r="W378" s="15" t="n"/>
      <c r="X378" s="15" t="n"/>
      <c r="Y378" s="15" t="n"/>
      <c r="Z378" s="15" t="n"/>
      <c r="AA378" s="15" t="n"/>
      <c r="AB378" s="15" t="n"/>
      <c r="AC378" s="15" t="n"/>
      <c r="AD378" s="15" t="n"/>
      <c r="AE378" s="15" t="n"/>
      <c r="AH378" s="15" t="n"/>
      <c r="AI378" s="15" t="n"/>
      <c r="AJ378" s="15" t="n"/>
      <c r="AK378" s="15" t="n"/>
    </row>
    <row r="379" ht="14.5" customHeight="1">
      <c r="A379" s="17" t="n"/>
      <c r="B379" s="15" t="n"/>
      <c r="C379" s="15" t="n"/>
      <c r="D379" s="15" t="n"/>
      <c r="E379" s="15" t="n"/>
      <c r="F379" s="15" t="n"/>
      <c r="G379" s="18" t="n"/>
      <c r="H379" s="15" t="n"/>
      <c r="I379" s="15" t="n"/>
      <c r="J379" s="18" t="n"/>
      <c r="K379" s="15" t="n"/>
      <c r="L379" s="15" t="n"/>
      <c r="M379" s="15" t="n"/>
      <c r="N379" s="15" t="n"/>
      <c r="O379" s="15" t="n"/>
      <c r="P379" s="15" t="n"/>
      <c r="Q379" s="15" t="n"/>
      <c r="R379" s="15" t="n"/>
      <c r="S379" s="15" t="n"/>
      <c r="T379" s="15" t="n"/>
      <c r="U379" s="15" t="n"/>
      <c r="V379" s="15" t="n"/>
      <c r="W379" s="15" t="n"/>
      <c r="X379" s="15" t="n"/>
      <c r="Y379" s="15" t="n"/>
      <c r="Z379" s="15" t="n"/>
      <c r="AA379" s="15" t="n"/>
      <c r="AB379" s="15" t="n"/>
      <c r="AC379" s="15" t="n"/>
      <c r="AD379" s="15" t="n"/>
      <c r="AE379" s="15" t="n"/>
      <c r="AH379" s="15" t="n"/>
      <c r="AI379" s="15" t="n"/>
      <c r="AJ379" s="15" t="n"/>
      <c r="AK379" s="15" t="n"/>
    </row>
    <row r="380" ht="14.5" customHeight="1">
      <c r="A380" s="17" t="n"/>
      <c r="B380" s="15" t="n"/>
      <c r="C380" s="15" t="n"/>
      <c r="D380" s="15" t="n"/>
      <c r="E380" s="15" t="n"/>
      <c r="F380" s="15" t="n"/>
      <c r="G380" s="18" t="n"/>
      <c r="H380" s="15" t="n"/>
      <c r="I380" s="15" t="n"/>
      <c r="J380" s="18" t="n"/>
      <c r="K380" s="15" t="n"/>
      <c r="L380" s="15" t="n"/>
      <c r="M380" s="15" t="n"/>
      <c r="N380" s="15" t="n"/>
      <c r="O380" s="15" t="n"/>
      <c r="P380" s="15" t="n"/>
      <c r="Q380" s="15" t="n"/>
      <c r="R380" s="15" t="n"/>
      <c r="S380" s="15" t="n"/>
      <c r="T380" s="15" t="n"/>
      <c r="U380" s="15" t="n"/>
      <c r="V380" s="15" t="n"/>
      <c r="W380" s="15" t="n"/>
      <c r="X380" s="15" t="n"/>
      <c r="Y380" s="15" t="n"/>
      <c r="Z380" s="15" t="n"/>
      <c r="AA380" s="15" t="n"/>
      <c r="AB380" s="15" t="n"/>
      <c r="AC380" s="15" t="n"/>
      <c r="AD380" s="15" t="n"/>
      <c r="AE380" s="15" t="n"/>
      <c r="AH380" s="15" t="n"/>
      <c r="AI380" s="15" t="n"/>
      <c r="AJ380" s="15" t="n"/>
      <c r="AK380" s="15" t="n"/>
    </row>
    <row r="381" ht="14.5" customHeight="1">
      <c r="A381" s="17" t="n"/>
      <c r="B381" s="15" t="n"/>
      <c r="C381" s="15" t="n"/>
      <c r="D381" s="15" t="n"/>
      <c r="E381" s="15" t="n"/>
      <c r="F381" s="15" t="n"/>
      <c r="G381" s="18" t="n"/>
      <c r="H381" s="15" t="n"/>
      <c r="I381" s="15" t="n"/>
      <c r="J381" s="18" t="n"/>
      <c r="K381" s="15" t="n"/>
      <c r="L381" s="15" t="n"/>
      <c r="M381" s="15" t="n"/>
      <c r="N381" s="15" t="n"/>
      <c r="O381" s="15" t="n"/>
      <c r="P381" s="15" t="n"/>
      <c r="Q381" s="15" t="n"/>
      <c r="R381" s="15" t="n"/>
      <c r="S381" s="15" t="n"/>
      <c r="T381" s="15" t="n"/>
      <c r="U381" s="15" t="n"/>
      <c r="V381" s="15" t="n"/>
      <c r="W381" s="15" t="n"/>
      <c r="X381" s="15" t="n"/>
      <c r="Y381" s="15" t="n"/>
      <c r="Z381" s="15" t="n"/>
      <c r="AA381" s="15" t="n"/>
      <c r="AB381" s="15" t="n"/>
      <c r="AC381" s="15" t="n"/>
      <c r="AD381" s="15" t="n"/>
      <c r="AE381" s="15" t="n"/>
      <c r="AH381" s="15" t="n"/>
      <c r="AI381" s="15" t="n"/>
      <c r="AJ381" s="15" t="n"/>
      <c r="AK381" s="15" t="n"/>
    </row>
    <row r="382" ht="14.5" customHeight="1">
      <c r="A382" s="17" t="n"/>
      <c r="B382" s="15" t="n"/>
      <c r="C382" s="15" t="n"/>
      <c r="D382" s="15" t="n"/>
      <c r="E382" s="15" t="n"/>
      <c r="F382" s="15" t="n"/>
      <c r="G382" s="18" t="n"/>
      <c r="H382" s="15" t="n"/>
      <c r="I382" s="15" t="n"/>
      <c r="J382" s="18" t="n"/>
      <c r="K382" s="15" t="n"/>
      <c r="L382" s="15" t="n"/>
      <c r="M382" s="15" t="n"/>
      <c r="N382" s="15" t="n"/>
      <c r="O382" s="15" t="n"/>
      <c r="P382" s="15" t="n"/>
      <c r="Q382" s="15" t="n"/>
      <c r="R382" s="15" t="n"/>
      <c r="S382" s="15" t="n"/>
      <c r="T382" s="15" t="n"/>
      <c r="U382" s="15" t="n"/>
      <c r="V382" s="15" t="n"/>
      <c r="W382" s="15" t="n"/>
      <c r="X382" s="15" t="n"/>
      <c r="Y382" s="15" t="n"/>
      <c r="Z382" s="15" t="n"/>
      <c r="AA382" s="15" t="n"/>
      <c r="AB382" s="15" t="n"/>
      <c r="AC382" s="15" t="n"/>
      <c r="AD382" s="15" t="n"/>
      <c r="AE382" s="15" t="n"/>
      <c r="AH382" s="15" t="n"/>
      <c r="AI382" s="15" t="n"/>
      <c r="AJ382" s="15" t="n"/>
      <c r="AK382" s="15" t="n"/>
    </row>
    <row r="383" ht="14.5" customHeight="1">
      <c r="A383" s="17" t="n"/>
      <c r="B383" s="15" t="n"/>
      <c r="C383" s="15" t="n"/>
      <c r="D383" s="15" t="n"/>
      <c r="E383" s="15" t="n"/>
      <c r="F383" s="15" t="n"/>
      <c r="G383" s="18" t="n"/>
      <c r="H383" s="15" t="n"/>
      <c r="I383" s="15" t="n"/>
      <c r="J383" s="18" t="n"/>
      <c r="K383" s="15" t="n"/>
      <c r="L383" s="15" t="n"/>
      <c r="M383" s="15" t="n"/>
      <c r="N383" s="15" t="n"/>
      <c r="O383" s="15" t="n"/>
      <c r="P383" s="15" t="n"/>
      <c r="Q383" s="15" t="n"/>
      <c r="R383" s="15" t="n"/>
      <c r="S383" s="15" t="n"/>
      <c r="T383" s="15" t="n"/>
      <c r="U383" s="15" t="n"/>
      <c r="V383" s="15" t="n"/>
      <c r="W383" s="15" t="n"/>
      <c r="X383" s="15" t="n"/>
      <c r="Y383" s="15" t="n"/>
      <c r="Z383" s="15" t="n"/>
      <c r="AA383" s="15" t="n"/>
      <c r="AB383" s="15" t="n"/>
      <c r="AC383" s="15" t="n"/>
      <c r="AD383" s="15" t="n"/>
      <c r="AE383" s="15" t="n"/>
      <c r="AH383" s="15" t="n"/>
      <c r="AI383" s="15" t="n"/>
      <c r="AJ383" s="15" t="n"/>
      <c r="AK383" s="15" t="n"/>
    </row>
    <row r="384" ht="14.5" customHeight="1">
      <c r="A384" s="17" t="n"/>
      <c r="B384" s="15" t="n"/>
      <c r="C384" s="15" t="n"/>
      <c r="D384" s="15" t="n"/>
      <c r="E384" s="15" t="n"/>
      <c r="F384" s="15" t="n"/>
      <c r="G384" s="18" t="n"/>
      <c r="H384" s="15" t="n"/>
      <c r="I384" s="15" t="n"/>
      <c r="J384" s="18" t="n"/>
      <c r="K384" s="15" t="n"/>
      <c r="L384" s="15" t="n"/>
      <c r="M384" s="15" t="n"/>
      <c r="N384" s="15" t="n"/>
      <c r="O384" s="15" t="n"/>
      <c r="P384" s="15" t="n"/>
      <c r="Q384" s="15" t="n"/>
      <c r="R384" s="15" t="n"/>
      <c r="S384" s="15" t="n"/>
      <c r="T384" s="15" t="n"/>
      <c r="U384" s="15" t="n"/>
      <c r="V384" s="15" t="n"/>
      <c r="W384" s="15" t="n"/>
      <c r="X384" s="15" t="n"/>
      <c r="Y384" s="15" t="n"/>
      <c r="Z384" s="15" t="n"/>
      <c r="AA384" s="15" t="n"/>
      <c r="AB384" s="15" t="n"/>
      <c r="AC384" s="15" t="n"/>
      <c r="AD384" s="15" t="n"/>
      <c r="AE384" s="15" t="n"/>
      <c r="AH384" s="15" t="n"/>
      <c r="AI384" s="15" t="n"/>
      <c r="AJ384" s="15" t="n"/>
      <c r="AK384" s="15" t="n"/>
    </row>
    <row r="385" ht="14.5" customHeight="1">
      <c r="A385" s="17" t="n"/>
      <c r="B385" s="15" t="n"/>
      <c r="C385" s="15" t="n"/>
      <c r="D385" s="15" t="n"/>
      <c r="E385" s="15" t="n"/>
      <c r="F385" s="15" t="n"/>
      <c r="G385" s="18" t="n"/>
      <c r="H385" s="15" t="n"/>
      <c r="I385" s="15" t="n"/>
      <c r="J385" s="18" t="n"/>
      <c r="K385" s="15" t="n"/>
      <c r="L385" s="15" t="n"/>
      <c r="M385" s="15" t="n"/>
      <c r="N385" s="15" t="n"/>
      <c r="O385" s="15" t="n"/>
      <c r="P385" s="15" t="n"/>
      <c r="Q385" s="15" t="n"/>
      <c r="R385" s="15" t="n"/>
      <c r="S385" s="15" t="n"/>
      <c r="T385" s="15" t="n"/>
      <c r="U385" s="15" t="n"/>
      <c r="V385" s="15" t="n"/>
      <c r="W385" s="15" t="n"/>
      <c r="X385" s="15" t="n"/>
      <c r="Y385" s="15" t="n"/>
      <c r="Z385" s="15" t="n"/>
      <c r="AA385" s="15" t="n"/>
      <c r="AB385" s="15" t="n"/>
      <c r="AC385" s="15" t="n"/>
      <c r="AD385" s="15" t="n"/>
      <c r="AE385" s="15" t="n"/>
      <c r="AH385" s="15" t="n"/>
      <c r="AI385" s="15" t="n"/>
      <c r="AJ385" s="15" t="n"/>
      <c r="AK385" s="15" t="n"/>
    </row>
    <row r="386" ht="14.5" customHeight="1">
      <c r="A386" s="17" t="n"/>
      <c r="B386" s="15" t="n"/>
      <c r="C386" s="15" t="n"/>
      <c r="D386" s="15" t="n"/>
      <c r="E386" s="15" t="n"/>
      <c r="F386" s="15" t="n"/>
      <c r="G386" s="18" t="n"/>
      <c r="H386" s="15" t="n"/>
      <c r="I386" s="15" t="n"/>
      <c r="J386" s="18" t="n"/>
      <c r="K386" s="15" t="n"/>
      <c r="L386" s="15" t="n"/>
      <c r="M386" s="15" t="n"/>
      <c r="N386" s="15" t="n"/>
      <c r="O386" s="15" t="n"/>
      <c r="P386" s="15" t="n"/>
      <c r="Q386" s="15" t="n"/>
      <c r="R386" s="15" t="n"/>
      <c r="S386" s="15" t="n"/>
      <c r="T386" s="15" t="n"/>
      <c r="U386" s="15" t="n"/>
      <c r="V386" s="15" t="n"/>
      <c r="W386" s="15" t="n"/>
      <c r="X386" s="15" t="n"/>
      <c r="Y386" s="15" t="n"/>
      <c r="Z386" s="15" t="n"/>
      <c r="AA386" s="15" t="n"/>
      <c r="AB386" s="15" t="n"/>
      <c r="AC386" s="15" t="n"/>
      <c r="AD386" s="15" t="n"/>
      <c r="AE386" s="15" t="n"/>
      <c r="AH386" s="15" t="n"/>
      <c r="AI386" s="15" t="n"/>
      <c r="AJ386" s="15" t="n"/>
      <c r="AK386" s="15" t="n"/>
    </row>
    <row r="387" ht="14.5" customHeight="1">
      <c r="A387" s="17" t="n"/>
      <c r="B387" s="15" t="n"/>
      <c r="C387" s="15" t="n"/>
      <c r="D387" s="15" t="n"/>
      <c r="E387" s="15" t="n"/>
      <c r="F387" s="15" t="n"/>
      <c r="G387" s="18" t="n"/>
      <c r="H387" s="15" t="n"/>
      <c r="I387" s="15" t="n"/>
      <c r="J387" s="18" t="n"/>
      <c r="K387" s="15" t="n"/>
      <c r="L387" s="15" t="n"/>
      <c r="M387" s="15" t="n"/>
      <c r="N387" s="15" t="n"/>
      <c r="O387" s="15" t="n"/>
      <c r="P387" s="15" t="n"/>
      <c r="Q387" s="15" t="n"/>
      <c r="R387" s="15" t="n"/>
      <c r="S387" s="15" t="n"/>
      <c r="T387" s="15" t="n"/>
      <c r="U387" s="15" t="n"/>
      <c r="V387" s="15" t="n"/>
      <c r="W387" s="15" t="n"/>
      <c r="X387" s="15" t="n"/>
      <c r="Y387" s="15" t="n"/>
      <c r="Z387" s="15" t="n"/>
      <c r="AA387" s="15" t="n"/>
      <c r="AB387" s="15" t="n"/>
      <c r="AC387" s="15" t="n"/>
      <c r="AD387" s="15" t="n"/>
      <c r="AE387" s="15" t="n"/>
      <c r="AH387" s="15" t="n"/>
      <c r="AI387" s="15" t="n"/>
      <c r="AJ387" s="15" t="n"/>
      <c r="AK387" s="15" t="n"/>
    </row>
    <row r="388" ht="14.5" customHeight="1">
      <c r="A388" s="17" t="n"/>
      <c r="B388" s="15" t="n"/>
      <c r="C388" s="15" t="n"/>
      <c r="D388" s="15" t="n"/>
      <c r="E388" s="15" t="n"/>
      <c r="F388" s="15" t="n"/>
      <c r="G388" s="18" t="n"/>
      <c r="H388" s="15" t="n"/>
      <c r="I388" s="15" t="n"/>
      <c r="J388" s="18" t="n"/>
      <c r="K388" s="15" t="n"/>
      <c r="L388" s="15" t="n"/>
      <c r="M388" s="15" t="n"/>
      <c r="N388" s="15" t="n"/>
      <c r="O388" s="15" t="n"/>
      <c r="P388" s="15" t="n"/>
      <c r="Q388" s="15" t="n"/>
      <c r="R388" s="15" t="n"/>
      <c r="S388" s="15" t="n"/>
      <c r="T388" s="15" t="n"/>
      <c r="U388" s="15" t="n"/>
      <c r="V388" s="15" t="n"/>
      <c r="W388" s="15" t="n"/>
      <c r="X388" s="15" t="n"/>
      <c r="Y388" s="15" t="n"/>
      <c r="Z388" s="15" t="n"/>
      <c r="AA388" s="15" t="n"/>
      <c r="AB388" s="15" t="n"/>
      <c r="AC388" s="15" t="n"/>
      <c r="AD388" s="15" t="n"/>
      <c r="AE388" s="15" t="n"/>
      <c r="AH388" s="15" t="n"/>
      <c r="AI388" s="15" t="n"/>
      <c r="AJ388" s="15" t="n"/>
      <c r="AK388" s="15" t="n"/>
    </row>
    <row r="389" ht="14.5" customHeight="1">
      <c r="A389" s="17" t="n"/>
      <c r="B389" s="15" t="n"/>
      <c r="C389" s="15" t="n"/>
      <c r="D389" s="15" t="n"/>
      <c r="E389" s="15" t="n"/>
      <c r="F389" s="15" t="n"/>
      <c r="G389" s="18" t="n"/>
      <c r="H389" s="15" t="n"/>
      <c r="I389" s="15" t="n"/>
      <c r="J389" s="18" t="n"/>
      <c r="K389" s="15" t="n"/>
      <c r="L389" s="15" t="n"/>
      <c r="M389" s="15" t="n"/>
      <c r="N389" s="15" t="n"/>
      <c r="O389" s="15" t="n"/>
      <c r="P389" s="15" t="n"/>
      <c r="Q389" s="15" t="n"/>
      <c r="R389" s="15" t="n"/>
      <c r="S389" s="15" t="n"/>
      <c r="T389" s="15" t="n"/>
      <c r="U389" s="15" t="n"/>
      <c r="V389" s="15" t="n"/>
      <c r="W389" s="15" t="n"/>
      <c r="X389" s="15" t="n"/>
      <c r="Y389" s="15" t="n"/>
      <c r="Z389" s="15" t="n"/>
      <c r="AA389" s="15" t="n"/>
      <c r="AB389" s="15" t="n"/>
      <c r="AC389" s="15" t="n"/>
      <c r="AD389" s="15" t="n"/>
      <c r="AE389" s="15" t="n"/>
      <c r="AH389" s="15" t="n"/>
      <c r="AI389" s="15" t="n"/>
      <c r="AJ389" s="15" t="n"/>
      <c r="AK389" s="15" t="n"/>
    </row>
    <row r="390" ht="14.5" customHeight="1">
      <c r="A390" s="17" t="n"/>
      <c r="B390" s="15" t="n"/>
      <c r="C390" s="15" t="n"/>
      <c r="D390" s="15" t="n"/>
      <c r="E390" s="15" t="n"/>
      <c r="F390" s="15" t="n"/>
      <c r="G390" s="18" t="n"/>
      <c r="H390" s="15" t="n"/>
      <c r="I390" s="15" t="n"/>
      <c r="J390" s="18" t="n"/>
      <c r="K390" s="15" t="n"/>
      <c r="L390" s="15" t="n"/>
      <c r="M390" s="15" t="n"/>
      <c r="N390" s="15" t="n"/>
      <c r="O390" s="15" t="n"/>
      <c r="P390" s="15" t="n"/>
      <c r="Q390" s="15" t="n"/>
      <c r="R390" s="15" t="n"/>
      <c r="S390" s="15" t="n"/>
      <c r="T390" s="15" t="n"/>
      <c r="U390" s="15" t="n"/>
      <c r="V390" s="15" t="n"/>
      <c r="W390" s="15" t="n"/>
      <c r="X390" s="15" t="n"/>
      <c r="Y390" s="15" t="n"/>
      <c r="Z390" s="15" t="n"/>
      <c r="AA390" s="15" t="n"/>
      <c r="AB390" s="15" t="n"/>
      <c r="AC390" s="15" t="n"/>
      <c r="AD390" s="15" t="n"/>
      <c r="AE390" s="15" t="n"/>
      <c r="AH390" s="15" t="n"/>
      <c r="AI390" s="15" t="n"/>
      <c r="AJ390" s="15" t="n"/>
      <c r="AK390" s="15" t="n"/>
    </row>
    <row r="391" ht="14.5" customHeight="1">
      <c r="A391" s="17" t="n"/>
      <c r="B391" s="15" t="n"/>
      <c r="C391" s="15" t="n"/>
      <c r="D391" s="15" t="n"/>
      <c r="E391" s="15" t="n"/>
      <c r="F391" s="15" t="n"/>
      <c r="G391" s="18" t="n"/>
      <c r="H391" s="15" t="n"/>
      <c r="I391" s="15" t="n"/>
      <c r="J391" s="18" t="n"/>
      <c r="K391" s="15" t="n"/>
      <c r="L391" s="15" t="n"/>
      <c r="M391" s="15" t="n"/>
      <c r="N391" s="15" t="n"/>
      <c r="O391" s="15" t="n"/>
      <c r="P391" s="15" t="n"/>
      <c r="Q391" s="15" t="n"/>
      <c r="R391" s="15" t="n"/>
      <c r="S391" s="15" t="n"/>
      <c r="T391" s="15" t="n"/>
      <c r="U391" s="15" t="n"/>
      <c r="V391" s="15" t="n"/>
      <c r="W391" s="15" t="n"/>
      <c r="X391" s="15" t="n"/>
      <c r="Y391" s="15" t="n"/>
      <c r="Z391" s="15" t="n"/>
      <c r="AA391" s="15" t="n"/>
      <c r="AB391" s="15" t="n"/>
      <c r="AC391" s="15" t="n"/>
      <c r="AD391" s="15" t="n"/>
      <c r="AE391" s="15" t="n"/>
      <c r="AH391" s="15" t="n"/>
      <c r="AI391" s="15" t="n"/>
      <c r="AJ391" s="15" t="n"/>
      <c r="AK391" s="15" t="n"/>
    </row>
    <row r="392" ht="14.5" customHeight="1">
      <c r="A392" s="17" t="n"/>
      <c r="B392" s="15" t="n"/>
      <c r="C392" s="15" t="n"/>
      <c r="D392" s="15" t="n"/>
      <c r="E392" s="15" t="n"/>
      <c r="F392" s="15" t="n"/>
      <c r="G392" s="18" t="n"/>
      <c r="H392" s="15" t="n"/>
      <c r="I392" s="15" t="n"/>
      <c r="J392" s="18" t="n"/>
      <c r="K392" s="15" t="n"/>
      <c r="L392" s="15" t="n"/>
      <c r="M392" s="15" t="n"/>
      <c r="N392" s="15" t="n"/>
      <c r="O392" s="15" t="n"/>
      <c r="P392" s="15" t="n"/>
      <c r="Q392" s="15" t="n"/>
      <c r="R392" s="15" t="n"/>
      <c r="S392" s="15" t="n"/>
      <c r="T392" s="15" t="n"/>
      <c r="U392" s="15" t="n"/>
      <c r="V392" s="15" t="n"/>
      <c r="W392" s="15" t="n"/>
      <c r="X392" s="15" t="n"/>
      <c r="Y392" s="15" t="n"/>
      <c r="Z392" s="15" t="n"/>
      <c r="AA392" s="15" t="n"/>
      <c r="AB392" s="15" t="n"/>
      <c r="AC392" s="15" t="n"/>
      <c r="AD392" s="15" t="n"/>
      <c r="AE392" s="15" t="n"/>
      <c r="AH392" s="15" t="n"/>
      <c r="AI392" s="15" t="n"/>
      <c r="AJ392" s="15" t="n"/>
      <c r="AK392" s="15" t="n"/>
    </row>
    <row r="393" ht="14.5" customHeight="1">
      <c r="A393" s="17" t="n"/>
      <c r="B393" s="15" t="n"/>
      <c r="C393" s="15" t="n"/>
      <c r="D393" s="15" t="n"/>
      <c r="E393" s="15" t="n"/>
      <c r="F393" s="15" t="n"/>
      <c r="G393" s="18" t="n"/>
      <c r="H393" s="15" t="n"/>
      <c r="I393" s="15" t="n"/>
      <c r="J393" s="18" t="n"/>
      <c r="K393" s="15" t="n"/>
      <c r="L393" s="15" t="n"/>
      <c r="M393" s="15" t="n"/>
      <c r="N393" s="15" t="n"/>
      <c r="O393" s="15" t="n"/>
      <c r="P393" s="15" t="n"/>
      <c r="Q393" s="15" t="n"/>
      <c r="R393" s="15" t="n"/>
      <c r="S393" s="15" t="n"/>
      <c r="T393" s="15" t="n"/>
      <c r="U393" s="15" t="n"/>
      <c r="V393" s="15" t="n"/>
      <c r="W393" s="15" t="n"/>
      <c r="X393" s="15" t="n"/>
      <c r="Y393" s="15" t="n"/>
      <c r="Z393" s="15" t="n"/>
      <c r="AA393" s="15" t="n"/>
      <c r="AB393" s="15" t="n"/>
      <c r="AC393" s="15" t="n"/>
      <c r="AD393" s="15" t="n"/>
      <c r="AE393" s="15" t="n"/>
      <c r="AH393" s="15" t="n"/>
      <c r="AI393" s="15" t="n"/>
      <c r="AJ393" s="15" t="n"/>
      <c r="AK393" s="15" t="n"/>
    </row>
    <row r="394" ht="14.5" customHeight="1">
      <c r="A394" s="17" t="n"/>
      <c r="B394" s="15" t="n"/>
      <c r="C394" s="15" t="n"/>
      <c r="D394" s="15" t="n"/>
      <c r="E394" s="15" t="n"/>
      <c r="F394" s="15" t="n"/>
      <c r="G394" s="18" t="n"/>
      <c r="H394" s="15" t="n"/>
      <c r="I394" s="15" t="n"/>
      <c r="J394" s="18" t="n"/>
      <c r="K394" s="15" t="n"/>
      <c r="L394" s="15" t="n"/>
      <c r="M394" s="15" t="n"/>
      <c r="N394" s="15" t="n"/>
      <c r="O394" s="15" t="n"/>
      <c r="P394" s="15" t="n"/>
      <c r="Q394" s="15" t="n"/>
      <c r="R394" s="15" t="n"/>
      <c r="S394" s="15" t="n"/>
      <c r="T394" s="15" t="n"/>
      <c r="U394" s="15" t="n"/>
      <c r="V394" s="15" t="n"/>
      <c r="W394" s="15" t="n"/>
      <c r="X394" s="15" t="n"/>
      <c r="Y394" s="15" t="n"/>
      <c r="Z394" s="15" t="n"/>
      <c r="AA394" s="15" t="n"/>
      <c r="AB394" s="15" t="n"/>
      <c r="AC394" s="15" t="n"/>
      <c r="AD394" s="15" t="n"/>
      <c r="AE394" s="15" t="n"/>
      <c r="AH394" s="15" t="n"/>
      <c r="AI394" s="15" t="n"/>
      <c r="AJ394" s="15" t="n"/>
      <c r="AK394" s="15" t="n"/>
    </row>
    <row r="395" ht="14.5" customHeight="1">
      <c r="A395" s="17" t="n"/>
      <c r="B395" s="15" t="n"/>
      <c r="C395" s="15" t="n"/>
      <c r="D395" s="15" t="n"/>
      <c r="E395" s="15" t="n"/>
      <c r="F395" s="15" t="n"/>
      <c r="G395" s="18" t="n"/>
      <c r="H395" s="15" t="n"/>
      <c r="I395" s="15" t="n"/>
      <c r="J395" s="18" t="n"/>
      <c r="K395" s="15" t="n"/>
      <c r="L395" s="15" t="n"/>
      <c r="M395" s="15" t="n"/>
      <c r="N395" s="15" t="n"/>
      <c r="O395" s="15" t="n"/>
      <c r="P395" s="15" t="n"/>
      <c r="Q395" s="15" t="n"/>
      <c r="R395" s="15" t="n"/>
      <c r="S395" s="15" t="n"/>
      <c r="T395" s="15" t="n"/>
      <c r="U395" s="15" t="n"/>
      <c r="V395" s="15" t="n"/>
      <c r="W395" s="15" t="n"/>
      <c r="X395" s="15" t="n"/>
      <c r="Y395" s="15" t="n"/>
      <c r="Z395" s="15" t="n"/>
      <c r="AA395" s="15" t="n"/>
      <c r="AB395" s="15" t="n"/>
      <c r="AC395" s="15" t="n"/>
      <c r="AD395" s="15" t="n"/>
      <c r="AE395" s="15" t="n"/>
      <c r="AH395" s="15" t="n"/>
      <c r="AI395" s="15" t="n"/>
      <c r="AJ395" s="15" t="n"/>
      <c r="AK395" s="15" t="n"/>
    </row>
    <row r="396" ht="14.5" customHeight="1">
      <c r="A396" s="17" t="n"/>
      <c r="B396" s="15" t="n"/>
      <c r="C396" s="15" t="n"/>
      <c r="D396" s="15" t="n"/>
      <c r="E396" s="15" t="n"/>
      <c r="F396" s="15" t="n"/>
      <c r="G396" s="18" t="n"/>
      <c r="H396" s="15" t="n"/>
      <c r="I396" s="15" t="n"/>
      <c r="J396" s="18" t="n"/>
      <c r="K396" s="15" t="n"/>
      <c r="L396" s="15" t="n"/>
      <c r="M396" s="15" t="n"/>
      <c r="N396" s="15" t="n"/>
      <c r="O396" s="15" t="n"/>
      <c r="P396" s="15" t="n"/>
      <c r="Q396" s="15" t="n"/>
      <c r="R396" s="15" t="n"/>
      <c r="S396" s="15" t="n"/>
      <c r="T396" s="15" t="n"/>
      <c r="U396" s="15" t="n"/>
      <c r="V396" s="15" t="n"/>
      <c r="W396" s="15" t="n"/>
      <c r="X396" s="15" t="n"/>
      <c r="Y396" s="15" t="n"/>
      <c r="Z396" s="15" t="n"/>
      <c r="AA396" s="15" t="n"/>
      <c r="AB396" s="15" t="n"/>
      <c r="AC396" s="15" t="n"/>
      <c r="AD396" s="15" t="n"/>
      <c r="AE396" s="15" t="n"/>
      <c r="AH396" s="15" t="n"/>
      <c r="AI396" s="15" t="n"/>
      <c r="AJ396" s="15" t="n"/>
      <c r="AK396" s="15" t="n"/>
    </row>
    <row r="397" ht="14.5" customHeight="1">
      <c r="A397" s="17" t="n"/>
      <c r="B397" s="15" t="n"/>
      <c r="C397" s="15" t="n"/>
      <c r="D397" s="15" t="n"/>
      <c r="E397" s="15" t="n"/>
      <c r="F397" s="15" t="n"/>
      <c r="G397" s="18" t="n"/>
      <c r="H397" s="15" t="n"/>
      <c r="I397" s="15" t="n"/>
      <c r="J397" s="18" t="n"/>
      <c r="K397" s="15" t="n"/>
      <c r="L397" s="15" t="n"/>
      <c r="M397" s="15" t="n"/>
      <c r="N397" s="15" t="n"/>
      <c r="O397" s="15" t="n"/>
      <c r="P397" s="15" t="n"/>
      <c r="Q397" s="15" t="n"/>
      <c r="R397" s="15" t="n"/>
      <c r="S397" s="15" t="n"/>
      <c r="T397" s="15" t="n"/>
      <c r="U397" s="15" t="n"/>
      <c r="V397" s="15" t="n"/>
      <c r="W397" s="15" t="n"/>
      <c r="X397" s="15" t="n"/>
      <c r="Y397" s="15" t="n"/>
      <c r="Z397" s="15" t="n"/>
      <c r="AA397" s="15" t="n"/>
      <c r="AB397" s="15" t="n"/>
      <c r="AC397" s="15" t="n"/>
      <c r="AD397" s="15" t="n"/>
      <c r="AE397" s="15" t="n"/>
      <c r="AH397" s="15" t="n"/>
      <c r="AI397" s="15" t="n"/>
      <c r="AJ397" s="15" t="n"/>
      <c r="AK397" s="15" t="n"/>
    </row>
    <row r="398" ht="14.5" customHeight="1">
      <c r="A398" s="17" t="n"/>
      <c r="B398" s="15" t="n"/>
      <c r="C398" s="15" t="n"/>
      <c r="D398" s="15" t="n"/>
      <c r="E398" s="15" t="n"/>
      <c r="F398" s="15" t="n"/>
      <c r="G398" s="18" t="n"/>
      <c r="H398" s="15" t="n"/>
      <c r="I398" s="15" t="n"/>
      <c r="J398" s="18" t="n"/>
      <c r="K398" s="15" t="n"/>
      <c r="L398" s="15" t="n"/>
      <c r="M398" s="15" t="n"/>
      <c r="N398" s="15" t="n"/>
      <c r="O398" s="15" t="n"/>
      <c r="P398" s="15" t="n"/>
      <c r="Q398" s="15" t="n"/>
      <c r="R398" s="15" t="n"/>
      <c r="S398" s="15" t="n"/>
      <c r="T398" s="15" t="n"/>
      <c r="U398" s="15" t="n"/>
      <c r="V398" s="15" t="n"/>
      <c r="W398" s="15" t="n"/>
      <c r="X398" s="15" t="n"/>
      <c r="Y398" s="15" t="n"/>
      <c r="Z398" s="15" t="n"/>
      <c r="AA398" s="15" t="n"/>
      <c r="AB398" s="15" t="n"/>
      <c r="AC398" s="15" t="n"/>
      <c r="AD398" s="15" t="n"/>
      <c r="AE398" s="15" t="n"/>
      <c r="AH398" s="15" t="n"/>
      <c r="AI398" s="15" t="n"/>
      <c r="AJ398" s="15" t="n"/>
      <c r="AK398" s="15" t="n"/>
    </row>
    <row r="399" ht="14.5" customHeight="1">
      <c r="A399" s="17" t="n"/>
      <c r="B399" s="15" t="n"/>
      <c r="C399" s="15" t="n"/>
      <c r="D399" s="15" t="n"/>
      <c r="E399" s="15" t="n"/>
      <c r="F399" s="15" t="n"/>
      <c r="G399" s="18" t="n"/>
      <c r="H399" s="15" t="n"/>
      <c r="I399" s="15" t="n"/>
      <c r="J399" s="18" t="n"/>
      <c r="K399" s="15" t="n"/>
      <c r="L399" s="15" t="n"/>
      <c r="M399" s="15" t="n"/>
      <c r="N399" s="15" t="n"/>
      <c r="O399" s="15" t="n"/>
      <c r="P399" s="15" t="n"/>
      <c r="Q399" s="15" t="n"/>
      <c r="R399" s="15" t="n"/>
      <c r="S399" s="15" t="n"/>
      <c r="T399" s="15" t="n"/>
      <c r="U399" s="15" t="n"/>
      <c r="V399" s="15" t="n"/>
      <c r="W399" s="15" t="n"/>
      <c r="X399" s="15" t="n"/>
      <c r="Y399" s="15" t="n"/>
      <c r="Z399" s="15" t="n"/>
      <c r="AA399" s="15" t="n"/>
      <c r="AB399" s="15" t="n"/>
      <c r="AC399" s="15" t="n"/>
      <c r="AD399" s="15" t="n"/>
      <c r="AE399" s="15" t="n"/>
      <c r="AH399" s="15" t="n"/>
      <c r="AI399" s="15" t="n"/>
      <c r="AJ399" s="15" t="n"/>
      <c r="AK399" s="15" t="n"/>
    </row>
    <row r="400" ht="14.5" customHeight="1">
      <c r="A400" s="17" t="n"/>
      <c r="B400" s="15" t="n"/>
      <c r="C400" s="15" t="n"/>
      <c r="D400" s="15" t="n"/>
      <c r="E400" s="15" t="n"/>
      <c r="F400" s="15" t="n"/>
      <c r="G400" s="18" t="n"/>
      <c r="H400" s="15" t="n"/>
      <c r="I400" s="15" t="n"/>
      <c r="J400" s="18" t="n"/>
      <c r="K400" s="15" t="n"/>
      <c r="L400" s="15" t="n"/>
      <c r="M400" s="15" t="n"/>
      <c r="N400" s="15" t="n"/>
      <c r="O400" s="15" t="n"/>
      <c r="P400" s="15" t="n"/>
      <c r="Q400" s="15" t="n"/>
      <c r="R400" s="15" t="n"/>
      <c r="S400" s="15" t="n"/>
      <c r="T400" s="15" t="n"/>
      <c r="U400" s="15" t="n"/>
      <c r="V400" s="15" t="n"/>
      <c r="W400" s="15" t="n"/>
      <c r="X400" s="15" t="n"/>
      <c r="Y400" s="15" t="n"/>
      <c r="Z400" s="15" t="n"/>
      <c r="AA400" s="15" t="n"/>
      <c r="AB400" s="15" t="n"/>
      <c r="AC400" s="15" t="n"/>
      <c r="AD400" s="15" t="n"/>
      <c r="AE400" s="15" t="n"/>
      <c r="AH400" s="15" t="n"/>
      <c r="AI400" s="15" t="n"/>
      <c r="AJ400" s="15" t="n"/>
      <c r="AK400" s="15" t="n"/>
    </row>
    <row r="401" ht="14.5" customHeight="1">
      <c r="A401" s="17" t="n"/>
      <c r="B401" s="15" t="n"/>
      <c r="C401" s="15" t="n"/>
      <c r="D401" s="15" t="n"/>
      <c r="E401" s="15" t="n"/>
      <c r="F401" s="15" t="n"/>
      <c r="G401" s="18" t="n"/>
      <c r="H401" s="15" t="n"/>
      <c r="I401" s="15" t="n"/>
      <c r="J401" s="18" t="n"/>
      <c r="K401" s="15" t="n"/>
      <c r="L401" s="15" t="n"/>
      <c r="M401" s="15" t="n"/>
      <c r="N401" s="15" t="n"/>
      <c r="O401" s="15" t="n"/>
      <c r="P401" s="15" t="n"/>
      <c r="Q401" s="15" t="n"/>
      <c r="R401" s="15" t="n"/>
      <c r="S401" s="15" t="n"/>
      <c r="T401" s="15" t="n"/>
      <c r="U401" s="15" t="n"/>
      <c r="V401" s="15" t="n"/>
      <c r="W401" s="15" t="n"/>
      <c r="X401" s="15" t="n"/>
      <c r="Y401" s="15" t="n"/>
      <c r="Z401" s="15" t="n"/>
      <c r="AA401" s="15" t="n"/>
      <c r="AB401" s="15" t="n"/>
      <c r="AC401" s="15" t="n"/>
      <c r="AD401" s="15" t="n"/>
      <c r="AE401" s="15" t="n"/>
      <c r="AH401" s="15" t="n"/>
      <c r="AI401" s="15" t="n"/>
      <c r="AJ401" s="15" t="n"/>
      <c r="AK401" s="15" t="n"/>
    </row>
    <row r="402" ht="14.5" customHeight="1">
      <c r="A402" s="17" t="n"/>
      <c r="B402" s="15" t="n"/>
      <c r="C402" s="15" t="n"/>
      <c r="D402" s="15" t="n"/>
      <c r="E402" s="15" t="n"/>
      <c r="F402" s="15" t="n"/>
      <c r="G402" s="18" t="n"/>
      <c r="H402" s="15" t="n"/>
      <c r="I402" s="15" t="n"/>
      <c r="J402" s="18" t="n"/>
      <c r="K402" s="15" t="n"/>
      <c r="L402" s="15" t="n"/>
      <c r="M402" s="15" t="n"/>
      <c r="N402" s="15" t="n"/>
      <c r="O402" s="15" t="n"/>
      <c r="P402" s="15" t="n"/>
      <c r="Q402" s="15" t="n"/>
      <c r="R402" s="15" t="n"/>
      <c r="S402" s="15" t="n"/>
      <c r="T402" s="15" t="n"/>
      <c r="U402" s="15" t="n"/>
      <c r="V402" s="15" t="n"/>
      <c r="W402" s="15" t="n"/>
      <c r="X402" s="15" t="n"/>
      <c r="Y402" s="15" t="n"/>
      <c r="Z402" s="15" t="n"/>
      <c r="AA402" s="15" t="n"/>
      <c r="AB402" s="15" t="n"/>
      <c r="AC402" s="15" t="n"/>
      <c r="AD402" s="15" t="n"/>
      <c r="AE402" s="15" t="n"/>
      <c r="AH402" s="15" t="n"/>
      <c r="AI402" s="15" t="n"/>
      <c r="AJ402" s="15" t="n"/>
      <c r="AK402" s="15" t="n"/>
    </row>
    <row r="403" ht="14.5" customHeight="1">
      <c r="A403" s="17" t="n"/>
      <c r="B403" s="15" t="n"/>
      <c r="C403" s="15" t="n"/>
      <c r="D403" s="15" t="n"/>
      <c r="E403" s="15" t="n"/>
      <c r="F403" s="15" t="n"/>
      <c r="G403" s="18" t="n"/>
      <c r="H403" s="15" t="n"/>
      <c r="I403" s="15" t="n"/>
      <c r="J403" s="18" t="n"/>
      <c r="K403" s="15" t="n"/>
      <c r="L403" s="15" t="n"/>
      <c r="M403" s="15" t="n"/>
      <c r="N403" s="15" t="n"/>
      <c r="O403" s="15" t="n"/>
      <c r="P403" s="15" t="n"/>
      <c r="Q403" s="15" t="n"/>
      <c r="R403" s="15" t="n"/>
      <c r="S403" s="15" t="n"/>
      <c r="T403" s="15" t="n"/>
      <c r="U403" s="15" t="n"/>
      <c r="V403" s="15" t="n"/>
      <c r="W403" s="15" t="n"/>
      <c r="X403" s="15" t="n"/>
      <c r="Y403" s="15" t="n"/>
      <c r="Z403" s="15" t="n"/>
      <c r="AA403" s="15" t="n"/>
      <c r="AB403" s="15" t="n"/>
      <c r="AC403" s="15" t="n"/>
      <c r="AD403" s="15" t="n"/>
      <c r="AE403" s="15" t="n"/>
      <c r="AH403" s="15" t="n"/>
      <c r="AI403" s="15" t="n"/>
      <c r="AJ403" s="15" t="n"/>
      <c r="AK403" s="15" t="n"/>
    </row>
    <row r="404" ht="14.5" customHeight="1">
      <c r="A404" s="17" t="n"/>
      <c r="B404" s="15" t="n"/>
      <c r="C404" s="15" t="n"/>
      <c r="D404" s="15" t="n"/>
      <c r="E404" s="15" t="n"/>
      <c r="F404" s="15" t="n"/>
      <c r="G404" s="18" t="n"/>
      <c r="H404" s="15" t="n"/>
      <c r="I404" s="15" t="n"/>
      <c r="J404" s="18" t="n"/>
      <c r="K404" s="15" t="n"/>
      <c r="L404" s="15" t="n"/>
      <c r="M404" s="15" t="n"/>
      <c r="N404" s="15" t="n"/>
      <c r="O404" s="15" t="n"/>
      <c r="P404" s="15" t="n"/>
      <c r="Q404" s="15" t="n"/>
      <c r="R404" s="15" t="n"/>
      <c r="S404" s="15" t="n"/>
      <c r="T404" s="15" t="n"/>
      <c r="U404" s="15" t="n"/>
      <c r="V404" s="15" t="n"/>
      <c r="W404" s="15" t="n"/>
      <c r="X404" s="15" t="n"/>
      <c r="Y404" s="15" t="n"/>
      <c r="Z404" s="15" t="n"/>
      <c r="AA404" s="15" t="n"/>
      <c r="AB404" s="15" t="n"/>
      <c r="AC404" s="15" t="n"/>
      <c r="AD404" s="15" t="n"/>
      <c r="AE404" s="15" t="n"/>
      <c r="AH404" s="15" t="n"/>
      <c r="AI404" s="15" t="n"/>
      <c r="AJ404" s="15" t="n"/>
      <c r="AK404" s="15" t="n"/>
    </row>
    <row r="405" ht="14.5" customHeight="1">
      <c r="A405" s="17" t="n"/>
      <c r="B405" s="15" t="n"/>
      <c r="C405" s="15" t="n"/>
      <c r="D405" s="15" t="n"/>
      <c r="E405" s="15" t="n"/>
      <c r="F405" s="15" t="n"/>
      <c r="G405" s="18" t="n"/>
      <c r="H405" s="15" t="n"/>
      <c r="I405" s="15" t="n"/>
      <c r="J405" s="18" t="n"/>
      <c r="K405" s="15" t="n"/>
      <c r="L405" s="15" t="n"/>
      <c r="M405" s="15" t="n"/>
      <c r="N405" s="15" t="n"/>
      <c r="O405" s="15" t="n"/>
      <c r="P405" s="15" t="n"/>
      <c r="Q405" s="15" t="n"/>
      <c r="R405" s="15" t="n"/>
      <c r="S405" s="15" t="n"/>
      <c r="T405" s="15" t="n"/>
      <c r="U405" s="15" t="n"/>
      <c r="V405" s="15" t="n"/>
      <c r="W405" s="15" t="n"/>
      <c r="X405" s="15" t="n"/>
      <c r="Y405" s="15" t="n"/>
      <c r="Z405" s="15" t="n"/>
      <c r="AA405" s="15" t="n"/>
      <c r="AB405" s="15" t="n"/>
      <c r="AC405" s="15" t="n"/>
      <c r="AD405" s="15" t="n"/>
      <c r="AE405" s="15" t="n"/>
      <c r="AH405" s="15" t="n"/>
      <c r="AI405" s="15" t="n"/>
      <c r="AJ405" s="15" t="n"/>
      <c r="AK405" s="15" t="n"/>
    </row>
    <row r="406" ht="14.5" customHeight="1">
      <c r="A406" s="17" t="n"/>
      <c r="B406" s="15" t="n"/>
      <c r="C406" s="15" t="n"/>
      <c r="D406" s="15" t="n"/>
      <c r="E406" s="15" t="n"/>
      <c r="F406" s="15" t="n"/>
      <c r="G406" s="18" t="n"/>
      <c r="H406" s="15" t="n"/>
      <c r="I406" s="15" t="n"/>
      <c r="J406" s="18" t="n"/>
      <c r="K406" s="15" t="n"/>
      <c r="L406" s="15" t="n"/>
      <c r="M406" s="15" t="n"/>
      <c r="N406" s="15" t="n"/>
      <c r="O406" s="15" t="n"/>
      <c r="P406" s="15" t="n"/>
      <c r="Q406" s="15" t="n"/>
      <c r="R406" s="15" t="n"/>
      <c r="S406" s="15" t="n"/>
      <c r="T406" s="15" t="n"/>
      <c r="U406" s="15" t="n"/>
      <c r="V406" s="15" t="n"/>
      <c r="W406" s="15" t="n"/>
      <c r="X406" s="15" t="n"/>
      <c r="Y406" s="15" t="n"/>
      <c r="Z406" s="15" t="n"/>
      <c r="AA406" s="15" t="n"/>
      <c r="AB406" s="15" t="n"/>
      <c r="AC406" s="15" t="n"/>
      <c r="AD406" s="15" t="n"/>
      <c r="AE406" s="15" t="n"/>
      <c r="AH406" s="15" t="n"/>
      <c r="AI406" s="15" t="n"/>
      <c r="AJ406" s="15" t="n"/>
      <c r="AK406" s="15" t="n"/>
    </row>
    <row r="407" ht="14.5" customHeight="1">
      <c r="A407" s="17" t="n"/>
      <c r="B407" s="15" t="n"/>
      <c r="C407" s="15" t="n"/>
      <c r="D407" s="15" t="n"/>
      <c r="E407" s="15" t="n"/>
      <c r="F407" s="15" t="n"/>
      <c r="G407" s="18" t="n"/>
      <c r="H407" s="15" t="n"/>
      <c r="I407" s="15" t="n"/>
      <c r="J407" s="18" t="n"/>
      <c r="K407" s="15" t="n"/>
      <c r="L407" s="15" t="n"/>
      <c r="M407" s="15" t="n"/>
      <c r="N407" s="15" t="n"/>
      <c r="O407" s="15" t="n"/>
      <c r="P407" s="15" t="n"/>
      <c r="Q407" s="15" t="n"/>
      <c r="R407" s="15" t="n"/>
      <c r="S407" s="15" t="n"/>
      <c r="T407" s="15" t="n"/>
      <c r="U407" s="15" t="n"/>
      <c r="V407" s="15" t="n"/>
      <c r="W407" s="15" t="n"/>
      <c r="X407" s="15" t="n"/>
      <c r="Y407" s="15" t="n"/>
      <c r="Z407" s="15" t="n"/>
      <c r="AA407" s="15" t="n"/>
      <c r="AB407" s="15" t="n"/>
      <c r="AC407" s="15" t="n"/>
      <c r="AD407" s="15" t="n"/>
      <c r="AE407" s="15" t="n"/>
      <c r="AH407" s="15" t="n"/>
      <c r="AI407" s="15" t="n"/>
      <c r="AJ407" s="15" t="n"/>
      <c r="AK407" s="15" t="n"/>
    </row>
    <row r="408" ht="14.5" customHeight="1">
      <c r="A408" s="17" t="n"/>
      <c r="B408" s="15" t="n"/>
      <c r="C408" s="15" t="n"/>
      <c r="D408" s="15" t="n"/>
      <c r="E408" s="15" t="n"/>
      <c r="F408" s="15" t="n"/>
      <c r="G408" s="18" t="n"/>
      <c r="H408" s="15" t="n"/>
      <c r="I408" s="15" t="n"/>
      <c r="J408" s="18" t="n"/>
      <c r="K408" s="15" t="n"/>
      <c r="L408" s="15" t="n"/>
      <c r="M408" s="15" t="n"/>
      <c r="N408" s="15" t="n"/>
      <c r="O408" s="15" t="n"/>
      <c r="P408" s="15" t="n"/>
      <c r="Q408" s="15" t="n"/>
      <c r="R408" s="15" t="n"/>
      <c r="S408" s="15" t="n"/>
      <c r="T408" s="15" t="n"/>
      <c r="U408" s="15" t="n"/>
      <c r="V408" s="15" t="n"/>
      <c r="W408" s="15" t="n"/>
      <c r="X408" s="15" t="n"/>
      <c r="Y408" s="15" t="n"/>
      <c r="Z408" s="15" t="n"/>
      <c r="AA408" s="15" t="n"/>
      <c r="AB408" s="15" t="n"/>
      <c r="AC408" s="15" t="n"/>
      <c r="AD408" s="15" t="n"/>
      <c r="AE408" s="15" t="n"/>
      <c r="AH408" s="15" t="n"/>
      <c r="AI408" s="15" t="n"/>
      <c r="AJ408" s="15" t="n"/>
      <c r="AK408" s="15" t="n"/>
    </row>
    <row r="409" ht="14.5" customHeight="1">
      <c r="A409" s="17" t="n"/>
      <c r="B409" s="15" t="n"/>
      <c r="C409" s="15" t="n"/>
      <c r="D409" s="15" t="n"/>
      <c r="E409" s="15" t="n"/>
      <c r="F409" s="15" t="n"/>
      <c r="G409" s="18" t="n"/>
      <c r="H409" s="15" t="n"/>
      <c r="I409" s="15" t="n"/>
      <c r="J409" s="18" t="n"/>
      <c r="K409" s="15" t="n"/>
      <c r="L409" s="15" t="n"/>
      <c r="M409" s="15" t="n"/>
      <c r="N409" s="15" t="n"/>
      <c r="O409" s="15" t="n"/>
      <c r="P409" s="15" t="n"/>
      <c r="Q409" s="15" t="n"/>
      <c r="R409" s="15" t="n"/>
      <c r="S409" s="15" t="n"/>
      <c r="T409" s="15" t="n"/>
      <c r="U409" s="15" t="n"/>
      <c r="V409" s="15" t="n"/>
      <c r="W409" s="15" t="n"/>
      <c r="X409" s="15" t="n"/>
      <c r="Y409" s="15" t="n"/>
      <c r="Z409" s="15" t="n"/>
      <c r="AA409" s="15" t="n"/>
      <c r="AB409" s="15" t="n"/>
      <c r="AC409" s="15" t="n"/>
      <c r="AD409" s="15" t="n"/>
      <c r="AE409" s="15" t="n"/>
      <c r="AH409" s="15" t="n"/>
      <c r="AI409" s="15" t="n"/>
      <c r="AJ409" s="15" t="n"/>
      <c r="AK409" s="15" t="n"/>
    </row>
    <row r="410" ht="14.5" customHeight="1">
      <c r="A410" s="17" t="n"/>
      <c r="B410" s="15" t="n"/>
      <c r="C410" s="15" t="n"/>
      <c r="D410" s="15" t="n"/>
      <c r="E410" s="15" t="n"/>
      <c r="F410" s="15" t="n"/>
      <c r="G410" s="18" t="n"/>
      <c r="H410" s="15" t="n"/>
      <c r="I410" s="15" t="n"/>
      <c r="J410" s="18" t="n"/>
      <c r="K410" s="15" t="n"/>
      <c r="L410" s="15" t="n"/>
      <c r="M410" s="15" t="n"/>
      <c r="N410" s="15" t="n"/>
      <c r="O410" s="15" t="n"/>
      <c r="P410" s="15" t="n"/>
      <c r="Q410" s="15" t="n"/>
      <c r="R410" s="15" t="n"/>
      <c r="S410" s="15" t="n"/>
      <c r="T410" s="15" t="n"/>
      <c r="U410" s="15" t="n"/>
      <c r="V410" s="15" t="n"/>
      <c r="W410" s="15" t="n"/>
      <c r="X410" s="15" t="n"/>
      <c r="Y410" s="15" t="n"/>
      <c r="Z410" s="15" t="n"/>
      <c r="AA410" s="15" t="n"/>
      <c r="AB410" s="15" t="n"/>
      <c r="AC410" s="15" t="n"/>
      <c r="AD410" s="15" t="n"/>
      <c r="AE410" s="15" t="n"/>
      <c r="AH410" s="15" t="n"/>
      <c r="AI410" s="15" t="n"/>
      <c r="AJ410" s="15" t="n"/>
      <c r="AK410" s="15" t="n"/>
    </row>
    <row r="411" ht="14.5" customHeight="1">
      <c r="A411" s="17" t="n"/>
      <c r="B411" s="15" t="n"/>
      <c r="C411" s="15" t="n"/>
      <c r="D411" s="15" t="n"/>
      <c r="E411" s="15" t="n"/>
      <c r="F411" s="15" t="n"/>
      <c r="G411" s="18" t="n"/>
      <c r="H411" s="15" t="n"/>
      <c r="I411" s="15" t="n"/>
      <c r="J411" s="18" t="n"/>
      <c r="K411" s="15" t="n"/>
      <c r="L411" s="15" t="n"/>
      <c r="M411" s="15" t="n"/>
      <c r="N411" s="15" t="n"/>
      <c r="O411" s="15" t="n"/>
      <c r="P411" s="15" t="n"/>
      <c r="Q411" s="15" t="n"/>
      <c r="R411" s="15" t="n"/>
      <c r="S411" s="15" t="n"/>
      <c r="T411" s="15" t="n"/>
      <c r="U411" s="15" t="n"/>
      <c r="V411" s="15" t="n"/>
      <c r="W411" s="15" t="n"/>
      <c r="X411" s="15" t="n"/>
      <c r="Y411" s="15" t="n"/>
      <c r="Z411" s="15" t="n"/>
      <c r="AA411" s="15" t="n"/>
      <c r="AB411" s="15" t="n"/>
      <c r="AC411" s="15" t="n"/>
      <c r="AD411" s="15" t="n"/>
      <c r="AE411" s="15" t="n"/>
      <c r="AH411" s="15" t="n"/>
      <c r="AI411" s="15" t="n"/>
      <c r="AJ411" s="15" t="n"/>
      <c r="AK411" s="15" t="n"/>
    </row>
    <row r="412" ht="14.5" customHeight="1">
      <c r="A412" s="17" t="n"/>
      <c r="B412" s="15" t="n"/>
      <c r="C412" s="15" t="n"/>
      <c r="D412" s="15" t="n"/>
      <c r="E412" s="15" t="n"/>
      <c r="F412" s="15" t="n"/>
      <c r="G412" s="18" t="n"/>
      <c r="H412" s="15" t="n"/>
      <c r="I412" s="15" t="n"/>
      <c r="J412" s="18" t="n"/>
      <c r="K412" s="15" t="n"/>
      <c r="L412" s="15" t="n"/>
      <c r="M412" s="15" t="n"/>
      <c r="N412" s="15" t="n"/>
      <c r="O412" s="15" t="n"/>
      <c r="P412" s="15" t="n"/>
      <c r="Q412" s="15" t="n"/>
      <c r="R412" s="15" t="n"/>
      <c r="S412" s="15" t="n"/>
      <c r="T412" s="15" t="n"/>
      <c r="U412" s="15" t="n"/>
      <c r="V412" s="15" t="n"/>
      <c r="W412" s="15" t="n"/>
      <c r="X412" s="15" t="n"/>
      <c r="Y412" s="15" t="n"/>
      <c r="Z412" s="15" t="n"/>
      <c r="AA412" s="15" t="n"/>
      <c r="AB412" s="15" t="n"/>
      <c r="AC412" s="15" t="n"/>
      <c r="AD412" s="15" t="n"/>
      <c r="AE412" s="15" t="n"/>
      <c r="AH412" s="15" t="n"/>
      <c r="AI412" s="15" t="n"/>
      <c r="AJ412" s="15" t="n"/>
      <c r="AK412" s="15" t="n"/>
    </row>
    <row r="413" ht="14.5" customHeight="1">
      <c r="A413" s="17" t="n"/>
      <c r="B413" s="15" t="n"/>
      <c r="C413" s="15" t="n"/>
      <c r="D413" s="15" t="n"/>
      <c r="E413" s="15" t="n"/>
      <c r="F413" s="15" t="n"/>
      <c r="G413" s="18" t="n"/>
      <c r="H413" s="15" t="n"/>
      <c r="I413" s="15" t="n"/>
      <c r="J413" s="18" t="n"/>
      <c r="K413" s="15" t="n"/>
      <c r="L413" s="15" t="n"/>
      <c r="M413" s="15" t="n"/>
      <c r="N413" s="15" t="n"/>
      <c r="O413" s="15" t="n"/>
      <c r="P413" s="15" t="n"/>
      <c r="Q413" s="15" t="n"/>
      <c r="R413" s="15" t="n"/>
      <c r="S413" s="15" t="n"/>
      <c r="T413" s="15" t="n"/>
      <c r="U413" s="15" t="n"/>
      <c r="V413" s="15" t="n"/>
      <c r="W413" s="15" t="n"/>
      <c r="X413" s="15" t="n"/>
      <c r="Y413" s="15" t="n"/>
      <c r="Z413" s="15" t="n"/>
      <c r="AA413" s="15" t="n"/>
      <c r="AB413" s="15" t="n"/>
      <c r="AC413" s="15" t="n"/>
      <c r="AD413" s="15" t="n"/>
      <c r="AE413" s="15" t="n"/>
      <c r="AH413" s="15" t="n"/>
      <c r="AI413" s="15" t="n"/>
      <c r="AJ413" s="15" t="n"/>
      <c r="AK413" s="15" t="n"/>
    </row>
    <row r="414" ht="14.5" customHeight="1">
      <c r="A414" s="17" t="n"/>
      <c r="B414" s="15" t="n"/>
      <c r="C414" s="15" t="n"/>
      <c r="D414" s="15" t="n"/>
      <c r="E414" s="15" t="n"/>
      <c r="F414" s="15" t="n"/>
      <c r="G414" s="18" t="n"/>
      <c r="H414" s="15" t="n"/>
      <c r="I414" s="15" t="n"/>
      <c r="J414" s="18" t="n"/>
      <c r="K414" s="15" t="n"/>
      <c r="L414" s="15" t="n"/>
      <c r="M414" s="15" t="n"/>
      <c r="N414" s="15" t="n"/>
      <c r="O414" s="15" t="n"/>
      <c r="P414" s="15" t="n"/>
      <c r="Q414" s="15" t="n"/>
      <c r="R414" s="15" t="n"/>
      <c r="S414" s="15" t="n"/>
      <c r="T414" s="15" t="n"/>
      <c r="U414" s="15" t="n"/>
      <c r="V414" s="15" t="n"/>
      <c r="W414" s="15" t="n"/>
      <c r="X414" s="15" t="n"/>
      <c r="Y414" s="15" t="n"/>
      <c r="Z414" s="15" t="n"/>
      <c r="AA414" s="15" t="n"/>
      <c r="AB414" s="15" t="n"/>
      <c r="AC414" s="15" t="n"/>
      <c r="AD414" s="15" t="n"/>
      <c r="AE414" s="15" t="n"/>
      <c r="AH414" s="15" t="n"/>
      <c r="AI414" s="15" t="n"/>
      <c r="AJ414" s="15" t="n"/>
      <c r="AK414" s="15" t="n"/>
    </row>
    <row r="415" ht="14.5" customHeight="1">
      <c r="A415" s="17" t="n"/>
      <c r="B415" s="15" t="n"/>
      <c r="C415" s="15" t="n"/>
      <c r="D415" s="15" t="n"/>
      <c r="E415" s="15" t="n"/>
      <c r="F415" s="15" t="n"/>
      <c r="G415" s="18" t="n"/>
      <c r="H415" s="15" t="n"/>
      <c r="I415" s="15" t="n"/>
      <c r="J415" s="18" t="n"/>
      <c r="K415" s="15" t="n"/>
      <c r="L415" s="15" t="n"/>
      <c r="M415" s="15" t="n"/>
      <c r="N415" s="15" t="n"/>
      <c r="O415" s="15" t="n"/>
      <c r="P415" s="15" t="n"/>
      <c r="Q415" s="15" t="n"/>
      <c r="R415" s="15" t="n"/>
      <c r="S415" s="15" t="n"/>
      <c r="T415" s="15" t="n"/>
      <c r="U415" s="15" t="n"/>
      <c r="V415" s="15" t="n"/>
      <c r="W415" s="15" t="n"/>
      <c r="X415" s="15" t="n"/>
      <c r="Y415" s="15" t="n"/>
      <c r="Z415" s="15" t="n"/>
      <c r="AA415" s="15" t="n"/>
      <c r="AB415" s="15" t="n"/>
      <c r="AC415" s="15" t="n"/>
      <c r="AD415" s="15" t="n"/>
      <c r="AE415" s="15" t="n"/>
      <c r="AH415" s="15" t="n"/>
      <c r="AI415" s="15" t="n"/>
      <c r="AJ415" s="15" t="n"/>
      <c r="AK415" s="15" t="n"/>
    </row>
    <row r="416" ht="14.5" customHeight="1">
      <c r="A416" s="17" t="n"/>
      <c r="B416" s="15" t="n"/>
      <c r="C416" s="15" t="n"/>
      <c r="D416" s="15" t="n"/>
      <c r="E416" s="15" t="n"/>
      <c r="F416" s="15" t="n"/>
      <c r="G416" s="18" t="n"/>
      <c r="H416" s="15" t="n"/>
      <c r="I416" s="15" t="n"/>
      <c r="J416" s="18" t="n"/>
      <c r="K416" s="15" t="n"/>
      <c r="L416" s="15" t="n"/>
      <c r="M416" s="15" t="n"/>
      <c r="N416" s="15" t="n"/>
      <c r="O416" s="15" t="n"/>
      <c r="P416" s="15" t="n"/>
      <c r="Q416" s="15" t="n"/>
      <c r="R416" s="15" t="n"/>
      <c r="S416" s="15" t="n"/>
      <c r="T416" s="15" t="n"/>
      <c r="U416" s="15" t="n"/>
      <c r="V416" s="15" t="n"/>
      <c r="W416" s="15" t="n"/>
      <c r="X416" s="15" t="n"/>
      <c r="Y416" s="15" t="n"/>
      <c r="Z416" s="15" t="n"/>
      <c r="AA416" s="15" t="n"/>
      <c r="AB416" s="15" t="n"/>
      <c r="AC416" s="15" t="n"/>
      <c r="AD416" s="15" t="n"/>
      <c r="AE416" s="15" t="n"/>
      <c r="AH416" s="15" t="n"/>
      <c r="AI416" s="15" t="n"/>
      <c r="AJ416" s="15" t="n"/>
      <c r="AK416" s="15" t="n"/>
    </row>
    <row r="417" ht="14.5" customHeight="1">
      <c r="A417" s="17" t="n"/>
      <c r="B417" s="15" t="n"/>
      <c r="C417" s="15" t="n"/>
      <c r="D417" s="15" t="n"/>
      <c r="E417" s="15" t="n"/>
      <c r="F417" s="15" t="n"/>
      <c r="G417" s="18" t="n"/>
      <c r="H417" s="15" t="n"/>
      <c r="I417" s="15" t="n"/>
      <c r="J417" s="18" t="n"/>
      <c r="K417" s="15" t="n"/>
      <c r="L417" s="15" t="n"/>
      <c r="M417" s="15" t="n"/>
      <c r="N417" s="15" t="n"/>
      <c r="O417" s="15" t="n"/>
      <c r="P417" s="15" t="n"/>
      <c r="Q417" s="15" t="n"/>
      <c r="R417" s="15" t="n"/>
      <c r="S417" s="15" t="n"/>
      <c r="T417" s="15" t="n"/>
      <c r="U417" s="15" t="n"/>
      <c r="V417" s="15" t="n"/>
      <c r="W417" s="15" t="n"/>
      <c r="X417" s="15" t="n"/>
      <c r="Y417" s="15" t="n"/>
      <c r="Z417" s="15" t="n"/>
      <c r="AA417" s="15" t="n"/>
      <c r="AB417" s="15" t="n"/>
      <c r="AC417" s="15" t="n"/>
      <c r="AD417" s="15" t="n"/>
      <c r="AE417" s="15" t="n"/>
      <c r="AH417" s="15" t="n"/>
      <c r="AI417" s="15" t="n"/>
      <c r="AJ417" s="15" t="n"/>
      <c r="AK417" s="15" t="n"/>
    </row>
    <row r="418" ht="14.5" customHeight="1">
      <c r="A418" s="17" t="n"/>
      <c r="B418" s="15" t="n"/>
      <c r="C418" s="15" t="n"/>
      <c r="D418" s="15" t="n"/>
      <c r="E418" s="15" t="n"/>
      <c r="F418" s="15" t="n"/>
      <c r="G418" s="18" t="n"/>
      <c r="H418" s="15" t="n"/>
      <c r="I418" s="15" t="n"/>
      <c r="J418" s="18" t="n"/>
      <c r="K418" s="15" t="n"/>
      <c r="L418" s="15" t="n"/>
      <c r="M418" s="15" t="n"/>
      <c r="N418" s="15" t="n"/>
      <c r="O418" s="15" t="n"/>
      <c r="P418" s="15" t="n"/>
      <c r="Q418" s="15" t="n"/>
      <c r="R418" s="15" t="n"/>
      <c r="S418" s="15" t="n"/>
      <c r="T418" s="15" t="n"/>
      <c r="U418" s="15" t="n"/>
      <c r="V418" s="15" t="n"/>
      <c r="W418" s="15" t="n"/>
      <c r="X418" s="15" t="n"/>
      <c r="Y418" s="15" t="n"/>
      <c r="Z418" s="15" t="n"/>
      <c r="AA418" s="15" t="n"/>
      <c r="AB418" s="15" t="n"/>
      <c r="AC418" s="15" t="n"/>
      <c r="AD418" s="15" t="n"/>
      <c r="AE418" s="15" t="n"/>
      <c r="AH418" s="15" t="n"/>
      <c r="AI418" s="15" t="n"/>
      <c r="AJ418" s="15" t="n"/>
      <c r="AK418" s="15" t="n"/>
    </row>
    <row r="419" ht="14.5" customHeight="1">
      <c r="A419" s="17" t="n"/>
      <c r="B419" s="15" t="n"/>
      <c r="C419" s="15" t="n"/>
      <c r="D419" s="15" t="n"/>
      <c r="E419" s="15" t="n"/>
      <c r="F419" s="15" t="n"/>
      <c r="G419" s="18" t="n"/>
      <c r="H419" s="15" t="n"/>
      <c r="I419" s="15" t="n"/>
      <c r="J419" s="18" t="n"/>
      <c r="K419" s="15" t="n"/>
      <c r="L419" s="15" t="n"/>
      <c r="M419" s="15" t="n"/>
      <c r="N419" s="15" t="n"/>
      <c r="O419" s="15" t="n"/>
      <c r="P419" s="15" t="n"/>
      <c r="Q419" s="15" t="n"/>
      <c r="R419" s="15" t="n"/>
      <c r="S419" s="15" t="n"/>
      <c r="T419" s="15" t="n"/>
      <c r="U419" s="15" t="n"/>
      <c r="V419" s="15" t="n"/>
      <c r="W419" s="15" t="n"/>
      <c r="X419" s="15" t="n"/>
      <c r="Y419" s="15" t="n"/>
      <c r="Z419" s="15" t="n"/>
      <c r="AA419" s="15" t="n"/>
      <c r="AB419" s="15" t="n"/>
      <c r="AC419" s="15" t="n"/>
      <c r="AD419" s="15" t="n"/>
      <c r="AE419" s="15" t="n"/>
      <c r="AH419" s="15" t="n"/>
      <c r="AI419" s="15" t="n"/>
      <c r="AJ419" s="15" t="n"/>
      <c r="AK419" s="15" t="n"/>
    </row>
    <row r="420" ht="14.5" customHeight="1">
      <c r="A420" s="17" t="n"/>
      <c r="B420" s="15" t="n"/>
      <c r="C420" s="15" t="n"/>
      <c r="D420" s="15" t="n"/>
      <c r="E420" s="15" t="n"/>
      <c r="F420" s="15" t="n"/>
      <c r="G420" s="18" t="n"/>
      <c r="H420" s="15" t="n"/>
      <c r="I420" s="15" t="n"/>
      <c r="J420" s="18" t="n"/>
      <c r="K420" s="15" t="n"/>
      <c r="L420" s="15" t="n"/>
      <c r="M420" s="15" t="n"/>
      <c r="N420" s="15" t="n"/>
      <c r="O420" s="15" t="n"/>
      <c r="P420" s="15" t="n"/>
      <c r="Q420" s="15" t="n"/>
      <c r="R420" s="15" t="n"/>
      <c r="S420" s="15" t="n"/>
      <c r="T420" s="15" t="n"/>
      <c r="U420" s="15" t="n"/>
      <c r="V420" s="15" t="n"/>
      <c r="W420" s="15" t="n"/>
      <c r="X420" s="15" t="n"/>
      <c r="Y420" s="15" t="n"/>
      <c r="Z420" s="15" t="n"/>
      <c r="AA420" s="15" t="n"/>
      <c r="AB420" s="15" t="n"/>
      <c r="AC420" s="15" t="n"/>
      <c r="AD420" s="15" t="n"/>
      <c r="AE420" s="15" t="n"/>
      <c r="AH420" s="15" t="n"/>
      <c r="AI420" s="15" t="n"/>
      <c r="AJ420" s="15" t="n"/>
      <c r="AK420" s="15" t="n"/>
    </row>
    <row r="421" ht="14.5" customHeight="1">
      <c r="A421" s="17" t="n"/>
      <c r="B421" s="15" t="n"/>
      <c r="C421" s="15" t="n"/>
      <c r="D421" s="15" t="n"/>
      <c r="E421" s="15" t="n"/>
      <c r="F421" s="15" t="n"/>
      <c r="G421" s="18" t="n"/>
      <c r="H421" s="15" t="n"/>
      <c r="I421" s="15" t="n"/>
      <c r="J421" s="18" t="n"/>
      <c r="K421" s="15" t="n"/>
      <c r="L421" s="15" t="n"/>
      <c r="M421" s="15" t="n"/>
      <c r="N421" s="15" t="n"/>
      <c r="O421" s="15" t="n"/>
      <c r="P421" s="15" t="n"/>
      <c r="Q421" s="15" t="n"/>
      <c r="R421" s="15" t="n"/>
      <c r="S421" s="15" t="n"/>
      <c r="T421" s="15" t="n"/>
      <c r="U421" s="15" t="n"/>
      <c r="V421" s="15" t="n"/>
      <c r="W421" s="15" t="n"/>
      <c r="X421" s="15" t="n"/>
      <c r="Y421" s="15" t="n"/>
      <c r="Z421" s="15" t="n"/>
      <c r="AA421" s="15" t="n"/>
      <c r="AB421" s="15" t="n"/>
      <c r="AC421" s="15" t="n"/>
      <c r="AD421" s="15" t="n"/>
      <c r="AE421" s="15" t="n"/>
      <c r="AH421" s="15" t="n"/>
      <c r="AI421" s="15" t="n"/>
      <c r="AJ421" s="15" t="n"/>
      <c r="AK421" s="15" t="n"/>
    </row>
    <row r="422" ht="14.5" customHeight="1">
      <c r="A422" s="17" t="n"/>
      <c r="B422" s="15" t="n"/>
      <c r="C422" s="15" t="n"/>
      <c r="D422" s="15" t="n"/>
      <c r="E422" s="15" t="n"/>
      <c r="F422" s="15" t="n"/>
      <c r="G422" s="18" t="n"/>
      <c r="H422" s="15" t="n"/>
      <c r="I422" s="15" t="n"/>
      <c r="J422" s="18" t="n"/>
      <c r="K422" s="15" t="n"/>
      <c r="L422" s="15" t="n"/>
      <c r="M422" s="15" t="n"/>
      <c r="N422" s="15" t="n"/>
      <c r="O422" s="15" t="n"/>
      <c r="P422" s="15" t="n"/>
      <c r="Q422" s="15" t="n"/>
      <c r="R422" s="15" t="n"/>
      <c r="S422" s="15" t="n"/>
      <c r="T422" s="15" t="n"/>
      <c r="U422" s="15" t="n"/>
      <c r="V422" s="15" t="n"/>
      <c r="W422" s="15" t="n"/>
      <c r="X422" s="15" t="n"/>
      <c r="Y422" s="15" t="n"/>
      <c r="Z422" s="15" t="n"/>
      <c r="AA422" s="15" t="n"/>
      <c r="AB422" s="15" t="n"/>
      <c r="AC422" s="15" t="n"/>
      <c r="AD422" s="15" t="n"/>
      <c r="AE422" s="15" t="n"/>
      <c r="AH422" s="15" t="n"/>
      <c r="AI422" s="15" t="n"/>
      <c r="AJ422" s="15" t="n"/>
      <c r="AK422" s="15" t="n"/>
    </row>
    <row r="423" ht="14.5" customHeight="1">
      <c r="A423" s="17" t="n"/>
      <c r="B423" s="15" t="n"/>
      <c r="C423" s="15" t="n"/>
      <c r="D423" s="15" t="n"/>
      <c r="E423" s="15" t="n"/>
      <c r="F423" s="15" t="n"/>
      <c r="G423" s="18" t="n"/>
      <c r="H423" s="15" t="n"/>
      <c r="I423" s="15" t="n"/>
      <c r="J423" s="18" t="n"/>
      <c r="K423" s="15" t="n"/>
      <c r="L423" s="15" t="n"/>
      <c r="M423" s="15" t="n"/>
      <c r="N423" s="15" t="n"/>
      <c r="O423" s="15" t="n"/>
      <c r="P423" s="15" t="n"/>
      <c r="Q423" s="15" t="n"/>
      <c r="R423" s="15" t="n"/>
      <c r="S423" s="15" t="n"/>
      <c r="T423" s="15" t="n"/>
      <c r="U423" s="15" t="n"/>
      <c r="V423" s="15" t="n"/>
      <c r="W423" s="15" t="n"/>
      <c r="X423" s="15" t="n"/>
      <c r="Y423" s="15" t="n"/>
      <c r="Z423" s="15" t="n"/>
      <c r="AA423" s="15" t="n"/>
      <c r="AB423" s="15" t="n"/>
      <c r="AC423" s="15" t="n"/>
      <c r="AD423" s="15" t="n"/>
      <c r="AE423" s="15" t="n"/>
      <c r="AH423" s="15" t="n"/>
      <c r="AI423" s="15" t="n"/>
      <c r="AJ423" s="15" t="n"/>
      <c r="AK423" s="15" t="n"/>
    </row>
    <row r="424" ht="14.5" customHeight="1">
      <c r="A424" s="17" t="n"/>
      <c r="B424" s="15" t="n"/>
      <c r="C424" s="15" t="n"/>
      <c r="D424" s="15" t="n"/>
      <c r="E424" s="15" t="n"/>
      <c r="F424" s="15" t="n"/>
      <c r="G424" s="18" t="n"/>
      <c r="H424" s="15" t="n"/>
      <c r="I424" s="15" t="n"/>
      <c r="J424" s="18" t="n"/>
      <c r="K424" s="15" t="n"/>
      <c r="L424" s="15" t="n"/>
      <c r="M424" s="15" t="n"/>
      <c r="N424" s="15" t="n"/>
      <c r="O424" s="15" t="n"/>
      <c r="P424" s="15" t="n"/>
      <c r="Q424" s="15" t="n"/>
      <c r="R424" s="15" t="n"/>
      <c r="S424" s="15" t="n"/>
      <c r="T424" s="15" t="n"/>
      <c r="U424" s="15" t="n"/>
      <c r="V424" s="15" t="n"/>
      <c r="W424" s="15" t="n"/>
      <c r="X424" s="15" t="n"/>
      <c r="Y424" s="15" t="n"/>
      <c r="Z424" s="15" t="n"/>
      <c r="AA424" s="15" t="n"/>
      <c r="AB424" s="15" t="n"/>
      <c r="AC424" s="15" t="n"/>
      <c r="AD424" s="15" t="n"/>
      <c r="AE424" s="15" t="n"/>
      <c r="AH424" s="15" t="n"/>
      <c r="AI424" s="15" t="n"/>
      <c r="AJ424" s="15" t="n"/>
      <c r="AK424" s="15" t="n"/>
    </row>
    <row r="425" ht="14.5" customHeight="1">
      <c r="A425" s="17" t="n"/>
      <c r="B425" s="15" t="n"/>
      <c r="C425" s="15" t="n"/>
      <c r="D425" s="15" t="n"/>
      <c r="E425" s="15" t="n"/>
      <c r="F425" s="15" t="n"/>
      <c r="G425" s="18" t="n"/>
      <c r="H425" s="15" t="n"/>
      <c r="I425" s="15" t="n"/>
      <c r="J425" s="18" t="n"/>
      <c r="K425" s="15" t="n"/>
      <c r="L425" s="15" t="n"/>
      <c r="M425" s="15" t="n"/>
      <c r="N425" s="15" t="n"/>
      <c r="O425" s="15" t="n"/>
      <c r="P425" s="15" t="n"/>
      <c r="Q425" s="15" t="n"/>
      <c r="R425" s="15" t="n"/>
      <c r="S425" s="15" t="n"/>
      <c r="T425" s="15" t="n"/>
      <c r="U425" s="15" t="n"/>
      <c r="V425" s="15" t="n"/>
      <c r="W425" s="15" t="n"/>
      <c r="X425" s="15" t="n"/>
      <c r="Y425" s="15" t="n"/>
      <c r="Z425" s="15" t="n"/>
      <c r="AA425" s="15" t="n"/>
      <c r="AB425" s="15" t="n"/>
      <c r="AC425" s="15" t="n"/>
      <c r="AD425" s="15" t="n"/>
      <c r="AE425" s="15" t="n"/>
      <c r="AH425" s="15" t="n"/>
      <c r="AI425" s="15" t="n"/>
      <c r="AJ425" s="15" t="n"/>
      <c r="AK425" s="15" t="n"/>
    </row>
    <row r="426" ht="14.5" customHeight="1">
      <c r="A426" s="17" t="n"/>
      <c r="B426" s="15" t="n"/>
      <c r="C426" s="15" t="n"/>
      <c r="D426" s="15" t="n"/>
      <c r="E426" s="15" t="n"/>
      <c r="F426" s="15" t="n"/>
      <c r="G426" s="18" t="n"/>
      <c r="H426" s="15" t="n"/>
      <c r="I426" s="15" t="n"/>
      <c r="J426" s="18" t="n"/>
      <c r="K426" s="15" t="n"/>
      <c r="L426" s="15" t="n"/>
      <c r="M426" s="15" t="n"/>
      <c r="N426" s="15" t="n"/>
      <c r="O426" s="15" t="n"/>
      <c r="P426" s="15" t="n"/>
      <c r="Q426" s="15" t="n"/>
      <c r="R426" s="15" t="n"/>
      <c r="S426" s="15" t="n"/>
      <c r="T426" s="15" t="n"/>
      <c r="U426" s="15" t="n"/>
      <c r="V426" s="15" t="n"/>
      <c r="W426" s="15" t="n"/>
      <c r="X426" s="15" t="n"/>
      <c r="Y426" s="15" t="n"/>
      <c r="Z426" s="15" t="n"/>
      <c r="AA426" s="15" t="n"/>
      <c r="AB426" s="15" t="n"/>
      <c r="AC426" s="15" t="n"/>
      <c r="AD426" s="15" t="n"/>
      <c r="AE426" s="15" t="n"/>
      <c r="AH426" s="15" t="n"/>
      <c r="AI426" s="15" t="n"/>
      <c r="AJ426" s="15" t="n"/>
      <c r="AK426" s="15" t="n"/>
    </row>
    <row r="427" ht="14.5" customHeight="1">
      <c r="A427" s="17" t="n"/>
      <c r="B427" s="15" t="n"/>
      <c r="C427" s="15" t="n"/>
      <c r="D427" s="15" t="n"/>
      <c r="E427" s="15" t="n"/>
      <c r="F427" s="15" t="n"/>
      <c r="G427" s="18" t="n"/>
      <c r="H427" s="15" t="n"/>
      <c r="I427" s="15" t="n"/>
      <c r="J427" s="18" t="n"/>
      <c r="K427" s="15" t="n"/>
      <c r="L427" s="15" t="n"/>
      <c r="M427" s="15" t="n"/>
      <c r="N427" s="15" t="n"/>
      <c r="O427" s="15" t="n"/>
      <c r="P427" s="15" t="n"/>
      <c r="Q427" s="15" t="n"/>
      <c r="R427" s="15" t="n"/>
      <c r="S427" s="15" t="n"/>
      <c r="T427" s="15" t="n"/>
      <c r="U427" s="15" t="n"/>
      <c r="V427" s="15" t="n"/>
      <c r="W427" s="15" t="n"/>
      <c r="X427" s="15" t="n"/>
      <c r="Y427" s="15" t="n"/>
      <c r="Z427" s="15" t="n"/>
      <c r="AA427" s="15" t="n"/>
      <c r="AB427" s="15" t="n"/>
      <c r="AC427" s="15" t="n"/>
      <c r="AD427" s="15" t="n"/>
      <c r="AE427" s="15" t="n"/>
      <c r="AH427" s="15" t="n"/>
      <c r="AI427" s="15" t="n"/>
      <c r="AJ427" s="15" t="n"/>
      <c r="AK427" s="15" t="n"/>
    </row>
    <row r="428" ht="14.5" customHeight="1">
      <c r="A428" s="17" t="n"/>
      <c r="B428" s="15" t="n"/>
      <c r="C428" s="15" t="n"/>
      <c r="D428" s="15" t="n"/>
      <c r="E428" s="15" t="n"/>
      <c r="F428" s="15" t="n"/>
      <c r="G428" s="18" t="n"/>
      <c r="H428" s="15" t="n"/>
      <c r="I428" s="15" t="n"/>
      <c r="J428" s="18" t="n"/>
      <c r="K428" s="15" t="n"/>
      <c r="L428" s="15" t="n"/>
      <c r="M428" s="15" t="n"/>
      <c r="N428" s="15" t="n"/>
      <c r="O428" s="15" t="n"/>
      <c r="P428" s="15" t="n"/>
      <c r="Q428" s="15" t="n"/>
      <c r="R428" s="15" t="n"/>
      <c r="S428" s="15" t="n"/>
      <c r="T428" s="15" t="n"/>
      <c r="U428" s="15" t="n"/>
      <c r="V428" s="15" t="n"/>
      <c r="W428" s="15" t="n"/>
      <c r="X428" s="15" t="n"/>
      <c r="Y428" s="15" t="n"/>
      <c r="Z428" s="15" t="n"/>
      <c r="AA428" s="15" t="n"/>
      <c r="AB428" s="15" t="n"/>
      <c r="AC428" s="15" t="n"/>
      <c r="AD428" s="15" t="n"/>
      <c r="AE428" s="15" t="n"/>
      <c r="AH428" s="15" t="n"/>
      <c r="AI428" s="15" t="n"/>
      <c r="AJ428" s="15" t="n"/>
      <c r="AK428" s="15" t="n"/>
    </row>
    <row r="429" ht="14.5" customHeight="1">
      <c r="A429" s="17" t="n"/>
      <c r="B429" s="15" t="n"/>
      <c r="C429" s="15" t="n"/>
      <c r="D429" s="15" t="n"/>
      <c r="E429" s="15" t="n"/>
      <c r="F429" s="15" t="n"/>
      <c r="G429" s="18" t="n"/>
      <c r="H429" s="15" t="n"/>
      <c r="I429" s="15" t="n"/>
      <c r="J429" s="18" t="n"/>
      <c r="K429" s="15" t="n"/>
      <c r="L429" s="15" t="n"/>
      <c r="M429" s="15" t="n"/>
      <c r="N429" s="15" t="n"/>
      <c r="O429" s="15" t="n"/>
      <c r="P429" s="15" t="n"/>
      <c r="Q429" s="15" t="n"/>
      <c r="R429" s="15" t="n"/>
      <c r="S429" s="15" t="n"/>
      <c r="T429" s="15" t="n"/>
      <c r="U429" s="15" t="n"/>
      <c r="V429" s="15" t="n"/>
      <c r="W429" s="15" t="n"/>
      <c r="X429" s="15" t="n"/>
      <c r="Y429" s="15" t="n"/>
      <c r="Z429" s="15" t="n"/>
      <c r="AA429" s="15" t="n"/>
      <c r="AB429" s="15" t="n"/>
      <c r="AC429" s="15" t="n"/>
      <c r="AD429" s="15" t="n"/>
      <c r="AE429" s="15" t="n"/>
      <c r="AH429" s="15" t="n"/>
      <c r="AI429" s="15" t="n"/>
      <c r="AJ429" s="15" t="n"/>
      <c r="AK429" s="15" t="n"/>
    </row>
    <row r="430" ht="14.5" customHeight="1">
      <c r="A430" s="17" t="n"/>
      <c r="B430" s="15" t="n"/>
      <c r="C430" s="15" t="n"/>
      <c r="D430" s="15" t="n"/>
      <c r="E430" s="15" t="n"/>
      <c r="F430" s="15" t="n"/>
      <c r="G430" s="18" t="n"/>
      <c r="H430" s="15" t="n"/>
      <c r="I430" s="15" t="n"/>
      <c r="J430" s="18" t="n"/>
      <c r="K430" s="15" t="n"/>
      <c r="L430" s="15" t="n"/>
      <c r="M430" s="15" t="n"/>
      <c r="N430" s="15" t="n"/>
      <c r="O430" s="15" t="n"/>
      <c r="P430" s="15" t="n"/>
      <c r="Q430" s="15" t="n"/>
      <c r="R430" s="15" t="n"/>
      <c r="S430" s="15" t="n"/>
      <c r="T430" s="15" t="n"/>
      <c r="U430" s="15" t="n"/>
      <c r="V430" s="15" t="n"/>
      <c r="W430" s="15" t="n"/>
      <c r="X430" s="15" t="n"/>
      <c r="Y430" s="15" t="n"/>
      <c r="Z430" s="15" t="n"/>
      <c r="AA430" s="15" t="n"/>
      <c r="AB430" s="15" t="n"/>
      <c r="AC430" s="15" t="n"/>
      <c r="AD430" s="15" t="n"/>
      <c r="AE430" s="15" t="n"/>
      <c r="AH430" s="15" t="n"/>
      <c r="AI430" s="15" t="n"/>
      <c r="AJ430" s="15" t="n"/>
      <c r="AK430" s="15" t="n"/>
    </row>
    <row r="431" ht="14.5" customHeight="1">
      <c r="A431" s="17" t="n"/>
      <c r="B431" s="15" t="n"/>
      <c r="C431" s="15" t="n"/>
      <c r="D431" s="15" t="n"/>
      <c r="E431" s="15" t="n"/>
      <c r="F431" s="15" t="n"/>
      <c r="G431" s="18" t="n"/>
      <c r="H431" s="15" t="n"/>
      <c r="I431" s="15" t="n"/>
      <c r="J431" s="18" t="n"/>
      <c r="K431" s="15" t="n"/>
      <c r="L431" s="15" t="n"/>
      <c r="M431" s="15" t="n"/>
      <c r="N431" s="15" t="n"/>
      <c r="O431" s="15" t="n"/>
      <c r="P431" s="15" t="n"/>
      <c r="Q431" s="15" t="n"/>
      <c r="R431" s="15" t="n"/>
      <c r="S431" s="15" t="n"/>
      <c r="T431" s="15" t="n"/>
      <c r="U431" s="15" t="n"/>
      <c r="V431" s="15" t="n"/>
      <c r="W431" s="15" t="n"/>
      <c r="X431" s="15" t="n"/>
      <c r="Y431" s="15" t="n"/>
      <c r="Z431" s="15" t="n"/>
      <c r="AA431" s="15" t="n"/>
      <c r="AB431" s="15" t="n"/>
      <c r="AC431" s="15" t="n"/>
      <c r="AD431" s="15" t="n"/>
      <c r="AE431" s="15" t="n"/>
      <c r="AH431" s="15" t="n"/>
      <c r="AI431" s="15" t="n"/>
      <c r="AJ431" s="15" t="n"/>
      <c r="AK431" s="15" t="n"/>
    </row>
    <row r="432" ht="14.5" customHeight="1">
      <c r="A432" s="17" t="n"/>
      <c r="B432" s="15" t="n"/>
      <c r="C432" s="15" t="n"/>
      <c r="D432" s="15" t="n"/>
      <c r="E432" s="15" t="n"/>
      <c r="F432" s="15" t="n"/>
      <c r="G432" s="18" t="n"/>
      <c r="H432" s="15" t="n"/>
      <c r="I432" s="15" t="n"/>
      <c r="J432" s="18" t="n"/>
      <c r="K432" s="15" t="n"/>
      <c r="L432" s="15" t="n"/>
      <c r="M432" s="15" t="n"/>
      <c r="N432" s="15" t="n"/>
      <c r="O432" s="15" t="n"/>
      <c r="P432" s="15" t="n"/>
      <c r="Q432" s="15" t="n"/>
      <c r="R432" s="15" t="n"/>
      <c r="S432" s="15" t="n"/>
      <c r="T432" s="15" t="n"/>
      <c r="U432" s="15" t="n"/>
      <c r="V432" s="15" t="n"/>
      <c r="W432" s="15" t="n"/>
      <c r="X432" s="15" t="n"/>
      <c r="Y432" s="15" t="n"/>
      <c r="Z432" s="15" t="n"/>
      <c r="AA432" s="15" t="n"/>
      <c r="AB432" s="15" t="n"/>
      <c r="AC432" s="15" t="n"/>
      <c r="AD432" s="15" t="n"/>
      <c r="AE432" s="15" t="n"/>
      <c r="AH432" s="15" t="n"/>
      <c r="AI432" s="15" t="n"/>
      <c r="AJ432" s="15" t="n"/>
      <c r="AK432" s="15" t="n"/>
    </row>
    <row r="433" ht="14.5" customHeight="1">
      <c r="A433" s="17" t="n"/>
      <c r="B433" s="15" t="n"/>
      <c r="C433" s="15" t="n"/>
      <c r="D433" s="15" t="n"/>
      <c r="E433" s="15" t="n"/>
      <c r="F433" s="15" t="n"/>
      <c r="G433" s="18" t="n"/>
      <c r="H433" s="15" t="n"/>
      <c r="I433" s="15" t="n"/>
      <c r="J433" s="18" t="n"/>
      <c r="K433" s="15" t="n"/>
      <c r="L433" s="15" t="n"/>
      <c r="M433" s="15" t="n"/>
      <c r="N433" s="15" t="n"/>
      <c r="O433" s="15" t="n"/>
      <c r="P433" s="15" t="n"/>
      <c r="Q433" s="15" t="n"/>
      <c r="R433" s="15" t="n"/>
      <c r="S433" s="15" t="n"/>
      <c r="T433" s="15" t="n"/>
      <c r="U433" s="15" t="n"/>
      <c r="V433" s="15" t="n"/>
      <c r="W433" s="15" t="n"/>
      <c r="X433" s="15" t="n"/>
      <c r="Y433" s="15" t="n"/>
      <c r="Z433" s="15" t="n"/>
      <c r="AA433" s="15" t="n"/>
      <c r="AB433" s="15" t="n"/>
      <c r="AC433" s="15" t="n"/>
      <c r="AD433" s="15" t="n"/>
      <c r="AE433" s="15" t="n"/>
      <c r="AH433" s="15" t="n"/>
      <c r="AI433" s="15" t="n"/>
      <c r="AJ433" s="15" t="n"/>
      <c r="AK433" s="15" t="n"/>
    </row>
    <row r="434" ht="14.5" customHeight="1">
      <c r="A434" s="17" t="n"/>
      <c r="B434" s="15" t="n"/>
      <c r="C434" s="15" t="n"/>
      <c r="D434" s="15" t="n"/>
      <c r="E434" s="15" t="n"/>
      <c r="F434" s="15" t="n"/>
      <c r="G434" s="18" t="n"/>
      <c r="H434" s="15" t="n"/>
      <c r="I434" s="15" t="n"/>
      <c r="J434" s="18" t="n"/>
      <c r="K434" s="15" t="n"/>
      <c r="L434" s="15" t="n"/>
      <c r="M434" s="15" t="n"/>
      <c r="N434" s="15" t="n"/>
      <c r="O434" s="15" t="n"/>
      <c r="P434" s="15" t="n"/>
      <c r="Q434" s="15" t="n"/>
      <c r="R434" s="15" t="n"/>
      <c r="S434" s="15" t="n"/>
      <c r="T434" s="15" t="n"/>
      <c r="U434" s="15" t="n"/>
      <c r="V434" s="15" t="n"/>
      <c r="W434" s="15" t="n"/>
      <c r="X434" s="15" t="n"/>
      <c r="Y434" s="15" t="n"/>
      <c r="Z434" s="15" t="n"/>
      <c r="AA434" s="15" t="n"/>
      <c r="AB434" s="15" t="n"/>
      <c r="AC434" s="15" t="n"/>
      <c r="AD434" s="15" t="n"/>
      <c r="AE434" s="15" t="n"/>
      <c r="AH434" s="15" t="n"/>
      <c r="AI434" s="15" t="n"/>
      <c r="AJ434" s="15" t="n"/>
      <c r="AK434" s="15" t="n"/>
    </row>
    <row r="435" ht="14.5" customHeight="1">
      <c r="A435" s="17" t="n"/>
      <c r="B435" s="15" t="n"/>
      <c r="C435" s="15" t="n"/>
      <c r="D435" s="15" t="n"/>
      <c r="E435" s="15" t="n"/>
      <c r="F435" s="15" t="n"/>
      <c r="G435" s="18" t="n"/>
      <c r="H435" s="15" t="n"/>
      <c r="I435" s="15" t="n"/>
      <c r="J435" s="18" t="n"/>
      <c r="K435" s="15" t="n"/>
      <c r="L435" s="15" t="n"/>
      <c r="M435" s="15" t="n"/>
      <c r="N435" s="15" t="n"/>
      <c r="O435" s="15" t="n"/>
      <c r="P435" s="15" t="n"/>
      <c r="Q435" s="15" t="n"/>
      <c r="R435" s="15" t="n"/>
      <c r="S435" s="15" t="n"/>
      <c r="T435" s="15" t="n"/>
      <c r="U435" s="15" t="n"/>
      <c r="V435" s="15" t="n"/>
      <c r="W435" s="15" t="n"/>
      <c r="X435" s="15" t="n"/>
      <c r="Y435" s="15" t="n"/>
      <c r="Z435" s="15" t="n"/>
      <c r="AA435" s="15" t="n"/>
      <c r="AB435" s="15" t="n"/>
      <c r="AC435" s="15" t="n"/>
      <c r="AD435" s="15" t="n"/>
      <c r="AE435" s="15" t="n"/>
      <c r="AH435" s="15" t="n"/>
      <c r="AI435" s="15" t="n"/>
      <c r="AJ435" s="15" t="n"/>
      <c r="AK435" s="15" t="n"/>
    </row>
    <row r="436" ht="14.5" customHeight="1">
      <c r="A436" s="17" t="n"/>
      <c r="B436" s="15" t="n"/>
      <c r="C436" s="15" t="n"/>
      <c r="D436" s="15" t="n"/>
      <c r="E436" s="15" t="n"/>
      <c r="F436" s="15" t="n"/>
      <c r="G436" s="18" t="n"/>
      <c r="H436" s="15" t="n"/>
      <c r="I436" s="15" t="n"/>
      <c r="J436" s="18" t="n"/>
      <c r="K436" s="15" t="n"/>
      <c r="L436" s="15" t="n"/>
      <c r="M436" s="15" t="n"/>
      <c r="N436" s="15" t="n"/>
      <c r="O436" s="15" t="n"/>
      <c r="P436" s="15" t="n"/>
      <c r="Q436" s="15" t="n"/>
      <c r="R436" s="15" t="n"/>
      <c r="S436" s="15" t="n"/>
      <c r="T436" s="15" t="n"/>
      <c r="U436" s="15" t="n"/>
      <c r="V436" s="15" t="n"/>
      <c r="W436" s="15" t="n"/>
      <c r="X436" s="15" t="n"/>
      <c r="Y436" s="15" t="n"/>
      <c r="Z436" s="15" t="n"/>
      <c r="AA436" s="15" t="n"/>
      <c r="AB436" s="15" t="n"/>
      <c r="AC436" s="15" t="n"/>
      <c r="AD436" s="15" t="n"/>
      <c r="AE436" s="15" t="n"/>
      <c r="AH436" s="15" t="n"/>
      <c r="AI436" s="15" t="n"/>
      <c r="AJ436" s="15" t="n"/>
      <c r="AK436" s="15" t="n"/>
    </row>
    <row r="437" ht="14.5" customHeight="1">
      <c r="A437" s="17" t="n"/>
      <c r="B437" s="15" t="n"/>
      <c r="C437" s="15" t="n"/>
      <c r="D437" s="15" t="n"/>
      <c r="E437" s="15" t="n"/>
      <c r="F437" s="15" t="n"/>
      <c r="G437" s="18" t="n"/>
      <c r="H437" s="15" t="n"/>
      <c r="I437" s="15" t="n"/>
      <c r="J437" s="18" t="n"/>
      <c r="K437" s="15" t="n"/>
      <c r="L437" s="15" t="n"/>
      <c r="M437" s="15" t="n"/>
      <c r="N437" s="15" t="n"/>
      <c r="O437" s="15" t="n"/>
      <c r="P437" s="15" t="n"/>
      <c r="Q437" s="15" t="n"/>
      <c r="R437" s="15" t="n"/>
      <c r="S437" s="15" t="n"/>
      <c r="T437" s="15" t="n"/>
      <c r="U437" s="15" t="n"/>
      <c r="V437" s="15" t="n"/>
      <c r="W437" s="15" t="n"/>
      <c r="X437" s="15" t="n"/>
      <c r="Y437" s="15" t="n"/>
      <c r="Z437" s="15" t="n"/>
      <c r="AA437" s="15" t="n"/>
      <c r="AB437" s="15" t="n"/>
      <c r="AC437" s="15" t="n"/>
      <c r="AD437" s="15" t="n"/>
      <c r="AE437" s="15" t="n"/>
      <c r="AH437" s="15" t="n"/>
      <c r="AI437" s="15" t="n"/>
      <c r="AJ437" s="15" t="n"/>
      <c r="AK437" s="15" t="n"/>
    </row>
    <row r="438" ht="14.5" customHeight="1">
      <c r="A438" s="17" t="n"/>
      <c r="B438" s="15" t="n"/>
      <c r="C438" s="15" t="n"/>
      <c r="D438" s="15" t="n"/>
      <c r="E438" s="15" t="n"/>
      <c r="F438" s="15" t="n"/>
      <c r="G438" s="18" t="n"/>
      <c r="H438" s="15" t="n"/>
      <c r="I438" s="15" t="n"/>
      <c r="J438" s="18" t="n"/>
      <c r="K438" s="15" t="n"/>
      <c r="L438" s="15" t="n"/>
      <c r="M438" s="15" t="n"/>
      <c r="N438" s="15" t="n"/>
      <c r="O438" s="15" t="n"/>
      <c r="P438" s="15" t="n"/>
      <c r="Q438" s="15" t="n"/>
      <c r="R438" s="15" t="n"/>
      <c r="S438" s="15" t="n"/>
      <c r="T438" s="15" t="n"/>
      <c r="U438" s="15" t="n"/>
      <c r="V438" s="15" t="n"/>
      <c r="W438" s="15" t="n"/>
      <c r="X438" s="15" t="n"/>
      <c r="Y438" s="15" t="n"/>
      <c r="Z438" s="15" t="n"/>
      <c r="AA438" s="15" t="n"/>
      <c r="AB438" s="15" t="n"/>
      <c r="AC438" s="15" t="n"/>
      <c r="AD438" s="15" t="n"/>
      <c r="AE438" s="15" t="n"/>
      <c r="AH438" s="15" t="n"/>
      <c r="AI438" s="15" t="n"/>
      <c r="AJ438" s="15" t="n"/>
      <c r="AK438" s="15" t="n"/>
    </row>
    <row r="439" ht="14.5" customHeight="1">
      <c r="A439" s="17" t="n"/>
      <c r="B439" s="15" t="n"/>
      <c r="C439" s="15" t="n"/>
      <c r="D439" s="15" t="n"/>
      <c r="E439" s="15" t="n"/>
      <c r="F439" s="15" t="n"/>
      <c r="G439" s="18" t="n"/>
      <c r="H439" s="15" t="n"/>
      <c r="I439" s="15" t="n"/>
      <c r="J439" s="18" t="n"/>
      <c r="K439" s="15" t="n"/>
      <c r="L439" s="15" t="n"/>
      <c r="M439" s="15" t="n"/>
      <c r="N439" s="15" t="n"/>
      <c r="O439" s="15" t="n"/>
      <c r="P439" s="15" t="n"/>
      <c r="Q439" s="15" t="n"/>
      <c r="R439" s="15" t="n"/>
      <c r="S439" s="15" t="n"/>
      <c r="T439" s="15" t="n"/>
      <c r="U439" s="15" t="n"/>
      <c r="V439" s="15" t="n"/>
      <c r="W439" s="15" t="n"/>
      <c r="X439" s="15" t="n"/>
      <c r="Y439" s="15" t="n"/>
      <c r="Z439" s="15" t="n"/>
      <c r="AA439" s="15" t="n"/>
      <c r="AB439" s="15" t="n"/>
      <c r="AC439" s="15" t="n"/>
      <c r="AD439" s="15" t="n"/>
      <c r="AE439" s="15" t="n"/>
      <c r="AH439" s="15" t="n"/>
      <c r="AI439" s="15" t="n"/>
      <c r="AJ439" s="15" t="n"/>
      <c r="AK439" s="15" t="n"/>
    </row>
    <row r="440" ht="14.5" customHeight="1">
      <c r="A440" s="17" t="n"/>
      <c r="B440" s="15" t="n"/>
      <c r="C440" s="15" t="n"/>
      <c r="D440" s="15" t="n"/>
      <c r="E440" s="15" t="n"/>
      <c r="F440" s="15" t="n"/>
      <c r="G440" s="18" t="n"/>
      <c r="H440" s="15" t="n"/>
      <c r="I440" s="15" t="n"/>
      <c r="J440" s="18" t="n"/>
      <c r="K440" s="15" t="n"/>
      <c r="L440" s="15" t="n"/>
      <c r="M440" s="15" t="n"/>
      <c r="N440" s="15" t="n"/>
      <c r="O440" s="15" t="n"/>
      <c r="P440" s="15" t="n"/>
      <c r="Q440" s="15" t="n"/>
      <c r="R440" s="15" t="n"/>
      <c r="S440" s="15" t="n"/>
      <c r="T440" s="15" t="n"/>
      <c r="U440" s="15" t="n"/>
      <c r="V440" s="15" t="n"/>
      <c r="W440" s="15" t="n"/>
      <c r="X440" s="15" t="n"/>
      <c r="Y440" s="15" t="n"/>
      <c r="Z440" s="15" t="n"/>
      <c r="AA440" s="15" t="n"/>
      <c r="AB440" s="15" t="n"/>
      <c r="AC440" s="15" t="n"/>
      <c r="AD440" s="15" t="n"/>
      <c r="AE440" s="15" t="n"/>
      <c r="AH440" s="15" t="n"/>
      <c r="AI440" s="15" t="n"/>
      <c r="AJ440" s="15" t="n"/>
      <c r="AK440" s="15" t="n"/>
    </row>
    <row r="441" ht="14.5" customHeight="1">
      <c r="A441" s="17" t="n"/>
      <c r="B441" s="15" t="n"/>
      <c r="C441" s="15" t="n"/>
      <c r="D441" s="15" t="n"/>
      <c r="E441" s="15" t="n"/>
      <c r="F441" s="15" t="n"/>
      <c r="G441" s="18" t="n"/>
      <c r="H441" s="15" t="n"/>
      <c r="I441" s="15" t="n"/>
      <c r="J441" s="18" t="n"/>
      <c r="K441" s="15" t="n"/>
      <c r="L441" s="15" t="n"/>
      <c r="M441" s="15" t="n"/>
      <c r="N441" s="15" t="n"/>
      <c r="O441" s="15" t="n"/>
      <c r="P441" s="15" t="n"/>
      <c r="Q441" s="15" t="n"/>
      <c r="R441" s="15" t="n"/>
      <c r="S441" s="15" t="n"/>
      <c r="T441" s="15" t="n"/>
      <c r="U441" s="15" t="n"/>
      <c r="V441" s="15" t="n"/>
      <c r="W441" s="15" t="n"/>
      <c r="X441" s="15" t="n"/>
      <c r="Y441" s="15" t="n"/>
      <c r="Z441" s="15" t="n"/>
      <c r="AA441" s="15" t="n"/>
      <c r="AB441" s="15" t="n"/>
      <c r="AC441" s="15" t="n"/>
      <c r="AD441" s="15" t="n"/>
      <c r="AE441" s="15" t="n"/>
      <c r="AH441" s="15" t="n"/>
      <c r="AI441" s="15" t="n"/>
      <c r="AJ441" s="15" t="n"/>
      <c r="AK441" s="15" t="n"/>
    </row>
    <row r="442" ht="14.5" customHeight="1">
      <c r="A442" s="17" t="n"/>
      <c r="B442" s="15" t="n"/>
      <c r="C442" s="15" t="n"/>
      <c r="D442" s="15" t="n"/>
      <c r="E442" s="15" t="n"/>
      <c r="F442" s="15" t="n"/>
      <c r="G442" s="18" t="n"/>
      <c r="H442" s="15" t="n"/>
      <c r="I442" s="15" t="n"/>
      <c r="J442" s="18" t="n"/>
      <c r="K442" s="15" t="n"/>
      <c r="L442" s="15" t="n"/>
      <c r="M442" s="15" t="n"/>
      <c r="N442" s="15" t="n"/>
      <c r="O442" s="15" t="n"/>
      <c r="P442" s="15" t="n"/>
      <c r="Q442" s="15" t="n"/>
      <c r="R442" s="15" t="n"/>
      <c r="S442" s="15" t="n"/>
      <c r="T442" s="15" t="n"/>
      <c r="U442" s="15" t="n"/>
      <c r="V442" s="15" t="n"/>
      <c r="W442" s="15" t="n"/>
      <c r="X442" s="15" t="n"/>
      <c r="Y442" s="15" t="n"/>
      <c r="Z442" s="15" t="n"/>
      <c r="AA442" s="15" t="n"/>
      <c r="AB442" s="15" t="n"/>
      <c r="AC442" s="15" t="n"/>
      <c r="AD442" s="15" t="n"/>
      <c r="AE442" s="15" t="n"/>
      <c r="AH442" s="15" t="n"/>
      <c r="AI442" s="15" t="n"/>
      <c r="AJ442" s="15" t="n"/>
      <c r="AK442" s="15" t="n"/>
    </row>
    <row r="443" ht="14.5" customHeight="1">
      <c r="A443" s="17" t="n"/>
      <c r="B443" s="15" t="n"/>
      <c r="C443" s="15" t="n"/>
      <c r="D443" s="15" t="n"/>
      <c r="E443" s="15" t="n"/>
      <c r="F443" s="15" t="n"/>
      <c r="G443" s="18" t="n"/>
      <c r="H443" s="15" t="n"/>
      <c r="I443" s="15" t="n"/>
      <c r="J443" s="18" t="n"/>
      <c r="K443" s="15" t="n"/>
      <c r="L443" s="15" t="n"/>
      <c r="M443" s="15" t="n"/>
      <c r="N443" s="15" t="n"/>
      <c r="O443" s="15" t="n"/>
      <c r="P443" s="15" t="n"/>
      <c r="Q443" s="15" t="n"/>
      <c r="R443" s="15" t="n"/>
      <c r="S443" s="15" t="n"/>
      <c r="T443" s="15" t="n"/>
      <c r="U443" s="15" t="n"/>
      <c r="V443" s="15" t="n"/>
      <c r="W443" s="15" t="n"/>
      <c r="X443" s="15" t="n"/>
      <c r="Y443" s="15" t="n"/>
      <c r="Z443" s="15" t="n"/>
      <c r="AA443" s="15" t="n"/>
      <c r="AB443" s="15" t="n"/>
      <c r="AC443" s="15" t="n"/>
      <c r="AD443" s="15" t="n"/>
      <c r="AE443" s="15" t="n"/>
      <c r="AH443" s="15" t="n"/>
      <c r="AI443" s="15" t="n"/>
      <c r="AJ443" s="15" t="n"/>
      <c r="AK443" s="15" t="n"/>
    </row>
    <row r="444" ht="14.5" customHeight="1">
      <c r="A444" s="17" t="n"/>
      <c r="B444" s="15" t="n"/>
      <c r="C444" s="15" t="n"/>
      <c r="D444" s="15" t="n"/>
      <c r="E444" s="15" t="n"/>
      <c r="F444" s="15" t="n"/>
      <c r="G444" s="18" t="n"/>
      <c r="H444" s="15" t="n"/>
      <c r="I444" s="15" t="n"/>
      <c r="J444" s="18" t="n"/>
      <c r="K444" s="15" t="n"/>
      <c r="L444" s="15" t="n"/>
      <c r="M444" s="15" t="n"/>
      <c r="N444" s="15" t="n"/>
      <c r="O444" s="15" t="n"/>
      <c r="P444" s="15" t="n"/>
      <c r="Q444" s="15" t="n"/>
      <c r="R444" s="15" t="n"/>
      <c r="S444" s="15" t="n"/>
      <c r="T444" s="15" t="n"/>
      <c r="U444" s="15" t="n"/>
      <c r="V444" s="15" t="n"/>
      <c r="W444" s="15" t="n"/>
      <c r="X444" s="15" t="n"/>
      <c r="Y444" s="15" t="n"/>
      <c r="Z444" s="15" t="n"/>
      <c r="AA444" s="15" t="n"/>
      <c r="AB444" s="15" t="n"/>
      <c r="AC444" s="15" t="n"/>
      <c r="AD444" s="15" t="n"/>
      <c r="AE444" s="15" t="n"/>
      <c r="AH444" s="15" t="n"/>
      <c r="AI444" s="15" t="n"/>
      <c r="AJ444" s="15" t="n"/>
      <c r="AK444" s="15" t="n"/>
    </row>
    <row r="445" ht="14.5" customHeight="1">
      <c r="A445" s="17" t="n"/>
      <c r="B445" s="15" t="n"/>
      <c r="C445" s="15" t="n"/>
      <c r="D445" s="15" t="n"/>
      <c r="E445" s="15" t="n"/>
      <c r="F445" s="15" t="n"/>
      <c r="G445" s="18" t="n"/>
      <c r="H445" s="15" t="n"/>
      <c r="I445" s="15" t="n"/>
      <c r="J445" s="18" t="n"/>
      <c r="K445" s="15" t="n"/>
      <c r="L445" s="15" t="n"/>
      <c r="M445" s="15" t="n"/>
      <c r="N445" s="15" t="n"/>
      <c r="O445" s="15" t="n"/>
      <c r="P445" s="15" t="n"/>
      <c r="Q445" s="15" t="n"/>
      <c r="R445" s="15" t="n"/>
      <c r="S445" s="15" t="n"/>
      <c r="T445" s="15" t="n"/>
      <c r="U445" s="15" t="n"/>
      <c r="V445" s="15" t="n"/>
      <c r="W445" s="15" t="n"/>
      <c r="X445" s="15" t="n"/>
      <c r="Y445" s="15" t="n"/>
      <c r="Z445" s="15" t="n"/>
      <c r="AA445" s="15" t="n"/>
      <c r="AB445" s="15" t="n"/>
      <c r="AC445" s="15" t="n"/>
      <c r="AD445" s="15" t="n"/>
      <c r="AE445" s="15" t="n"/>
      <c r="AH445" s="15" t="n"/>
      <c r="AI445" s="15" t="n"/>
      <c r="AJ445" s="15" t="n"/>
      <c r="AK445" s="15" t="n"/>
    </row>
    <row r="446" ht="14.5" customHeight="1">
      <c r="A446" s="17" t="n"/>
      <c r="B446" s="15" t="n"/>
      <c r="C446" s="15" t="n"/>
      <c r="D446" s="15" t="n"/>
      <c r="E446" s="15" t="n"/>
      <c r="F446" s="15" t="n"/>
      <c r="G446" s="18" t="n"/>
      <c r="H446" s="15" t="n"/>
      <c r="I446" s="15" t="n"/>
      <c r="J446" s="18" t="n"/>
      <c r="K446" s="15" t="n"/>
      <c r="L446" s="15" t="n"/>
      <c r="M446" s="15" t="n"/>
      <c r="N446" s="15" t="n"/>
      <c r="O446" s="15" t="n"/>
      <c r="P446" s="15" t="n"/>
      <c r="Q446" s="15" t="n"/>
      <c r="R446" s="15" t="n"/>
      <c r="S446" s="15" t="n"/>
      <c r="T446" s="15" t="n"/>
      <c r="U446" s="15" t="n"/>
      <c r="V446" s="15" t="n"/>
      <c r="W446" s="15" t="n"/>
      <c r="X446" s="15" t="n"/>
      <c r="Y446" s="15" t="n"/>
      <c r="Z446" s="15" t="n"/>
      <c r="AA446" s="15" t="n"/>
      <c r="AB446" s="15" t="n"/>
      <c r="AC446" s="15" t="n"/>
      <c r="AD446" s="15" t="n"/>
      <c r="AE446" s="15" t="n"/>
      <c r="AH446" s="15" t="n"/>
      <c r="AI446" s="15" t="n"/>
      <c r="AJ446" s="15" t="n"/>
      <c r="AK446" s="15" t="n"/>
    </row>
    <row r="447" ht="14.5" customHeight="1">
      <c r="A447" s="17" t="n"/>
      <c r="B447" s="15" t="n"/>
      <c r="C447" s="15" t="n"/>
      <c r="D447" s="15" t="n"/>
      <c r="E447" s="15" t="n"/>
      <c r="F447" s="15" t="n"/>
      <c r="G447" s="18" t="n"/>
      <c r="H447" s="15" t="n"/>
      <c r="I447" s="15" t="n"/>
      <c r="J447" s="18" t="n"/>
      <c r="K447" s="15" t="n"/>
      <c r="L447" s="15" t="n"/>
      <c r="M447" s="15" t="n"/>
      <c r="N447" s="15" t="n"/>
      <c r="O447" s="15" t="n"/>
      <c r="P447" s="15" t="n"/>
      <c r="Q447" s="15" t="n"/>
      <c r="R447" s="15" t="n"/>
      <c r="S447" s="15" t="n"/>
      <c r="T447" s="15" t="n"/>
      <c r="U447" s="15" t="n"/>
      <c r="V447" s="15" t="n"/>
      <c r="W447" s="15" t="n"/>
      <c r="X447" s="15" t="n"/>
      <c r="Y447" s="15" t="n"/>
      <c r="Z447" s="15" t="n"/>
      <c r="AA447" s="15" t="n"/>
      <c r="AB447" s="15" t="n"/>
      <c r="AC447" s="15" t="n"/>
      <c r="AD447" s="15" t="n"/>
      <c r="AE447" s="15" t="n"/>
      <c r="AH447" s="15" t="n"/>
      <c r="AI447" s="15" t="n"/>
      <c r="AJ447" s="15" t="n"/>
      <c r="AK447" s="15" t="n"/>
    </row>
    <row r="448" ht="14.5" customHeight="1">
      <c r="A448" s="17" t="n"/>
      <c r="B448" s="15" t="n"/>
      <c r="C448" s="15" t="n"/>
      <c r="D448" s="15" t="n"/>
      <c r="E448" s="15" t="n"/>
      <c r="F448" s="15" t="n"/>
      <c r="G448" s="18" t="n"/>
      <c r="H448" s="15" t="n"/>
      <c r="I448" s="15" t="n"/>
      <c r="J448" s="18" t="n"/>
      <c r="K448" s="15" t="n"/>
      <c r="L448" s="15" t="n"/>
      <c r="M448" s="15" t="n"/>
      <c r="N448" s="15" t="n"/>
      <c r="O448" s="15" t="n"/>
      <c r="P448" s="15" t="n"/>
      <c r="Q448" s="15" t="n"/>
      <c r="R448" s="15" t="n"/>
      <c r="S448" s="15" t="n"/>
      <c r="T448" s="15" t="n"/>
      <c r="U448" s="15" t="n"/>
      <c r="V448" s="15" t="n"/>
      <c r="W448" s="15" t="n"/>
      <c r="X448" s="15" t="n"/>
      <c r="Y448" s="15" t="n"/>
      <c r="Z448" s="15" t="n"/>
      <c r="AA448" s="15" t="n"/>
      <c r="AB448" s="15" t="n"/>
      <c r="AC448" s="15" t="n"/>
      <c r="AD448" s="15" t="n"/>
      <c r="AE448" s="15" t="n"/>
      <c r="AH448" s="15" t="n"/>
      <c r="AI448" s="15" t="n"/>
      <c r="AJ448" s="15" t="n"/>
      <c r="AK448" s="15" t="n"/>
    </row>
    <row r="449" ht="14.5" customHeight="1">
      <c r="A449" s="17" t="n"/>
      <c r="B449" s="15" t="n"/>
      <c r="C449" s="15" t="n"/>
      <c r="D449" s="15" t="n"/>
      <c r="E449" s="15" t="n"/>
      <c r="F449" s="15" t="n"/>
      <c r="G449" s="18" t="n"/>
      <c r="H449" s="15" t="n"/>
      <c r="I449" s="15" t="n"/>
      <c r="J449" s="18" t="n"/>
      <c r="K449" s="15" t="n"/>
      <c r="L449" s="15" t="n"/>
      <c r="M449" s="15" t="n"/>
      <c r="N449" s="15" t="n"/>
      <c r="O449" s="15" t="n"/>
      <c r="P449" s="15" t="n"/>
      <c r="Q449" s="15" t="n"/>
      <c r="R449" s="15" t="n"/>
      <c r="S449" s="15" t="n"/>
      <c r="T449" s="15" t="n"/>
      <c r="U449" s="15" t="n"/>
      <c r="V449" s="15" t="n"/>
      <c r="W449" s="15" t="n"/>
      <c r="X449" s="15" t="n"/>
      <c r="Y449" s="15" t="n"/>
      <c r="Z449" s="15" t="n"/>
      <c r="AA449" s="15" t="n"/>
      <c r="AB449" s="15" t="n"/>
      <c r="AC449" s="15" t="n"/>
      <c r="AD449" s="15" t="n"/>
      <c r="AE449" s="15" t="n"/>
      <c r="AH449" s="15" t="n"/>
      <c r="AI449" s="15" t="n"/>
      <c r="AJ449" s="15" t="n"/>
      <c r="AK449" s="15" t="n"/>
    </row>
    <row r="450" ht="14.5" customHeight="1">
      <c r="A450" s="17" t="n"/>
      <c r="B450" s="15" t="n"/>
      <c r="C450" s="15" t="n"/>
      <c r="D450" s="15" t="n"/>
      <c r="E450" s="15" t="n"/>
      <c r="F450" s="15" t="n"/>
      <c r="G450" s="18" t="n"/>
      <c r="H450" s="15" t="n"/>
      <c r="I450" s="15" t="n"/>
      <c r="J450" s="18" t="n"/>
      <c r="K450" s="15" t="n"/>
      <c r="L450" s="15" t="n"/>
      <c r="M450" s="15" t="n"/>
      <c r="N450" s="15" t="n"/>
      <c r="O450" s="15" t="n"/>
      <c r="P450" s="15" t="n"/>
      <c r="Q450" s="15" t="n"/>
      <c r="R450" s="15" t="n"/>
      <c r="S450" s="15" t="n"/>
      <c r="T450" s="15" t="n"/>
      <c r="U450" s="15" t="n"/>
      <c r="V450" s="15" t="n"/>
      <c r="W450" s="15" t="n"/>
      <c r="X450" s="15" t="n"/>
      <c r="Y450" s="15" t="n"/>
      <c r="Z450" s="15" t="n"/>
      <c r="AA450" s="15" t="n"/>
      <c r="AB450" s="15" t="n"/>
      <c r="AC450" s="15" t="n"/>
      <c r="AD450" s="15" t="n"/>
      <c r="AE450" s="15" t="n"/>
      <c r="AH450" s="15" t="n"/>
      <c r="AI450" s="15" t="n"/>
      <c r="AJ450" s="15" t="n"/>
      <c r="AK450" s="15" t="n"/>
    </row>
    <row r="451" ht="14.5" customHeight="1">
      <c r="A451" s="17" t="n"/>
      <c r="B451" s="15" t="n"/>
      <c r="C451" s="15" t="n"/>
      <c r="D451" s="15" t="n"/>
      <c r="E451" s="15" t="n"/>
      <c r="F451" s="15" t="n"/>
      <c r="G451" s="18" t="n"/>
      <c r="H451" s="15" t="n"/>
      <c r="I451" s="15" t="n"/>
      <c r="J451" s="18" t="n"/>
      <c r="K451" s="15" t="n"/>
      <c r="L451" s="15" t="n"/>
      <c r="M451" s="15" t="n"/>
      <c r="N451" s="15" t="n"/>
      <c r="O451" s="15" t="n"/>
      <c r="P451" s="15" t="n"/>
      <c r="Q451" s="15" t="n"/>
      <c r="R451" s="15" t="n"/>
      <c r="S451" s="15" t="n"/>
      <c r="T451" s="15" t="n"/>
      <c r="U451" s="15" t="n"/>
      <c r="V451" s="15" t="n"/>
      <c r="W451" s="15" t="n"/>
      <c r="X451" s="15" t="n"/>
      <c r="Y451" s="15" t="n"/>
      <c r="Z451" s="15" t="n"/>
      <c r="AA451" s="15" t="n"/>
      <c r="AB451" s="15" t="n"/>
      <c r="AC451" s="15" t="n"/>
      <c r="AD451" s="15" t="n"/>
      <c r="AE451" s="15" t="n"/>
      <c r="AH451" s="15" t="n"/>
      <c r="AI451" s="15" t="n"/>
      <c r="AJ451" s="15" t="n"/>
      <c r="AK451" s="15" t="n"/>
    </row>
    <row r="452" ht="14.5" customHeight="1">
      <c r="A452" s="17" t="n"/>
      <c r="B452" s="15" t="n"/>
      <c r="C452" s="15" t="n"/>
      <c r="D452" s="15" t="n"/>
      <c r="E452" s="15" t="n"/>
      <c r="F452" s="15" t="n"/>
      <c r="G452" s="18" t="n"/>
      <c r="H452" s="15" t="n"/>
      <c r="I452" s="15" t="n"/>
      <c r="J452" s="18" t="n"/>
      <c r="K452" s="15" t="n"/>
      <c r="L452" s="15" t="n"/>
      <c r="M452" s="15" t="n"/>
      <c r="N452" s="15" t="n"/>
      <c r="O452" s="15" t="n"/>
      <c r="P452" s="15" t="n"/>
      <c r="Q452" s="15" t="n"/>
      <c r="R452" s="15" t="n"/>
      <c r="S452" s="15" t="n"/>
      <c r="T452" s="15" t="n"/>
      <c r="U452" s="15" t="n"/>
      <c r="V452" s="15" t="n"/>
      <c r="W452" s="15" t="n"/>
      <c r="X452" s="15" t="n"/>
      <c r="Y452" s="15" t="n"/>
      <c r="Z452" s="15" t="n"/>
      <c r="AA452" s="15" t="n"/>
      <c r="AB452" s="15" t="n"/>
      <c r="AC452" s="15" t="n"/>
      <c r="AD452" s="15" t="n"/>
      <c r="AE452" s="15" t="n"/>
      <c r="AH452" s="15" t="n"/>
      <c r="AI452" s="15" t="n"/>
      <c r="AJ452" s="15" t="n"/>
      <c r="AK452" s="15" t="n"/>
    </row>
    <row r="453" ht="14.5" customHeight="1">
      <c r="A453" s="17" t="n"/>
      <c r="B453" s="15" t="n"/>
      <c r="C453" s="15" t="n"/>
      <c r="D453" s="15" t="n"/>
      <c r="E453" s="15" t="n"/>
      <c r="F453" s="15" t="n"/>
      <c r="G453" s="18" t="n"/>
      <c r="H453" s="15" t="n"/>
      <c r="I453" s="15" t="n"/>
      <c r="J453" s="18" t="n"/>
      <c r="K453" s="15" t="n"/>
      <c r="L453" s="15" t="n"/>
      <c r="M453" s="15" t="n"/>
      <c r="N453" s="15" t="n"/>
      <c r="O453" s="15" t="n"/>
      <c r="P453" s="15" t="n"/>
      <c r="Q453" s="15" t="n"/>
      <c r="R453" s="15" t="n"/>
      <c r="S453" s="15" t="n"/>
      <c r="T453" s="15" t="n"/>
      <c r="U453" s="15" t="n"/>
      <c r="V453" s="15" t="n"/>
      <c r="W453" s="15" t="n"/>
      <c r="X453" s="15" t="n"/>
      <c r="Y453" s="15" t="n"/>
      <c r="Z453" s="15" t="n"/>
      <c r="AA453" s="15" t="n"/>
      <c r="AB453" s="15" t="n"/>
      <c r="AC453" s="15" t="n"/>
      <c r="AD453" s="15" t="n"/>
      <c r="AE453" s="15" t="n"/>
      <c r="AH453" s="15" t="n"/>
      <c r="AI453" s="15" t="n"/>
      <c r="AJ453" s="15" t="n"/>
      <c r="AK453" s="15" t="n"/>
    </row>
    <row r="454" ht="14.5" customHeight="1">
      <c r="A454" s="17" t="n"/>
      <c r="B454" s="15" t="n"/>
      <c r="C454" s="15" t="n"/>
      <c r="D454" s="15" t="n"/>
      <c r="E454" s="15" t="n"/>
      <c r="F454" s="15" t="n"/>
      <c r="G454" s="18" t="n"/>
      <c r="H454" s="15" t="n"/>
      <c r="I454" s="15" t="n"/>
      <c r="J454" s="18" t="n"/>
      <c r="K454" s="15" t="n"/>
      <c r="L454" s="15" t="n"/>
      <c r="M454" s="15" t="n"/>
      <c r="N454" s="15" t="n"/>
      <c r="O454" s="15" t="n"/>
      <c r="P454" s="15" t="n"/>
      <c r="Q454" s="15" t="n"/>
      <c r="R454" s="15" t="n"/>
      <c r="S454" s="15" t="n"/>
      <c r="T454" s="15" t="n"/>
      <c r="U454" s="15" t="n"/>
      <c r="V454" s="15" t="n"/>
      <c r="W454" s="15" t="n"/>
      <c r="X454" s="15" t="n"/>
      <c r="Y454" s="15" t="n"/>
      <c r="Z454" s="15" t="n"/>
      <c r="AA454" s="15" t="n"/>
      <c r="AB454" s="15" t="n"/>
      <c r="AC454" s="15" t="n"/>
      <c r="AD454" s="15" t="n"/>
      <c r="AE454" s="15" t="n"/>
      <c r="AH454" s="15" t="n"/>
      <c r="AI454" s="15" t="n"/>
      <c r="AJ454" s="15" t="n"/>
      <c r="AK454" s="15" t="n"/>
    </row>
    <row r="455" ht="14.5" customHeight="1">
      <c r="A455" s="17" t="n"/>
      <c r="B455" s="15" t="n"/>
      <c r="C455" s="15" t="n"/>
      <c r="D455" s="15" t="n"/>
      <c r="E455" s="15" t="n"/>
      <c r="F455" s="15" t="n"/>
      <c r="G455" s="18" t="n"/>
      <c r="H455" s="15" t="n"/>
      <c r="I455" s="15" t="n"/>
      <c r="J455" s="18" t="n"/>
      <c r="K455" s="15" t="n"/>
      <c r="L455" s="15" t="n"/>
      <c r="M455" s="15" t="n"/>
      <c r="N455" s="15" t="n"/>
      <c r="O455" s="15" t="n"/>
      <c r="P455" s="15" t="n"/>
      <c r="Q455" s="15" t="n"/>
      <c r="R455" s="15" t="n"/>
      <c r="S455" s="15" t="n"/>
      <c r="T455" s="15" t="n"/>
      <c r="U455" s="15" t="n"/>
      <c r="V455" s="15" t="n"/>
      <c r="W455" s="15" t="n"/>
      <c r="X455" s="15" t="n"/>
      <c r="Y455" s="15" t="n"/>
      <c r="Z455" s="15" t="n"/>
      <c r="AA455" s="15" t="n"/>
      <c r="AB455" s="15" t="n"/>
      <c r="AC455" s="15" t="n"/>
      <c r="AD455" s="15" t="n"/>
      <c r="AE455" s="15" t="n"/>
      <c r="AH455" s="15" t="n"/>
      <c r="AI455" s="15" t="n"/>
      <c r="AJ455" s="15" t="n"/>
      <c r="AK455" s="15" t="n"/>
    </row>
    <row r="456" ht="14.5" customHeight="1">
      <c r="A456" s="17" t="n"/>
      <c r="B456" s="15" t="n"/>
      <c r="C456" s="15" t="n"/>
      <c r="D456" s="15" t="n"/>
      <c r="E456" s="15" t="n"/>
      <c r="F456" s="15" t="n"/>
      <c r="G456" s="18" t="n"/>
      <c r="H456" s="15" t="n"/>
      <c r="I456" s="15" t="n"/>
      <c r="J456" s="18" t="n"/>
      <c r="K456" s="15" t="n"/>
      <c r="L456" s="15" t="n"/>
      <c r="M456" s="15" t="n"/>
      <c r="N456" s="15" t="n"/>
      <c r="O456" s="15" t="n"/>
      <c r="P456" s="15" t="n"/>
      <c r="Q456" s="15" t="n"/>
      <c r="R456" s="15" t="n"/>
      <c r="S456" s="15" t="n"/>
      <c r="T456" s="15" t="n"/>
      <c r="U456" s="15" t="n"/>
      <c r="V456" s="15" t="n"/>
      <c r="W456" s="15" t="n"/>
      <c r="X456" s="15" t="n"/>
      <c r="Y456" s="15" t="n"/>
      <c r="Z456" s="15" t="n"/>
      <c r="AA456" s="15" t="n"/>
      <c r="AB456" s="15" t="n"/>
      <c r="AC456" s="15" t="n"/>
      <c r="AD456" s="15" t="n"/>
      <c r="AE456" s="15" t="n"/>
      <c r="AH456" s="15" t="n"/>
      <c r="AI456" s="15" t="n"/>
      <c r="AJ456" s="15" t="n"/>
      <c r="AK456" s="15" t="n"/>
    </row>
    <row r="457" ht="14.5" customHeight="1">
      <c r="A457" s="17" t="n"/>
      <c r="B457" s="15" t="n"/>
      <c r="C457" s="15" t="n"/>
      <c r="D457" s="15" t="n"/>
      <c r="E457" s="15" t="n"/>
      <c r="F457" s="15" t="n"/>
      <c r="G457" s="18" t="n"/>
      <c r="H457" s="15" t="n"/>
      <c r="I457" s="15" t="n"/>
      <c r="J457" s="18" t="n"/>
      <c r="K457" s="15" t="n"/>
      <c r="L457" s="15" t="n"/>
      <c r="M457" s="15" t="n"/>
      <c r="N457" s="15" t="n"/>
      <c r="O457" s="15" t="n"/>
      <c r="P457" s="15" t="n"/>
      <c r="Q457" s="15" t="n"/>
      <c r="R457" s="15" t="n"/>
      <c r="S457" s="15" t="n"/>
      <c r="T457" s="15" t="n"/>
      <c r="U457" s="15" t="n"/>
      <c r="V457" s="15" t="n"/>
      <c r="W457" s="15" t="n"/>
      <c r="X457" s="15" t="n"/>
      <c r="Y457" s="15" t="n"/>
      <c r="Z457" s="15" t="n"/>
      <c r="AA457" s="15" t="n"/>
      <c r="AB457" s="15" t="n"/>
      <c r="AC457" s="15" t="n"/>
      <c r="AD457" s="15" t="n"/>
      <c r="AE457" s="15" t="n"/>
      <c r="AH457" s="15" t="n"/>
      <c r="AI457" s="15" t="n"/>
      <c r="AJ457" s="15" t="n"/>
      <c r="AK457" s="15" t="n"/>
    </row>
    <row r="458" ht="14.5" customHeight="1">
      <c r="A458" s="17" t="n"/>
      <c r="B458" s="15" t="n"/>
      <c r="C458" s="15" t="n"/>
      <c r="D458" s="15" t="n"/>
      <c r="E458" s="15" t="n"/>
      <c r="F458" s="15" t="n"/>
      <c r="G458" s="18" t="n"/>
      <c r="H458" s="15" t="n"/>
      <c r="I458" s="15" t="n"/>
      <c r="J458" s="18" t="n"/>
      <c r="K458" s="15" t="n"/>
      <c r="L458" s="15" t="n"/>
      <c r="M458" s="15" t="n"/>
      <c r="N458" s="15" t="n"/>
      <c r="O458" s="15" t="n"/>
      <c r="P458" s="15" t="n"/>
      <c r="Q458" s="15" t="n"/>
      <c r="R458" s="15" t="n"/>
      <c r="S458" s="15" t="n"/>
      <c r="T458" s="15" t="n"/>
      <c r="U458" s="15" t="n"/>
      <c r="V458" s="15" t="n"/>
      <c r="W458" s="15" t="n"/>
      <c r="X458" s="15" t="n"/>
      <c r="Y458" s="15" t="n"/>
      <c r="Z458" s="15" t="n"/>
      <c r="AA458" s="15" t="n"/>
      <c r="AB458" s="15" t="n"/>
      <c r="AC458" s="15" t="n"/>
      <c r="AD458" s="15" t="n"/>
      <c r="AE458" s="15" t="n"/>
      <c r="AH458" s="15" t="n"/>
      <c r="AI458" s="15" t="n"/>
      <c r="AJ458" s="15" t="n"/>
      <c r="AK458" s="15" t="n"/>
    </row>
    <row r="459" ht="14.5" customHeight="1">
      <c r="A459" s="17" t="n"/>
      <c r="B459" s="15" t="n"/>
      <c r="C459" s="15" t="n"/>
      <c r="D459" s="15" t="n"/>
      <c r="E459" s="15" t="n"/>
      <c r="F459" s="15" t="n"/>
      <c r="G459" s="18" t="n"/>
      <c r="H459" s="15" t="n"/>
      <c r="I459" s="15" t="n"/>
      <c r="J459" s="18" t="n"/>
      <c r="K459" s="15" t="n"/>
      <c r="L459" s="15" t="n"/>
      <c r="M459" s="15" t="n"/>
      <c r="N459" s="15" t="n"/>
      <c r="O459" s="15" t="n"/>
      <c r="P459" s="15" t="n"/>
      <c r="Q459" s="15" t="n"/>
      <c r="R459" s="15" t="n"/>
      <c r="S459" s="15" t="n"/>
      <c r="T459" s="15" t="n"/>
      <c r="U459" s="15" t="n"/>
      <c r="V459" s="15" t="n"/>
      <c r="W459" s="15" t="n"/>
      <c r="X459" s="15" t="n"/>
      <c r="Y459" s="15" t="n"/>
      <c r="Z459" s="15" t="n"/>
      <c r="AA459" s="15" t="n"/>
      <c r="AB459" s="15" t="n"/>
      <c r="AC459" s="15" t="n"/>
      <c r="AD459" s="15" t="n"/>
      <c r="AE459" s="15" t="n"/>
      <c r="AH459" s="15" t="n"/>
      <c r="AI459" s="15" t="n"/>
      <c r="AJ459" s="15" t="n"/>
      <c r="AK459" s="15" t="n"/>
    </row>
    <row r="460" ht="14.5" customHeight="1">
      <c r="A460" s="17" t="n"/>
      <c r="B460" s="15" t="n"/>
      <c r="C460" s="15" t="n"/>
      <c r="D460" s="15" t="n"/>
      <c r="E460" s="15" t="n"/>
      <c r="F460" s="15" t="n"/>
      <c r="G460" s="18" t="n"/>
      <c r="H460" s="15" t="n"/>
      <c r="I460" s="15" t="n"/>
      <c r="J460" s="18" t="n"/>
      <c r="K460" s="15" t="n"/>
      <c r="L460" s="15" t="n"/>
      <c r="M460" s="15" t="n"/>
      <c r="N460" s="15" t="n"/>
      <c r="O460" s="15" t="n"/>
      <c r="P460" s="15" t="n"/>
      <c r="Q460" s="15" t="n"/>
      <c r="R460" s="15" t="n"/>
      <c r="S460" s="15" t="n"/>
      <c r="T460" s="15" t="n"/>
      <c r="U460" s="15" t="n"/>
      <c r="V460" s="15" t="n"/>
      <c r="W460" s="15" t="n"/>
      <c r="X460" s="15" t="n"/>
      <c r="Y460" s="15" t="n"/>
      <c r="Z460" s="15" t="n"/>
      <c r="AA460" s="15" t="n"/>
      <c r="AB460" s="15" t="n"/>
      <c r="AC460" s="15" t="n"/>
      <c r="AD460" s="15" t="n"/>
      <c r="AE460" s="15" t="n"/>
      <c r="AH460" s="15" t="n"/>
      <c r="AI460" s="15" t="n"/>
      <c r="AJ460" s="15" t="n"/>
      <c r="AK460" s="15" t="n"/>
    </row>
    <row r="461" ht="14.5" customHeight="1">
      <c r="A461" s="17" t="n"/>
      <c r="B461" s="15" t="n"/>
      <c r="C461" s="15" t="n"/>
      <c r="D461" s="15" t="n"/>
      <c r="E461" s="15" t="n"/>
      <c r="F461" s="15" t="n"/>
      <c r="G461" s="18" t="n"/>
      <c r="H461" s="15" t="n"/>
      <c r="I461" s="15" t="n"/>
      <c r="J461" s="18" t="n"/>
      <c r="K461" s="15" t="n"/>
      <c r="L461" s="15" t="n"/>
      <c r="M461" s="15" t="n"/>
      <c r="N461" s="15" t="n"/>
      <c r="O461" s="15" t="n"/>
      <c r="P461" s="15" t="n"/>
      <c r="Q461" s="15" t="n"/>
      <c r="R461" s="15" t="n"/>
      <c r="S461" s="15" t="n"/>
      <c r="T461" s="15" t="n"/>
      <c r="U461" s="15" t="n"/>
      <c r="V461" s="15" t="n"/>
      <c r="W461" s="15" t="n"/>
      <c r="X461" s="15" t="n"/>
      <c r="Y461" s="15" t="n"/>
      <c r="Z461" s="15" t="n"/>
      <c r="AA461" s="15" t="n"/>
      <c r="AB461" s="15" t="n"/>
      <c r="AC461" s="15" t="n"/>
      <c r="AD461" s="15" t="n"/>
      <c r="AE461" s="15" t="n"/>
      <c r="AH461" s="15" t="n"/>
      <c r="AI461" s="15" t="n"/>
      <c r="AJ461" s="15" t="n"/>
      <c r="AK461" s="15" t="n"/>
    </row>
    <row r="462" ht="14.5" customHeight="1">
      <c r="A462" s="17" t="n"/>
      <c r="B462" s="15" t="n"/>
      <c r="C462" s="15" t="n"/>
      <c r="D462" s="15" t="n"/>
      <c r="E462" s="15" t="n"/>
      <c r="F462" s="15" t="n"/>
      <c r="G462" s="18" t="n"/>
      <c r="H462" s="15" t="n"/>
      <c r="I462" s="15" t="n"/>
      <c r="J462" s="18" t="n"/>
      <c r="K462" s="15" t="n"/>
      <c r="L462" s="15" t="n"/>
      <c r="M462" s="15" t="n"/>
      <c r="N462" s="15" t="n"/>
      <c r="O462" s="15" t="n"/>
      <c r="P462" s="15" t="n"/>
      <c r="Q462" s="15" t="n"/>
      <c r="R462" s="15" t="n"/>
      <c r="S462" s="15" t="n"/>
      <c r="T462" s="15" t="n"/>
      <c r="U462" s="15" t="n"/>
      <c r="V462" s="15" t="n"/>
      <c r="W462" s="15" t="n"/>
      <c r="X462" s="15" t="n"/>
      <c r="Y462" s="15" t="n"/>
      <c r="Z462" s="15" t="n"/>
      <c r="AA462" s="15" t="n"/>
      <c r="AB462" s="15" t="n"/>
      <c r="AC462" s="15" t="n"/>
      <c r="AD462" s="15" t="n"/>
      <c r="AE462" s="15" t="n"/>
      <c r="AH462" s="15" t="n"/>
      <c r="AI462" s="15" t="n"/>
      <c r="AJ462" s="15" t="n"/>
      <c r="AK462" s="15" t="n"/>
    </row>
    <row r="463" ht="14.5" customHeight="1">
      <c r="A463" s="17" t="n"/>
      <c r="B463" s="15" t="n"/>
      <c r="C463" s="15" t="n"/>
      <c r="D463" s="15" t="n"/>
      <c r="E463" s="15" t="n"/>
      <c r="F463" s="15" t="n"/>
      <c r="G463" s="18" t="n"/>
      <c r="H463" s="15" t="n"/>
      <c r="I463" s="15" t="n"/>
      <c r="J463" s="18" t="n"/>
      <c r="K463" s="15" t="n"/>
      <c r="L463" s="15" t="n"/>
      <c r="M463" s="15" t="n"/>
      <c r="N463" s="15" t="n"/>
      <c r="O463" s="15" t="n"/>
      <c r="P463" s="15" t="n"/>
      <c r="Q463" s="15" t="n"/>
      <c r="R463" s="15" t="n"/>
      <c r="S463" s="15" t="n"/>
      <c r="T463" s="15" t="n"/>
      <c r="U463" s="15" t="n"/>
      <c r="V463" s="15" t="n"/>
      <c r="W463" s="15" t="n"/>
      <c r="X463" s="15" t="n"/>
      <c r="Y463" s="15" t="n"/>
      <c r="Z463" s="15" t="n"/>
      <c r="AA463" s="15" t="n"/>
      <c r="AB463" s="15" t="n"/>
      <c r="AC463" s="15" t="n"/>
      <c r="AD463" s="15" t="n"/>
      <c r="AE463" s="15" t="n"/>
      <c r="AH463" s="15" t="n"/>
      <c r="AI463" s="15" t="n"/>
      <c r="AJ463" s="15" t="n"/>
      <c r="AK463" s="15" t="n"/>
    </row>
    <row r="464" ht="14.5" customHeight="1">
      <c r="A464" s="17" t="n"/>
      <c r="B464" s="15" t="n"/>
      <c r="C464" s="15" t="n"/>
      <c r="D464" s="15" t="n"/>
      <c r="E464" s="15" t="n"/>
      <c r="F464" s="15" t="n"/>
      <c r="G464" s="18" t="n"/>
      <c r="H464" s="15" t="n"/>
      <c r="I464" s="15" t="n"/>
      <c r="J464" s="18" t="n"/>
      <c r="K464" s="15" t="n"/>
      <c r="L464" s="15" t="n"/>
      <c r="M464" s="15" t="n"/>
      <c r="N464" s="15" t="n"/>
      <c r="O464" s="15" t="n"/>
      <c r="P464" s="15" t="n"/>
      <c r="Q464" s="15" t="n"/>
      <c r="R464" s="15" t="n"/>
      <c r="S464" s="15" t="n"/>
      <c r="T464" s="15" t="n"/>
      <c r="U464" s="15" t="n"/>
      <c r="V464" s="15" t="n"/>
      <c r="W464" s="15" t="n"/>
      <c r="X464" s="15" t="n"/>
      <c r="Y464" s="15" t="n"/>
      <c r="Z464" s="15" t="n"/>
      <c r="AA464" s="15" t="n"/>
      <c r="AB464" s="15" t="n"/>
      <c r="AC464" s="15" t="n"/>
      <c r="AD464" s="15" t="n"/>
      <c r="AE464" s="15" t="n"/>
      <c r="AH464" s="15" t="n"/>
      <c r="AI464" s="15" t="n"/>
      <c r="AJ464" s="15" t="n"/>
      <c r="AK464" s="15" t="n"/>
    </row>
    <row r="465" ht="14.5" customHeight="1">
      <c r="A465" s="17" t="n"/>
      <c r="B465" s="15" t="n"/>
      <c r="C465" s="15" t="n"/>
      <c r="D465" s="15" t="n"/>
      <c r="E465" s="15" t="n"/>
      <c r="F465" s="15" t="n"/>
      <c r="G465" s="18" t="n"/>
      <c r="H465" s="15" t="n"/>
      <c r="I465" s="15" t="n"/>
      <c r="J465" s="18" t="n"/>
      <c r="K465" s="15" t="n"/>
      <c r="L465" s="15" t="n"/>
      <c r="M465" s="15" t="n"/>
      <c r="N465" s="15" t="n"/>
      <c r="O465" s="15" t="n"/>
      <c r="P465" s="15" t="n"/>
      <c r="Q465" s="15" t="n"/>
      <c r="R465" s="15" t="n"/>
      <c r="S465" s="15" t="n"/>
      <c r="T465" s="15" t="n"/>
      <c r="U465" s="15" t="n"/>
      <c r="V465" s="15" t="n"/>
      <c r="W465" s="15" t="n"/>
      <c r="X465" s="15" t="n"/>
      <c r="Y465" s="15" t="n"/>
      <c r="Z465" s="15" t="n"/>
      <c r="AA465" s="15" t="n"/>
      <c r="AB465" s="15" t="n"/>
      <c r="AC465" s="15" t="n"/>
      <c r="AD465" s="15" t="n"/>
      <c r="AE465" s="15" t="n"/>
      <c r="AH465" s="15" t="n"/>
      <c r="AI465" s="15" t="n"/>
      <c r="AJ465" s="15" t="n"/>
      <c r="AK465" s="15" t="n"/>
    </row>
    <row r="466" ht="14.5" customHeight="1">
      <c r="A466" s="17" t="n"/>
      <c r="B466" s="15" t="n"/>
      <c r="C466" s="15" t="n"/>
      <c r="D466" s="15" t="n"/>
      <c r="E466" s="15" t="n"/>
      <c r="F466" s="15" t="n"/>
      <c r="G466" s="18" t="n"/>
      <c r="H466" s="15" t="n"/>
      <c r="I466" s="15" t="n"/>
      <c r="J466" s="18" t="n"/>
      <c r="K466" s="15" t="n"/>
      <c r="L466" s="15" t="n"/>
      <c r="M466" s="15" t="n"/>
      <c r="N466" s="15" t="n"/>
      <c r="O466" s="15" t="n"/>
      <c r="P466" s="15" t="n"/>
      <c r="Q466" s="15" t="n"/>
      <c r="R466" s="15" t="n"/>
      <c r="S466" s="15" t="n"/>
      <c r="T466" s="15" t="n"/>
      <c r="U466" s="15" t="n"/>
      <c r="V466" s="15" t="n"/>
      <c r="W466" s="15" t="n"/>
      <c r="X466" s="15" t="n"/>
      <c r="Y466" s="15" t="n"/>
      <c r="Z466" s="15" t="n"/>
      <c r="AA466" s="15" t="n"/>
      <c r="AB466" s="15" t="n"/>
      <c r="AC466" s="15" t="n"/>
      <c r="AD466" s="15" t="n"/>
      <c r="AE466" s="15" t="n"/>
      <c r="AH466" s="15" t="n"/>
      <c r="AI466" s="15" t="n"/>
      <c r="AJ466" s="15" t="n"/>
      <c r="AK466" s="15" t="n"/>
    </row>
    <row r="467" ht="14.5" customHeight="1">
      <c r="A467" s="17" t="n"/>
      <c r="B467" s="15" t="n"/>
      <c r="C467" s="15" t="n"/>
      <c r="D467" s="15" t="n"/>
      <c r="E467" s="15" t="n"/>
      <c r="F467" s="15" t="n"/>
      <c r="G467" s="18" t="n"/>
      <c r="H467" s="15" t="n"/>
      <c r="I467" s="15" t="n"/>
      <c r="J467" s="18" t="n"/>
      <c r="K467" s="15" t="n"/>
      <c r="L467" s="15" t="n"/>
      <c r="M467" s="15" t="n"/>
      <c r="N467" s="15" t="n"/>
      <c r="O467" s="15" t="n"/>
      <c r="P467" s="15" t="n"/>
      <c r="Q467" s="15" t="n"/>
      <c r="R467" s="15" t="n"/>
      <c r="S467" s="15" t="n"/>
      <c r="T467" s="15" t="n"/>
      <c r="U467" s="15" t="n"/>
      <c r="V467" s="15" t="n"/>
      <c r="W467" s="15" t="n"/>
      <c r="X467" s="15" t="n"/>
      <c r="Y467" s="15" t="n"/>
      <c r="Z467" s="15" t="n"/>
      <c r="AA467" s="15" t="n"/>
      <c r="AB467" s="15" t="n"/>
      <c r="AC467" s="15" t="n"/>
      <c r="AD467" s="15" t="n"/>
      <c r="AE467" s="15" t="n"/>
      <c r="AH467" s="15" t="n"/>
      <c r="AI467" s="15" t="n"/>
      <c r="AJ467" s="15" t="n"/>
      <c r="AK467" s="15" t="n"/>
    </row>
    <row r="468" ht="14.5" customHeight="1">
      <c r="A468" s="17" t="n"/>
      <c r="B468" s="15" t="n"/>
      <c r="C468" s="15" t="n"/>
      <c r="D468" s="15" t="n"/>
      <c r="E468" s="15" t="n"/>
      <c r="F468" s="15" t="n"/>
      <c r="G468" s="18" t="n"/>
      <c r="H468" s="15" t="n"/>
      <c r="I468" s="15" t="n"/>
      <c r="J468" s="18" t="n"/>
      <c r="K468" s="15" t="n"/>
      <c r="L468" s="15" t="n"/>
      <c r="M468" s="15" t="n"/>
      <c r="N468" s="15" t="n"/>
      <c r="O468" s="15" t="n"/>
      <c r="P468" s="15" t="n"/>
      <c r="Q468" s="15" t="n"/>
      <c r="R468" s="15" t="n"/>
      <c r="S468" s="15" t="n"/>
      <c r="T468" s="15" t="n"/>
      <c r="U468" s="15" t="n"/>
      <c r="V468" s="15" t="n"/>
      <c r="W468" s="15" t="n"/>
      <c r="X468" s="15" t="n"/>
      <c r="Y468" s="15" t="n"/>
      <c r="Z468" s="15" t="n"/>
      <c r="AA468" s="15" t="n"/>
      <c r="AB468" s="15" t="n"/>
      <c r="AC468" s="15" t="n"/>
      <c r="AD468" s="15" t="n"/>
      <c r="AE468" s="15" t="n"/>
      <c r="AH468" s="15" t="n"/>
      <c r="AI468" s="15" t="n"/>
      <c r="AJ468" s="15" t="n"/>
      <c r="AK468" s="15" t="n"/>
    </row>
    <row r="469" ht="14.5" customHeight="1">
      <c r="A469" s="17" t="n"/>
      <c r="B469" s="15" t="n"/>
      <c r="C469" s="15" t="n"/>
      <c r="D469" s="15" t="n"/>
      <c r="E469" s="15" t="n"/>
      <c r="F469" s="15" t="n"/>
      <c r="G469" s="18" t="n"/>
      <c r="H469" s="15" t="n"/>
      <c r="I469" s="15" t="n"/>
      <c r="J469" s="18" t="n"/>
      <c r="K469" s="15" t="n"/>
      <c r="L469" s="15" t="n"/>
      <c r="M469" s="15" t="n"/>
      <c r="N469" s="15" t="n"/>
      <c r="O469" s="15" t="n"/>
      <c r="P469" s="15" t="n"/>
      <c r="Q469" s="15" t="n"/>
      <c r="R469" s="15" t="n"/>
      <c r="S469" s="15" t="n"/>
      <c r="T469" s="15" t="n"/>
      <c r="U469" s="15" t="n"/>
      <c r="V469" s="15" t="n"/>
      <c r="W469" s="15" t="n"/>
      <c r="X469" s="15" t="n"/>
      <c r="Y469" s="15" t="n"/>
      <c r="Z469" s="15" t="n"/>
      <c r="AA469" s="15" t="n"/>
      <c r="AB469" s="15" t="n"/>
      <c r="AC469" s="15" t="n"/>
      <c r="AD469" s="15" t="n"/>
      <c r="AE469" s="15" t="n"/>
      <c r="AH469" s="15" t="n"/>
      <c r="AI469" s="15" t="n"/>
      <c r="AJ469" s="15" t="n"/>
      <c r="AK469" s="15" t="n"/>
    </row>
    <row r="470" ht="14.5" customHeight="1">
      <c r="A470" s="17" t="n"/>
      <c r="B470" s="15" t="n"/>
      <c r="C470" s="15" t="n"/>
      <c r="D470" s="15" t="n"/>
      <c r="E470" s="15" t="n"/>
      <c r="F470" s="15" t="n"/>
      <c r="G470" s="18" t="n"/>
      <c r="H470" s="15" t="n"/>
      <c r="I470" s="15" t="n"/>
      <c r="J470" s="18" t="n"/>
      <c r="K470" s="15" t="n"/>
      <c r="L470" s="15" t="n"/>
      <c r="M470" s="15" t="n"/>
      <c r="N470" s="15" t="n"/>
      <c r="O470" s="15" t="n"/>
      <c r="P470" s="15" t="n"/>
      <c r="Q470" s="15" t="n"/>
      <c r="R470" s="15" t="n"/>
      <c r="S470" s="15" t="n"/>
      <c r="T470" s="15" t="n"/>
      <c r="U470" s="15" t="n"/>
      <c r="V470" s="15" t="n"/>
      <c r="W470" s="15" t="n"/>
      <c r="X470" s="15" t="n"/>
      <c r="Y470" s="15" t="n"/>
      <c r="Z470" s="15" t="n"/>
      <c r="AA470" s="15" t="n"/>
      <c r="AB470" s="15" t="n"/>
      <c r="AC470" s="15" t="n"/>
      <c r="AD470" s="15" t="n"/>
      <c r="AE470" s="15" t="n"/>
      <c r="AH470" s="15" t="n"/>
      <c r="AI470" s="15" t="n"/>
      <c r="AJ470" s="15" t="n"/>
      <c r="AK470" s="15" t="n"/>
    </row>
    <row r="471" ht="14.5" customHeight="1">
      <c r="A471" s="17" t="n"/>
      <c r="B471" s="15" t="n"/>
      <c r="C471" s="15" t="n"/>
      <c r="D471" s="15" t="n"/>
      <c r="E471" s="15" t="n"/>
      <c r="F471" s="15" t="n"/>
      <c r="G471" s="18" t="n"/>
      <c r="H471" s="15" t="n"/>
      <c r="I471" s="15" t="n"/>
      <c r="J471" s="18" t="n"/>
      <c r="K471" s="15" t="n"/>
      <c r="L471" s="15" t="n"/>
      <c r="M471" s="15" t="n"/>
      <c r="N471" s="15" t="n"/>
      <c r="O471" s="15" t="n"/>
      <c r="P471" s="15" t="n"/>
      <c r="Q471" s="15" t="n"/>
      <c r="R471" s="15" t="n"/>
      <c r="S471" s="15" t="n"/>
      <c r="T471" s="15" t="n"/>
      <c r="U471" s="15" t="n"/>
      <c r="V471" s="15" t="n"/>
      <c r="W471" s="15" t="n"/>
      <c r="X471" s="15" t="n"/>
      <c r="Y471" s="15" t="n"/>
      <c r="Z471" s="15" t="n"/>
      <c r="AA471" s="15" t="n"/>
      <c r="AB471" s="15" t="n"/>
      <c r="AC471" s="15" t="n"/>
      <c r="AD471" s="15" t="n"/>
      <c r="AE471" s="15" t="n"/>
      <c r="AH471" s="15" t="n"/>
      <c r="AI471" s="15" t="n"/>
      <c r="AJ471" s="15" t="n"/>
      <c r="AK471" s="15" t="n"/>
    </row>
    <row r="472" ht="14.5" customHeight="1">
      <c r="A472" s="17" t="n"/>
      <c r="B472" s="15" t="n"/>
      <c r="C472" s="15" t="n"/>
      <c r="D472" s="15" t="n"/>
      <c r="E472" s="15" t="n"/>
      <c r="F472" s="15" t="n"/>
      <c r="G472" s="18" t="n"/>
      <c r="H472" s="15" t="n"/>
      <c r="I472" s="15" t="n"/>
      <c r="J472" s="18" t="n"/>
      <c r="K472" s="15" t="n"/>
      <c r="L472" s="15" t="n"/>
      <c r="M472" s="15" t="n"/>
      <c r="N472" s="15" t="n"/>
      <c r="O472" s="15" t="n"/>
      <c r="P472" s="15" t="n"/>
      <c r="Q472" s="15" t="n"/>
      <c r="R472" s="15" t="n"/>
      <c r="S472" s="15" t="n"/>
      <c r="T472" s="15" t="n"/>
      <c r="U472" s="15" t="n"/>
      <c r="V472" s="15" t="n"/>
      <c r="W472" s="15" t="n"/>
      <c r="X472" s="15" t="n"/>
      <c r="Y472" s="15" t="n"/>
      <c r="Z472" s="15" t="n"/>
      <c r="AA472" s="15" t="n"/>
      <c r="AB472" s="15" t="n"/>
      <c r="AC472" s="15" t="n"/>
      <c r="AD472" s="15" t="n"/>
      <c r="AE472" s="15" t="n"/>
      <c r="AH472" s="15" t="n"/>
      <c r="AI472" s="15" t="n"/>
      <c r="AJ472" s="15" t="n"/>
      <c r="AK472" s="15" t="n"/>
    </row>
    <row r="473" ht="14.5" customHeight="1">
      <c r="A473" s="17" t="n"/>
      <c r="B473" s="15" t="n"/>
      <c r="C473" s="15" t="n"/>
      <c r="D473" s="15" t="n"/>
      <c r="E473" s="15" t="n"/>
      <c r="F473" s="15" t="n"/>
      <c r="G473" s="18" t="n"/>
      <c r="H473" s="15" t="n"/>
      <c r="I473" s="15" t="n"/>
      <c r="J473" s="18" t="n"/>
      <c r="K473" s="15" t="n"/>
      <c r="L473" s="15" t="n"/>
      <c r="M473" s="15" t="n"/>
      <c r="N473" s="15" t="n"/>
      <c r="O473" s="15" t="n"/>
      <c r="P473" s="15" t="n"/>
      <c r="Q473" s="15" t="n"/>
      <c r="R473" s="15" t="n"/>
      <c r="S473" s="15" t="n"/>
      <c r="T473" s="15" t="n"/>
      <c r="U473" s="15" t="n"/>
      <c r="V473" s="15" t="n"/>
      <c r="W473" s="15" t="n"/>
      <c r="X473" s="15" t="n"/>
      <c r="Y473" s="15" t="n"/>
      <c r="Z473" s="15" t="n"/>
      <c r="AA473" s="15" t="n"/>
      <c r="AB473" s="15" t="n"/>
      <c r="AC473" s="15" t="n"/>
      <c r="AD473" s="15" t="n"/>
      <c r="AE473" s="15" t="n"/>
      <c r="AH473" s="15" t="n"/>
      <c r="AI473" s="15" t="n"/>
      <c r="AJ473" s="15" t="n"/>
      <c r="AK473" s="15" t="n"/>
    </row>
    <row r="474" ht="14.5" customHeight="1">
      <c r="A474" s="17" t="n"/>
      <c r="B474" s="15" t="n"/>
      <c r="C474" s="15" t="n"/>
      <c r="D474" s="15" t="n"/>
      <c r="E474" s="15" t="n"/>
      <c r="F474" s="15" t="n"/>
      <c r="G474" s="18" t="n"/>
      <c r="H474" s="15" t="n"/>
      <c r="I474" s="15" t="n"/>
      <c r="J474" s="18" t="n"/>
      <c r="K474" s="15" t="n"/>
      <c r="L474" s="15" t="n"/>
      <c r="M474" s="15" t="n"/>
      <c r="N474" s="15" t="n"/>
      <c r="O474" s="15" t="n"/>
      <c r="P474" s="15" t="n"/>
      <c r="Q474" s="15" t="n"/>
      <c r="R474" s="15" t="n"/>
      <c r="S474" s="15" t="n"/>
      <c r="T474" s="15" t="n"/>
      <c r="U474" s="15" t="n"/>
      <c r="V474" s="15" t="n"/>
      <c r="W474" s="15" t="n"/>
      <c r="X474" s="15" t="n"/>
      <c r="Y474" s="15" t="n"/>
      <c r="Z474" s="15" t="n"/>
      <c r="AA474" s="15" t="n"/>
      <c r="AB474" s="15" t="n"/>
      <c r="AC474" s="15" t="n"/>
      <c r="AD474" s="15" t="n"/>
      <c r="AE474" s="15" t="n"/>
      <c r="AH474" s="15" t="n"/>
      <c r="AI474" s="15" t="n"/>
      <c r="AJ474" s="15" t="n"/>
      <c r="AK474" s="15" t="n"/>
    </row>
    <row r="475" ht="14.5" customHeight="1">
      <c r="A475" s="17" t="n"/>
      <c r="B475" s="15" t="n"/>
      <c r="C475" s="15" t="n"/>
      <c r="D475" s="15" t="n"/>
      <c r="E475" s="15" t="n"/>
      <c r="F475" s="15" t="n"/>
      <c r="G475" s="18" t="n"/>
      <c r="H475" s="15" t="n"/>
      <c r="I475" s="15" t="n"/>
      <c r="J475" s="18" t="n"/>
      <c r="K475" s="15" t="n"/>
      <c r="L475" s="15" t="n"/>
      <c r="M475" s="15" t="n"/>
      <c r="N475" s="15" t="n"/>
      <c r="O475" s="15" t="n"/>
      <c r="P475" s="15" t="n"/>
      <c r="Q475" s="15" t="n"/>
      <c r="R475" s="15" t="n"/>
      <c r="S475" s="15" t="n"/>
      <c r="T475" s="15" t="n"/>
      <c r="U475" s="15" t="n"/>
      <c r="V475" s="15" t="n"/>
      <c r="W475" s="15" t="n"/>
      <c r="X475" s="15" t="n"/>
      <c r="Y475" s="15" t="n"/>
      <c r="Z475" s="15" t="n"/>
      <c r="AA475" s="15" t="n"/>
      <c r="AB475" s="15" t="n"/>
      <c r="AC475" s="15" t="n"/>
      <c r="AD475" s="15" t="n"/>
      <c r="AE475" s="15" t="n"/>
      <c r="AH475" s="15" t="n"/>
      <c r="AI475" s="15" t="n"/>
      <c r="AJ475" s="15" t="n"/>
      <c r="AK475" s="15" t="n"/>
    </row>
    <row r="476" ht="14.5" customHeight="1">
      <c r="A476" s="17" t="n"/>
      <c r="B476" s="15" t="n"/>
      <c r="C476" s="15" t="n"/>
      <c r="D476" s="15" t="n"/>
      <c r="E476" s="15" t="n"/>
      <c r="F476" s="15" t="n"/>
      <c r="G476" s="18" t="n"/>
      <c r="H476" s="15" t="n"/>
      <c r="I476" s="15" t="n"/>
      <c r="J476" s="18" t="n"/>
      <c r="K476" s="15" t="n"/>
      <c r="L476" s="15" t="n"/>
      <c r="M476" s="15" t="n"/>
      <c r="N476" s="15" t="n"/>
      <c r="O476" s="15" t="n"/>
      <c r="P476" s="15" t="n"/>
      <c r="Q476" s="15" t="n"/>
      <c r="R476" s="15" t="n"/>
      <c r="S476" s="15" t="n"/>
      <c r="T476" s="15" t="n"/>
      <c r="U476" s="15" t="n"/>
      <c r="V476" s="15" t="n"/>
      <c r="W476" s="15" t="n"/>
      <c r="X476" s="15" t="n"/>
      <c r="Y476" s="15" t="n"/>
      <c r="Z476" s="15" t="n"/>
      <c r="AA476" s="15" t="n"/>
      <c r="AB476" s="15" t="n"/>
      <c r="AC476" s="15" t="n"/>
      <c r="AD476" s="15" t="n"/>
      <c r="AE476" s="15" t="n"/>
      <c r="AH476" s="15" t="n"/>
      <c r="AI476" s="15" t="n"/>
      <c r="AJ476" s="15" t="n"/>
      <c r="AK476" s="15" t="n"/>
    </row>
    <row r="477" ht="14.5" customHeight="1">
      <c r="A477" s="17" t="n"/>
      <c r="B477" s="15" t="n"/>
      <c r="C477" s="15" t="n"/>
      <c r="D477" s="15" t="n"/>
      <c r="E477" s="15" t="n"/>
      <c r="F477" s="15" t="n"/>
      <c r="G477" s="18" t="n"/>
      <c r="H477" s="15" t="n"/>
      <c r="I477" s="15" t="n"/>
      <c r="J477" s="18" t="n"/>
      <c r="K477" s="15" t="n"/>
      <c r="L477" s="15" t="n"/>
      <c r="M477" s="15" t="n"/>
      <c r="N477" s="15" t="n"/>
      <c r="O477" s="15" t="n"/>
      <c r="P477" s="15" t="n"/>
      <c r="Q477" s="15" t="n"/>
      <c r="R477" s="15" t="n"/>
      <c r="S477" s="15" t="n"/>
      <c r="T477" s="15" t="n"/>
      <c r="U477" s="15" t="n"/>
      <c r="V477" s="15" t="n"/>
      <c r="W477" s="15" t="n"/>
      <c r="X477" s="15" t="n"/>
      <c r="Y477" s="15" t="n"/>
      <c r="Z477" s="15" t="n"/>
      <c r="AA477" s="15" t="n"/>
      <c r="AB477" s="15" t="n"/>
      <c r="AC477" s="15" t="n"/>
      <c r="AD477" s="15" t="n"/>
      <c r="AE477" s="15" t="n"/>
      <c r="AH477" s="15" t="n"/>
      <c r="AI477" s="15" t="n"/>
      <c r="AJ477" s="15" t="n"/>
      <c r="AK477" s="15" t="n"/>
    </row>
    <row r="478" ht="14.5" customHeight="1">
      <c r="A478" s="17" t="n"/>
      <c r="B478" s="15" t="n"/>
      <c r="C478" s="15" t="n"/>
      <c r="D478" s="15" t="n"/>
      <c r="E478" s="15" t="n"/>
      <c r="F478" s="15" t="n"/>
      <c r="G478" s="18" t="n"/>
      <c r="H478" s="15" t="n"/>
      <c r="I478" s="15" t="n"/>
      <c r="J478" s="18" t="n"/>
      <c r="K478" s="15" t="n"/>
      <c r="L478" s="15" t="n"/>
      <c r="M478" s="15" t="n"/>
      <c r="N478" s="15" t="n"/>
      <c r="O478" s="15" t="n"/>
      <c r="P478" s="15" t="n"/>
      <c r="Q478" s="15" t="n"/>
      <c r="R478" s="15" t="n"/>
      <c r="S478" s="15" t="n"/>
      <c r="T478" s="15" t="n"/>
      <c r="U478" s="15" t="n"/>
      <c r="V478" s="15" t="n"/>
      <c r="W478" s="15" t="n"/>
      <c r="X478" s="15" t="n"/>
      <c r="Y478" s="15" t="n"/>
      <c r="Z478" s="15" t="n"/>
      <c r="AA478" s="15" t="n"/>
      <c r="AB478" s="15" t="n"/>
      <c r="AC478" s="15" t="n"/>
      <c r="AD478" s="15" t="n"/>
      <c r="AE478" s="15" t="n"/>
      <c r="AH478" s="15" t="n"/>
      <c r="AI478" s="15" t="n"/>
      <c r="AJ478" s="15" t="n"/>
      <c r="AK478" s="15" t="n"/>
    </row>
    <row r="479" ht="14.5" customHeight="1">
      <c r="A479" s="17" t="n"/>
      <c r="B479" s="15" t="n"/>
      <c r="C479" s="15" t="n"/>
      <c r="D479" s="15" t="n"/>
      <c r="E479" s="15" t="n"/>
      <c r="F479" s="15" t="n"/>
      <c r="G479" s="18" t="n"/>
      <c r="H479" s="15" t="n"/>
      <c r="I479" s="15" t="n"/>
      <c r="J479" s="18" t="n"/>
      <c r="K479" s="15" t="n"/>
      <c r="L479" s="15" t="n"/>
      <c r="M479" s="15" t="n"/>
      <c r="N479" s="15" t="n"/>
      <c r="O479" s="15" t="n"/>
      <c r="P479" s="15" t="n"/>
      <c r="Q479" s="15" t="n"/>
      <c r="R479" s="15" t="n"/>
      <c r="S479" s="15" t="n"/>
      <c r="T479" s="15" t="n"/>
      <c r="U479" s="15" t="n"/>
      <c r="V479" s="15" t="n"/>
      <c r="W479" s="15" t="n"/>
      <c r="X479" s="15" t="n"/>
      <c r="Y479" s="15" t="n"/>
      <c r="Z479" s="15" t="n"/>
      <c r="AA479" s="15" t="n"/>
      <c r="AB479" s="15" t="n"/>
      <c r="AC479" s="15" t="n"/>
      <c r="AD479" s="15" t="n"/>
      <c r="AE479" s="15" t="n"/>
      <c r="AH479" s="15" t="n"/>
      <c r="AI479" s="15" t="n"/>
      <c r="AJ479" s="15" t="n"/>
      <c r="AK479" s="15" t="n"/>
    </row>
    <row r="480" ht="14.5" customHeight="1">
      <c r="A480" s="17" t="n"/>
      <c r="B480" s="15" t="n"/>
      <c r="C480" s="15" t="n"/>
      <c r="D480" s="15" t="n"/>
      <c r="E480" s="15" t="n"/>
      <c r="F480" s="15" t="n"/>
      <c r="G480" s="18" t="n"/>
      <c r="H480" s="15" t="n"/>
      <c r="I480" s="15" t="n"/>
      <c r="J480" s="18" t="n"/>
      <c r="K480" s="15" t="n"/>
      <c r="L480" s="15" t="n"/>
      <c r="M480" s="15" t="n"/>
      <c r="N480" s="15" t="n"/>
      <c r="O480" s="15" t="n"/>
      <c r="P480" s="15" t="n"/>
      <c r="Q480" s="15" t="n"/>
      <c r="R480" s="15" t="n"/>
      <c r="S480" s="15" t="n"/>
      <c r="T480" s="15" t="n"/>
      <c r="U480" s="15" t="n"/>
      <c r="V480" s="15" t="n"/>
      <c r="W480" s="15" t="n"/>
      <c r="X480" s="15" t="n"/>
      <c r="Y480" s="15" t="n"/>
      <c r="Z480" s="15" t="n"/>
      <c r="AA480" s="15" t="n"/>
      <c r="AB480" s="15" t="n"/>
      <c r="AC480" s="15" t="n"/>
      <c r="AD480" s="15" t="n"/>
      <c r="AE480" s="15" t="n"/>
      <c r="AH480" s="15" t="n"/>
      <c r="AI480" s="15" t="n"/>
      <c r="AJ480" s="15" t="n"/>
      <c r="AK480" s="15" t="n"/>
    </row>
    <row r="481" ht="14.5" customHeight="1">
      <c r="A481" s="17" t="n"/>
      <c r="B481" s="15" t="n"/>
      <c r="C481" s="15" t="n"/>
      <c r="D481" s="15" t="n"/>
      <c r="E481" s="15" t="n"/>
      <c r="F481" s="15" t="n"/>
      <c r="G481" s="18" t="n"/>
      <c r="H481" s="15" t="n"/>
      <c r="I481" s="15" t="n"/>
      <c r="J481" s="18" t="n"/>
      <c r="K481" s="15" t="n"/>
      <c r="L481" s="15" t="n"/>
      <c r="M481" s="15" t="n"/>
      <c r="N481" s="15" t="n"/>
      <c r="O481" s="15" t="n"/>
      <c r="P481" s="15" t="n"/>
      <c r="Q481" s="15" t="n"/>
      <c r="R481" s="15" t="n"/>
      <c r="S481" s="15" t="n"/>
      <c r="T481" s="15" t="n"/>
      <c r="U481" s="15" t="n"/>
      <c r="V481" s="15" t="n"/>
      <c r="W481" s="15" t="n"/>
      <c r="X481" s="15" t="n"/>
      <c r="Y481" s="15" t="n"/>
      <c r="Z481" s="15" t="n"/>
      <c r="AA481" s="15" t="n"/>
      <c r="AB481" s="15" t="n"/>
      <c r="AC481" s="15" t="n"/>
      <c r="AD481" s="15" t="n"/>
      <c r="AE481" s="15" t="n"/>
      <c r="AH481" s="15" t="n"/>
      <c r="AI481" s="15" t="n"/>
      <c r="AJ481" s="15" t="n"/>
      <c r="AK481" s="15" t="n"/>
    </row>
    <row r="482" ht="14.5" customHeight="1">
      <c r="A482" s="17" t="n"/>
      <c r="B482" s="15" t="n"/>
      <c r="C482" s="15" t="n"/>
      <c r="D482" s="15" t="n"/>
      <c r="E482" s="15" t="n"/>
      <c r="F482" s="15" t="n"/>
      <c r="G482" s="18" t="n"/>
      <c r="H482" s="15" t="n"/>
      <c r="I482" s="15" t="n"/>
      <c r="J482" s="18" t="n"/>
      <c r="K482" s="15" t="n"/>
      <c r="L482" s="15" t="n"/>
      <c r="M482" s="15" t="n"/>
      <c r="N482" s="15" t="n"/>
      <c r="O482" s="15" t="n"/>
      <c r="P482" s="15" t="n"/>
      <c r="Q482" s="15" t="n"/>
      <c r="R482" s="15" t="n"/>
      <c r="S482" s="15" t="n"/>
      <c r="T482" s="15" t="n"/>
      <c r="U482" s="15" t="n"/>
      <c r="V482" s="15" t="n"/>
      <c r="W482" s="15" t="n"/>
      <c r="X482" s="15" t="n"/>
      <c r="Y482" s="15" t="n"/>
      <c r="Z482" s="15" t="n"/>
      <c r="AA482" s="15" t="n"/>
      <c r="AB482" s="15" t="n"/>
      <c r="AC482" s="15" t="n"/>
      <c r="AD482" s="15" t="n"/>
      <c r="AE482" s="15" t="n"/>
      <c r="AH482" s="15" t="n"/>
      <c r="AI482" s="15" t="n"/>
      <c r="AJ482" s="15" t="n"/>
      <c r="AK482" s="15" t="n"/>
    </row>
    <row r="483" ht="14.5" customHeight="1">
      <c r="A483" s="17" t="n"/>
      <c r="B483" s="15" t="n"/>
      <c r="C483" s="15" t="n"/>
      <c r="D483" s="15" t="n"/>
      <c r="E483" s="15" t="n"/>
      <c r="F483" s="15" t="n"/>
      <c r="G483" s="18" t="n"/>
      <c r="H483" s="15" t="n"/>
      <c r="I483" s="15" t="n"/>
      <c r="J483" s="18" t="n"/>
      <c r="K483" s="15" t="n"/>
      <c r="L483" s="15" t="n"/>
      <c r="M483" s="15" t="n"/>
      <c r="N483" s="15" t="n"/>
      <c r="O483" s="15" t="n"/>
      <c r="P483" s="15" t="n"/>
      <c r="Q483" s="15" t="n"/>
      <c r="R483" s="15" t="n"/>
      <c r="S483" s="15" t="n"/>
      <c r="T483" s="15" t="n"/>
      <c r="U483" s="15" t="n"/>
      <c r="V483" s="15" t="n"/>
      <c r="W483" s="15" t="n"/>
      <c r="X483" s="15" t="n"/>
      <c r="Y483" s="15" t="n"/>
      <c r="Z483" s="15" t="n"/>
      <c r="AA483" s="15" t="n"/>
      <c r="AB483" s="15" t="n"/>
      <c r="AC483" s="15" t="n"/>
      <c r="AD483" s="15" t="n"/>
      <c r="AE483" s="15" t="n"/>
      <c r="AH483" s="15" t="n"/>
      <c r="AI483" s="15" t="n"/>
      <c r="AJ483" s="15" t="n"/>
      <c r="AK483" s="15" t="n"/>
    </row>
    <row r="484" ht="14.5" customHeight="1">
      <c r="A484" s="17" t="n"/>
      <c r="B484" s="15" t="n"/>
      <c r="C484" s="15" t="n"/>
      <c r="D484" s="15" t="n"/>
      <c r="E484" s="15" t="n"/>
      <c r="F484" s="15" t="n"/>
      <c r="G484" s="18" t="n"/>
      <c r="H484" s="15" t="n"/>
      <c r="I484" s="15" t="n"/>
      <c r="J484" s="18" t="n"/>
      <c r="K484" s="15" t="n"/>
      <c r="L484" s="15" t="n"/>
      <c r="M484" s="15" t="n"/>
      <c r="N484" s="15" t="n"/>
      <c r="O484" s="15" t="n"/>
      <c r="P484" s="15" t="n"/>
      <c r="Q484" s="15" t="n"/>
      <c r="R484" s="15" t="n"/>
      <c r="S484" s="15" t="n"/>
      <c r="T484" s="15" t="n"/>
      <c r="U484" s="15" t="n"/>
      <c r="V484" s="15" t="n"/>
      <c r="W484" s="15" t="n"/>
      <c r="X484" s="15" t="n"/>
      <c r="Y484" s="15" t="n"/>
      <c r="Z484" s="15" t="n"/>
      <c r="AA484" s="15" t="n"/>
      <c r="AB484" s="15" t="n"/>
      <c r="AC484" s="15" t="n"/>
      <c r="AD484" s="15" t="n"/>
      <c r="AE484" s="15" t="n"/>
      <c r="AH484" s="15" t="n"/>
      <c r="AI484" s="15" t="n"/>
      <c r="AJ484" s="15" t="n"/>
      <c r="AK484" s="15" t="n"/>
    </row>
    <row r="485" ht="14.5" customHeight="1">
      <c r="A485" s="17" t="n"/>
      <c r="B485" s="15" t="n"/>
      <c r="C485" s="15" t="n"/>
      <c r="D485" s="15" t="n"/>
      <c r="E485" s="15" t="n"/>
      <c r="F485" s="15" t="n"/>
      <c r="G485" s="18" t="n"/>
      <c r="H485" s="15" t="n"/>
      <c r="I485" s="15" t="n"/>
      <c r="J485" s="18" t="n"/>
      <c r="K485" s="15" t="n"/>
      <c r="L485" s="15" t="n"/>
      <c r="M485" s="15" t="n"/>
      <c r="N485" s="15" t="n"/>
      <c r="O485" s="15" t="n"/>
      <c r="P485" s="15" t="n"/>
      <c r="Q485" s="15" t="n"/>
      <c r="R485" s="15" t="n"/>
      <c r="S485" s="15" t="n"/>
      <c r="T485" s="15" t="n"/>
      <c r="U485" s="15" t="n"/>
      <c r="V485" s="15" t="n"/>
      <c r="W485" s="15" t="n"/>
      <c r="X485" s="15" t="n"/>
      <c r="Y485" s="15" t="n"/>
      <c r="Z485" s="15" t="n"/>
      <c r="AA485" s="15" t="n"/>
      <c r="AB485" s="15" t="n"/>
      <c r="AC485" s="15" t="n"/>
      <c r="AD485" s="15" t="n"/>
      <c r="AE485" s="15" t="n"/>
      <c r="AH485" s="15" t="n"/>
      <c r="AI485" s="15" t="n"/>
      <c r="AJ485" s="15" t="n"/>
      <c r="AK485" s="15" t="n"/>
    </row>
    <row r="486" ht="14.5" customHeight="1">
      <c r="A486" s="17" t="n"/>
      <c r="B486" s="15" t="n"/>
      <c r="C486" s="15" t="n"/>
      <c r="D486" s="15" t="n"/>
      <c r="E486" s="15" t="n"/>
      <c r="F486" s="15" t="n"/>
      <c r="G486" s="18" t="n"/>
      <c r="H486" s="15" t="n"/>
      <c r="I486" s="15" t="n"/>
      <c r="J486" s="18" t="n"/>
      <c r="K486" s="15" t="n"/>
      <c r="L486" s="15" t="n"/>
      <c r="M486" s="15" t="n"/>
      <c r="N486" s="15" t="n"/>
      <c r="O486" s="15" t="n"/>
      <c r="P486" s="15" t="n"/>
      <c r="Q486" s="15" t="n"/>
      <c r="R486" s="15" t="n"/>
      <c r="S486" s="15" t="n"/>
      <c r="T486" s="15" t="n"/>
      <c r="U486" s="15" t="n"/>
      <c r="V486" s="15" t="n"/>
      <c r="W486" s="15" t="n"/>
      <c r="X486" s="15" t="n"/>
      <c r="Y486" s="15" t="n"/>
      <c r="Z486" s="15" t="n"/>
      <c r="AA486" s="15" t="n"/>
      <c r="AB486" s="15" t="n"/>
      <c r="AC486" s="15" t="n"/>
      <c r="AD486" s="15" t="n"/>
      <c r="AE486" s="15" t="n"/>
      <c r="AH486" s="15" t="n"/>
      <c r="AI486" s="15" t="n"/>
      <c r="AJ486" s="15" t="n"/>
      <c r="AK486" s="15" t="n"/>
    </row>
    <row r="487" ht="14.5" customHeight="1">
      <c r="A487" s="17" t="n"/>
      <c r="B487" s="15" t="n"/>
      <c r="C487" s="15" t="n"/>
      <c r="D487" s="15" t="n"/>
      <c r="E487" s="15" t="n"/>
      <c r="F487" s="15" t="n"/>
      <c r="G487" s="18" t="n"/>
      <c r="H487" s="15" t="n"/>
      <c r="I487" s="15" t="n"/>
      <c r="J487" s="18" t="n"/>
      <c r="K487" s="15" t="n"/>
      <c r="L487" s="15" t="n"/>
      <c r="M487" s="15" t="n"/>
      <c r="N487" s="15" t="n"/>
      <c r="O487" s="15" t="n"/>
      <c r="P487" s="15" t="n"/>
      <c r="Q487" s="15" t="n"/>
      <c r="R487" s="15" t="n"/>
      <c r="S487" s="15" t="n"/>
      <c r="T487" s="15" t="n"/>
      <c r="U487" s="15" t="n"/>
      <c r="V487" s="15" t="n"/>
      <c r="W487" s="15" t="n"/>
      <c r="X487" s="15" t="n"/>
      <c r="Y487" s="15" t="n"/>
      <c r="Z487" s="15" t="n"/>
      <c r="AA487" s="15" t="n"/>
      <c r="AB487" s="15" t="n"/>
      <c r="AC487" s="15" t="n"/>
      <c r="AD487" s="15" t="n"/>
      <c r="AE487" s="15" t="n"/>
      <c r="AH487" s="15" t="n"/>
      <c r="AI487" s="15" t="n"/>
      <c r="AJ487" s="15" t="n"/>
      <c r="AK487" s="15" t="n"/>
    </row>
    <row r="488" ht="14.5" customHeight="1">
      <c r="A488" s="17" t="n"/>
      <c r="B488" s="15" t="n"/>
      <c r="C488" s="15" t="n"/>
      <c r="D488" s="15" t="n"/>
      <c r="E488" s="15" t="n"/>
      <c r="F488" s="15" t="n"/>
      <c r="G488" s="18" t="n"/>
      <c r="H488" s="15" t="n"/>
      <c r="I488" s="15" t="n"/>
      <c r="J488" s="18" t="n"/>
      <c r="K488" s="15" t="n"/>
      <c r="L488" s="15" t="n"/>
      <c r="M488" s="15" t="n"/>
      <c r="N488" s="15" t="n"/>
      <c r="O488" s="15" t="n"/>
      <c r="P488" s="15" t="n"/>
      <c r="Q488" s="15" t="n"/>
      <c r="R488" s="15" t="n"/>
      <c r="S488" s="15" t="n"/>
      <c r="T488" s="15" t="n"/>
      <c r="U488" s="15" t="n"/>
      <c r="V488" s="15" t="n"/>
      <c r="W488" s="15" t="n"/>
      <c r="X488" s="15" t="n"/>
      <c r="Y488" s="15" t="n"/>
      <c r="Z488" s="15" t="n"/>
      <c r="AA488" s="15" t="n"/>
      <c r="AB488" s="15" t="n"/>
      <c r="AC488" s="15" t="n"/>
      <c r="AD488" s="15" t="n"/>
      <c r="AE488" s="15" t="n"/>
      <c r="AH488" s="15" t="n"/>
      <c r="AI488" s="15" t="n"/>
      <c r="AJ488" s="15" t="n"/>
      <c r="AK488" s="15" t="n"/>
    </row>
    <row r="489" ht="14.5" customHeight="1">
      <c r="A489" s="17" t="n"/>
      <c r="B489" s="15" t="n"/>
      <c r="C489" s="15" t="n"/>
      <c r="D489" s="15" t="n"/>
      <c r="E489" s="15" t="n"/>
      <c r="F489" s="15" t="n"/>
      <c r="G489" s="18" t="n"/>
      <c r="H489" s="15" t="n"/>
      <c r="I489" s="15" t="n"/>
      <c r="J489" s="18" t="n"/>
      <c r="K489" s="15" t="n"/>
      <c r="L489" s="15" t="n"/>
      <c r="M489" s="15" t="n"/>
      <c r="N489" s="15" t="n"/>
      <c r="O489" s="15" t="n"/>
      <c r="P489" s="15" t="n"/>
      <c r="Q489" s="15" t="n"/>
      <c r="R489" s="15" t="n"/>
      <c r="S489" s="15" t="n"/>
      <c r="T489" s="15" t="n"/>
      <c r="U489" s="15" t="n"/>
      <c r="V489" s="15" t="n"/>
      <c r="W489" s="15" t="n"/>
      <c r="X489" s="15" t="n"/>
      <c r="Y489" s="15" t="n"/>
      <c r="Z489" s="15" t="n"/>
      <c r="AA489" s="15" t="n"/>
      <c r="AB489" s="15" t="n"/>
      <c r="AC489" s="15" t="n"/>
      <c r="AD489" s="15" t="n"/>
      <c r="AE489" s="15" t="n"/>
      <c r="AH489" s="15" t="n"/>
      <c r="AI489" s="15" t="n"/>
      <c r="AJ489" s="15" t="n"/>
      <c r="AK489" s="15" t="n"/>
    </row>
    <row r="490" ht="14.5" customHeight="1">
      <c r="A490" s="17" t="n"/>
      <c r="B490" s="15" t="n"/>
      <c r="C490" s="15" t="n"/>
      <c r="D490" s="15" t="n"/>
      <c r="E490" s="15" t="n"/>
      <c r="F490" s="15" t="n"/>
      <c r="G490" s="18" t="n"/>
      <c r="H490" s="15" t="n"/>
      <c r="I490" s="15" t="n"/>
      <c r="J490" s="18" t="n"/>
      <c r="K490" s="15" t="n"/>
      <c r="L490" s="15" t="n"/>
      <c r="M490" s="15" t="n"/>
      <c r="N490" s="15" t="n"/>
      <c r="O490" s="15" t="n"/>
      <c r="P490" s="15" t="n"/>
      <c r="Q490" s="15" t="n"/>
      <c r="R490" s="15" t="n"/>
      <c r="S490" s="15" t="n"/>
      <c r="T490" s="15" t="n"/>
      <c r="U490" s="15" t="n"/>
      <c r="V490" s="15" t="n"/>
      <c r="W490" s="15" t="n"/>
      <c r="X490" s="15" t="n"/>
      <c r="Y490" s="15" t="n"/>
      <c r="Z490" s="15" t="n"/>
      <c r="AA490" s="15" t="n"/>
      <c r="AB490" s="15" t="n"/>
      <c r="AC490" s="15" t="n"/>
      <c r="AD490" s="15" t="n"/>
      <c r="AE490" s="15" t="n"/>
      <c r="AH490" s="15" t="n"/>
      <c r="AI490" s="15" t="n"/>
      <c r="AJ490" s="15" t="n"/>
      <c r="AK490" s="15" t="n"/>
    </row>
    <row r="491" ht="14.5" customHeight="1">
      <c r="A491" s="17" t="n"/>
      <c r="B491" s="15" t="n"/>
      <c r="C491" s="15" t="n"/>
      <c r="D491" s="15" t="n"/>
      <c r="E491" s="15" t="n"/>
      <c r="F491" s="15" t="n"/>
      <c r="G491" s="18" t="n"/>
      <c r="H491" s="15" t="n"/>
      <c r="I491" s="15" t="n"/>
      <c r="J491" s="18" t="n"/>
      <c r="K491" s="15" t="n"/>
      <c r="L491" s="15" t="n"/>
      <c r="M491" s="15" t="n"/>
      <c r="N491" s="15" t="n"/>
      <c r="O491" s="15" t="n"/>
      <c r="P491" s="15" t="n"/>
      <c r="Q491" s="15" t="n"/>
      <c r="R491" s="15" t="n"/>
      <c r="S491" s="15" t="n"/>
      <c r="T491" s="15" t="n"/>
      <c r="U491" s="15" t="n"/>
      <c r="V491" s="15" t="n"/>
      <c r="W491" s="15" t="n"/>
      <c r="X491" s="15" t="n"/>
      <c r="Y491" s="15" t="n"/>
      <c r="Z491" s="15" t="n"/>
      <c r="AA491" s="15" t="n"/>
      <c r="AB491" s="15" t="n"/>
      <c r="AC491" s="15" t="n"/>
      <c r="AD491" s="15" t="n"/>
      <c r="AE491" s="15" t="n"/>
      <c r="AH491" s="15" t="n"/>
      <c r="AI491" s="15" t="n"/>
      <c r="AJ491" s="15" t="n"/>
      <c r="AK491" s="15" t="n"/>
    </row>
    <row r="492" ht="14.5" customHeight="1">
      <c r="A492" s="17" t="n"/>
      <c r="B492" s="15" t="n"/>
      <c r="C492" s="15" t="n"/>
      <c r="D492" s="15" t="n"/>
      <c r="E492" s="15" t="n"/>
      <c r="F492" s="15" t="n"/>
      <c r="G492" s="18" t="n"/>
      <c r="H492" s="15" t="n"/>
      <c r="I492" s="15" t="n"/>
      <c r="J492" s="18" t="n"/>
      <c r="K492" s="15" t="n"/>
      <c r="L492" s="15" t="n"/>
      <c r="M492" s="15" t="n"/>
      <c r="N492" s="15" t="n"/>
      <c r="O492" s="15" t="n"/>
      <c r="P492" s="15" t="n"/>
      <c r="Q492" s="15" t="n"/>
      <c r="R492" s="15" t="n"/>
      <c r="S492" s="15" t="n"/>
      <c r="T492" s="15" t="n"/>
      <c r="U492" s="15" t="n"/>
      <c r="V492" s="15" t="n"/>
      <c r="W492" s="15" t="n"/>
      <c r="X492" s="15" t="n"/>
      <c r="Y492" s="15" t="n"/>
      <c r="Z492" s="15" t="n"/>
      <c r="AA492" s="15" t="n"/>
      <c r="AB492" s="15" t="n"/>
      <c r="AC492" s="15" t="n"/>
      <c r="AD492" s="15" t="n"/>
      <c r="AE492" s="15" t="n"/>
      <c r="AH492" s="15" t="n"/>
      <c r="AI492" s="15" t="n"/>
      <c r="AJ492" s="15" t="n"/>
      <c r="AK492" s="15" t="n"/>
    </row>
    <row r="493" ht="14.5" customHeight="1">
      <c r="A493" s="17" t="n"/>
      <c r="B493" s="15" t="n"/>
      <c r="C493" s="15" t="n"/>
      <c r="D493" s="15" t="n"/>
      <c r="E493" s="15" t="n"/>
      <c r="F493" s="15" t="n"/>
      <c r="G493" s="18" t="n"/>
      <c r="H493" s="15" t="n"/>
      <c r="I493" s="15" t="n"/>
      <c r="J493" s="18" t="n"/>
      <c r="K493" s="15" t="n"/>
      <c r="L493" s="15" t="n"/>
      <c r="M493" s="15" t="n"/>
      <c r="N493" s="15" t="n"/>
      <c r="O493" s="15" t="n"/>
      <c r="P493" s="15" t="n"/>
      <c r="Q493" s="15" t="n"/>
      <c r="R493" s="15" t="n"/>
      <c r="S493" s="15" t="n"/>
      <c r="T493" s="15" t="n"/>
      <c r="U493" s="15" t="n"/>
      <c r="V493" s="15" t="n"/>
      <c r="W493" s="15" t="n"/>
      <c r="X493" s="15" t="n"/>
      <c r="Y493" s="15" t="n"/>
      <c r="Z493" s="15" t="n"/>
      <c r="AA493" s="15" t="n"/>
      <c r="AB493" s="15" t="n"/>
      <c r="AC493" s="15" t="n"/>
      <c r="AD493" s="15" t="n"/>
      <c r="AE493" s="15" t="n"/>
      <c r="AH493" s="15" t="n"/>
      <c r="AI493" s="15" t="n"/>
      <c r="AJ493" s="15" t="n"/>
      <c r="AK493" s="15" t="n"/>
    </row>
    <row r="494" ht="14.5" customHeight="1">
      <c r="A494" s="17" t="n"/>
      <c r="B494" s="15" t="n"/>
      <c r="C494" s="15" t="n"/>
      <c r="D494" s="15" t="n"/>
      <c r="E494" s="15" t="n"/>
      <c r="F494" s="15" t="n"/>
      <c r="G494" s="18" t="n"/>
      <c r="H494" s="15" t="n"/>
      <c r="I494" s="15" t="n"/>
      <c r="J494" s="18" t="n"/>
      <c r="K494" s="15" t="n"/>
      <c r="L494" s="15" t="n"/>
      <c r="M494" s="15" t="n"/>
      <c r="N494" s="15" t="n"/>
      <c r="O494" s="15" t="n"/>
      <c r="P494" s="15" t="n"/>
      <c r="Q494" s="15" t="n"/>
      <c r="R494" s="15" t="n"/>
      <c r="S494" s="15" t="n"/>
      <c r="T494" s="15" t="n"/>
      <c r="U494" s="15" t="n"/>
      <c r="V494" s="15" t="n"/>
      <c r="W494" s="15" t="n"/>
      <c r="X494" s="15" t="n"/>
      <c r="Y494" s="15" t="n"/>
      <c r="Z494" s="15" t="n"/>
      <c r="AA494" s="15" t="n"/>
      <c r="AB494" s="15" t="n"/>
      <c r="AC494" s="15" t="n"/>
      <c r="AD494" s="15" t="n"/>
      <c r="AE494" s="15" t="n"/>
      <c r="AH494" s="15" t="n"/>
      <c r="AI494" s="15" t="n"/>
      <c r="AJ494" s="15" t="n"/>
      <c r="AK494" s="15" t="n"/>
    </row>
    <row r="495" ht="14.5" customHeight="1">
      <c r="A495" s="17" t="n"/>
      <c r="B495" s="15" t="n"/>
      <c r="C495" s="15" t="n"/>
      <c r="D495" s="15" t="n"/>
      <c r="E495" s="15" t="n"/>
      <c r="F495" s="15" t="n"/>
      <c r="G495" s="18" t="n"/>
      <c r="H495" s="15" t="n"/>
      <c r="I495" s="15" t="n"/>
      <c r="J495" s="18" t="n"/>
      <c r="K495" s="15" t="n"/>
      <c r="L495" s="15" t="n"/>
      <c r="M495" s="15" t="n"/>
      <c r="N495" s="15" t="n"/>
      <c r="O495" s="15" t="n"/>
      <c r="P495" s="15" t="n"/>
      <c r="Q495" s="15" t="n"/>
      <c r="R495" s="15" t="n"/>
      <c r="S495" s="15" t="n"/>
      <c r="T495" s="15" t="n"/>
      <c r="U495" s="15" t="n"/>
      <c r="V495" s="15" t="n"/>
      <c r="W495" s="15" t="n"/>
      <c r="X495" s="15" t="n"/>
      <c r="Y495" s="15" t="n"/>
      <c r="Z495" s="15" t="n"/>
      <c r="AA495" s="15" t="n"/>
      <c r="AB495" s="15" t="n"/>
      <c r="AC495" s="15" t="n"/>
      <c r="AD495" s="15" t="n"/>
      <c r="AE495" s="15" t="n"/>
      <c r="AH495" s="15" t="n"/>
      <c r="AI495" s="15" t="n"/>
      <c r="AJ495" s="15" t="n"/>
      <c r="AK495" s="15" t="n"/>
    </row>
    <row r="496" ht="14.5" customHeight="1">
      <c r="A496" s="17" t="n"/>
      <c r="B496" s="15" t="n"/>
      <c r="C496" s="15" t="n"/>
      <c r="D496" s="15" t="n"/>
      <c r="E496" s="15" t="n"/>
      <c r="F496" s="15" t="n"/>
      <c r="G496" s="18" t="n"/>
      <c r="H496" s="15" t="n"/>
      <c r="I496" s="15" t="n"/>
      <c r="J496" s="18" t="n"/>
      <c r="K496" s="15" t="n"/>
      <c r="L496" s="15" t="n"/>
      <c r="M496" s="15" t="n"/>
      <c r="N496" s="15" t="n"/>
      <c r="O496" s="15" t="n"/>
      <c r="P496" s="15" t="n"/>
      <c r="Q496" s="15" t="n"/>
      <c r="R496" s="15" t="n"/>
      <c r="S496" s="15" t="n"/>
      <c r="T496" s="15" t="n"/>
      <c r="U496" s="15" t="n"/>
      <c r="V496" s="15" t="n"/>
      <c r="W496" s="15" t="n"/>
      <c r="X496" s="15" t="n"/>
      <c r="Y496" s="15" t="n"/>
      <c r="Z496" s="15" t="n"/>
      <c r="AA496" s="15" t="n"/>
      <c r="AB496" s="15" t="n"/>
      <c r="AC496" s="15" t="n"/>
      <c r="AD496" s="15" t="n"/>
      <c r="AE496" s="15" t="n"/>
      <c r="AH496" s="15" t="n"/>
      <c r="AI496" s="15" t="n"/>
      <c r="AJ496" s="15" t="n"/>
      <c r="AK496" s="15" t="n"/>
    </row>
    <row r="497" ht="14.5" customHeight="1">
      <c r="A497" s="17" t="n"/>
      <c r="B497" s="15" t="n"/>
      <c r="C497" s="15" t="n"/>
      <c r="D497" s="15" t="n"/>
      <c r="E497" s="15" t="n"/>
      <c r="F497" s="15" t="n"/>
      <c r="G497" s="18" t="n"/>
      <c r="H497" s="15" t="n"/>
      <c r="I497" s="15" t="n"/>
      <c r="J497" s="18" t="n"/>
      <c r="K497" s="15" t="n"/>
      <c r="L497" s="15" t="n"/>
      <c r="M497" s="15" t="n"/>
      <c r="N497" s="15" t="n"/>
      <c r="O497" s="15" t="n"/>
      <c r="P497" s="15" t="n"/>
      <c r="Q497" s="15" t="n"/>
      <c r="R497" s="15" t="n"/>
      <c r="S497" s="15" t="n"/>
      <c r="T497" s="15" t="n"/>
      <c r="U497" s="15" t="n"/>
      <c r="V497" s="15" t="n"/>
      <c r="W497" s="15" t="n"/>
      <c r="X497" s="15" t="n"/>
      <c r="Y497" s="15" t="n"/>
      <c r="Z497" s="15" t="n"/>
      <c r="AA497" s="15" t="n"/>
      <c r="AB497" s="15" t="n"/>
      <c r="AC497" s="15" t="n"/>
      <c r="AD497" s="15" t="n"/>
      <c r="AE497" s="15" t="n"/>
      <c r="AH497" s="15" t="n"/>
      <c r="AI497" s="15" t="n"/>
      <c r="AJ497" s="15" t="n"/>
      <c r="AK497" s="15" t="n"/>
    </row>
    <row r="498" ht="14.5" customHeight="1">
      <c r="A498" s="17" t="n"/>
      <c r="B498" s="15" t="n"/>
      <c r="C498" s="15" t="n"/>
      <c r="D498" s="15" t="n"/>
      <c r="E498" s="15" t="n"/>
      <c r="F498" s="15" t="n"/>
      <c r="G498" s="18" t="n"/>
      <c r="H498" s="15" t="n"/>
      <c r="I498" s="15" t="n"/>
      <c r="J498" s="18" t="n"/>
      <c r="K498" s="15" t="n"/>
      <c r="L498" s="15" t="n"/>
      <c r="M498" s="15" t="n"/>
      <c r="N498" s="15" t="n"/>
      <c r="O498" s="15" t="n"/>
      <c r="P498" s="15" t="n"/>
      <c r="Q498" s="15" t="n"/>
      <c r="R498" s="15" t="n"/>
      <c r="S498" s="15" t="n"/>
      <c r="T498" s="15" t="n"/>
      <c r="U498" s="15" t="n"/>
      <c r="V498" s="15" t="n"/>
      <c r="W498" s="15" t="n"/>
      <c r="X498" s="15" t="n"/>
      <c r="Y498" s="15" t="n"/>
      <c r="Z498" s="15" t="n"/>
      <c r="AA498" s="15" t="n"/>
      <c r="AB498" s="15" t="n"/>
      <c r="AC498" s="15" t="n"/>
      <c r="AD498" s="15" t="n"/>
      <c r="AE498" s="15" t="n"/>
      <c r="AH498" s="15" t="n"/>
      <c r="AI498" s="15" t="n"/>
      <c r="AJ498" s="15" t="n"/>
      <c r="AK498" s="15" t="n"/>
    </row>
    <row r="499" ht="14.5" customHeight="1">
      <c r="A499" s="17" t="n"/>
      <c r="B499" s="15" t="n"/>
      <c r="C499" s="15" t="n"/>
      <c r="D499" s="15" t="n"/>
      <c r="E499" s="15" t="n"/>
      <c r="F499" s="15" t="n"/>
      <c r="G499" s="18" t="n"/>
      <c r="H499" s="15" t="n"/>
      <c r="I499" s="15" t="n"/>
      <c r="J499" s="18" t="n"/>
      <c r="K499" s="15" t="n"/>
      <c r="L499" s="15" t="n"/>
      <c r="M499" s="15" t="n"/>
      <c r="N499" s="15" t="n"/>
      <c r="O499" s="15" t="n"/>
      <c r="P499" s="15" t="n"/>
      <c r="Q499" s="15" t="n"/>
      <c r="R499" s="15" t="n"/>
      <c r="S499" s="15" t="n"/>
      <c r="T499" s="15" t="n"/>
      <c r="U499" s="15" t="n"/>
      <c r="V499" s="15" t="n"/>
      <c r="W499" s="15" t="n"/>
      <c r="X499" s="15" t="n"/>
      <c r="Y499" s="15" t="n"/>
      <c r="Z499" s="15" t="n"/>
      <c r="AA499" s="15" t="n"/>
      <c r="AB499" s="15" t="n"/>
      <c r="AC499" s="15" t="n"/>
      <c r="AD499" s="15" t="n"/>
      <c r="AE499" s="15" t="n"/>
      <c r="AH499" s="15" t="n"/>
      <c r="AI499" s="15" t="n"/>
      <c r="AJ499" s="15" t="n"/>
      <c r="AK499" s="15" t="n"/>
    </row>
  </sheetData>
  <autoFilter ref="A1:BB499"/>
  <conditionalFormatting sqref="G1:G499 J1:J999">
    <cfRule type="cellIs" priority="1" operator="lessThan" dxfId="5">
      <formula>0</formula>
    </cfRule>
    <cfRule type="cellIs" priority="2" operator="greaterThan" dxfId="4">
      <formula>0</formula>
    </cfRule>
  </conditionalFormatting>
  <conditionalFormatting sqref="N1:Q345">
    <cfRule type="containsText" priority="5" operator="containsText" dxfId="3" text="buy">
      <formula>NOT(ISERROR(SEARCH(("buy"),(N1))))</formula>
    </cfRule>
    <cfRule type="containsText" priority="6" operator="containsText" dxfId="2" text="Sell">
      <formula>NOT(ISERROR(SEARCH(("Sell"),(N1))))</formula>
    </cfRule>
  </conditionalFormatting>
  <conditionalFormatting sqref="S1:S999">
    <cfRule type="cellIs" priority="4" operator="equal" dxfId="1">
      <formula>"Anco"</formula>
    </cfRule>
  </conditionalFormatting>
  <conditionalFormatting sqref="AC1:AC499">
    <cfRule type="cellIs" priority="3" operator="equal" dxfId="0">
      <formula>"Anco"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39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name</t>
        </is>
      </c>
      <c r="B1" s="20" t="inlineStr">
        <is>
          <t>volume_change</t>
        </is>
      </c>
      <c r="C1" s="20" t="inlineStr">
        <is>
          <t>price_change</t>
        </is>
      </c>
      <c r="D1" s="20" t="inlineStr">
        <is>
          <t>date</t>
        </is>
      </c>
      <c r="E1" s="20" t="inlineStr">
        <is>
          <t>open</t>
        </is>
      </c>
      <c r="F1" s="20" t="inlineStr">
        <is>
          <t>high</t>
        </is>
      </c>
      <c r="G1" s="20" t="inlineStr">
        <is>
          <t>low</t>
        </is>
      </c>
      <c r="H1" s="20" t="inlineStr">
        <is>
          <t>close</t>
        </is>
      </c>
      <c r="I1" s="20" t="inlineStr">
        <is>
          <t>volume</t>
        </is>
      </c>
      <c r="J1" s="20" t="inlineStr">
        <is>
          <t>volume_20_ma</t>
        </is>
      </c>
      <c r="K1" s="20" t="inlineStr">
        <is>
          <t>rsi</t>
        </is>
      </c>
      <c r="L1" s="20" t="inlineStr">
        <is>
          <t>mor</t>
        </is>
      </c>
      <c r="M1" s="20" t="inlineStr">
        <is>
          <t>mor_age</t>
        </is>
      </c>
      <c r="N1" s="20" t="inlineStr">
        <is>
          <t>mor_date</t>
        </is>
      </c>
    </row>
    <row r="2">
      <c r="A2" t="inlineStr">
        <is>
          <t>AARTIPHARM</t>
        </is>
      </c>
      <c r="B2" t="n">
        <v>18.36771017747822</v>
      </c>
      <c r="C2" t="n">
        <v>0.1033286589416092</v>
      </c>
      <c r="D2" s="21" t="n">
        <v>45656</v>
      </c>
      <c r="E2" t="n">
        <v>676</v>
      </c>
      <c r="F2" t="n">
        <v>694.5</v>
      </c>
      <c r="G2" t="n">
        <v>674.1</v>
      </c>
      <c r="H2" t="n">
        <v>678.15</v>
      </c>
      <c r="I2" t="n">
        <v>760801</v>
      </c>
      <c r="J2" t="n">
        <v>642743.7</v>
      </c>
      <c r="K2" t="inlineStr"/>
      <c r="L2" t="inlineStr">
        <is>
          <t>Bear</t>
        </is>
      </c>
      <c r="M2" t="n">
        <v>12</v>
      </c>
      <c r="N2" s="21" t="n">
        <v>45637</v>
      </c>
    </row>
    <row r="3">
      <c r="A3" t="inlineStr">
        <is>
          <t>AAVAS</t>
        </is>
      </c>
      <c r="B3" t="n">
        <v>-60.57618393402178</v>
      </c>
      <c r="C3" t="n">
        <v>-0.1534711564502997</v>
      </c>
      <c r="D3" s="21" t="n">
        <v>45656</v>
      </c>
      <c r="E3" t="n">
        <v>1656.05</v>
      </c>
      <c r="F3" t="n">
        <v>1669</v>
      </c>
      <c r="G3" t="n">
        <v>1656.05</v>
      </c>
      <c r="H3" t="n">
        <v>1659</v>
      </c>
      <c r="I3" t="n">
        <v>61825</v>
      </c>
      <c r="J3" t="n">
        <v>156821.45</v>
      </c>
      <c r="K3" t="inlineStr"/>
      <c r="L3" t="inlineStr">
        <is>
          <t>Bear</t>
        </is>
      </c>
      <c r="M3" t="n">
        <v>49</v>
      </c>
      <c r="N3" s="21" t="n">
        <v>45582</v>
      </c>
    </row>
    <row r="4">
      <c r="A4" t="inlineStr">
        <is>
          <t>ACC</t>
        </is>
      </c>
      <c r="B4" t="n">
        <v>-4.950676767032776</v>
      </c>
      <c r="C4" t="n">
        <v>-0.2759488768396504</v>
      </c>
      <c r="D4" s="21" t="n">
        <v>45656</v>
      </c>
      <c r="E4" t="n">
        <v>2065.6</v>
      </c>
      <c r="F4" t="n">
        <v>2106.95</v>
      </c>
      <c r="G4" t="n">
        <v>2052.05</v>
      </c>
      <c r="H4" t="n">
        <v>2059.9</v>
      </c>
      <c r="I4" t="n">
        <v>276549</v>
      </c>
      <c r="J4" t="n">
        <v>290953.15</v>
      </c>
      <c r="K4" t="inlineStr"/>
      <c r="L4" t="inlineStr">
        <is>
          <t>Bear</t>
        </is>
      </c>
      <c r="M4" t="n">
        <v>55</v>
      </c>
      <c r="N4" s="21" t="n">
        <v>45574</v>
      </c>
    </row>
    <row r="5">
      <c r="A5" t="inlineStr">
        <is>
          <t>ADANIPORTS</t>
        </is>
      </c>
      <c r="B5" t="n">
        <v>109.1331170955343</v>
      </c>
      <c r="C5" t="n">
        <v>-0.991305760949057</v>
      </c>
      <c r="D5" s="21" t="n">
        <v>45656</v>
      </c>
      <c r="E5" t="n">
        <v>1233.75</v>
      </c>
      <c r="F5" t="n">
        <v>1258.8</v>
      </c>
      <c r="G5" t="n">
        <v>1212</v>
      </c>
      <c r="H5" t="n">
        <v>1218.5</v>
      </c>
      <c r="I5" t="n">
        <v>8312636</v>
      </c>
      <c r="J5" t="n">
        <v>3974806.15</v>
      </c>
      <c r="K5" t="inlineStr"/>
      <c r="L5" t="inlineStr">
        <is>
          <t>Bear</t>
        </is>
      </c>
      <c r="M5" t="n">
        <v>76</v>
      </c>
      <c r="N5" s="21" t="n">
        <v>45544</v>
      </c>
    </row>
    <row r="6">
      <c r="A6" t="inlineStr">
        <is>
          <t>ADANIPOWER</t>
        </is>
      </c>
      <c r="B6" t="n">
        <v>120.346210213092</v>
      </c>
      <c r="C6" t="n">
        <v>6.452886038480522</v>
      </c>
      <c r="D6" s="21" t="n">
        <v>45656</v>
      </c>
      <c r="E6" t="n">
        <v>508</v>
      </c>
      <c r="F6" t="n">
        <v>558.9</v>
      </c>
      <c r="G6" t="n">
        <v>501.5</v>
      </c>
      <c r="H6" t="n">
        <v>539.45</v>
      </c>
      <c r="I6" t="n">
        <v>14814886</v>
      </c>
      <c r="J6" t="n">
        <v>6723458.5</v>
      </c>
      <c r="K6" t="inlineStr"/>
      <c r="L6" t="inlineStr">
        <is>
          <t>Bear</t>
        </is>
      </c>
      <c r="M6" t="n">
        <v>93</v>
      </c>
      <c r="N6" s="21" t="n">
        <v>45518</v>
      </c>
    </row>
    <row r="7">
      <c r="A7" t="inlineStr">
        <is>
          <t>ADFFOODS</t>
        </is>
      </c>
      <c r="B7" t="n">
        <v>105.913932850244</v>
      </c>
      <c r="C7" t="n">
        <v>-5.45786330457863</v>
      </c>
      <c r="D7" s="21" t="n">
        <v>45656</v>
      </c>
      <c r="E7" t="n">
        <v>305</v>
      </c>
      <c r="F7" t="n">
        <v>305</v>
      </c>
      <c r="G7" t="n">
        <v>282</v>
      </c>
      <c r="H7" t="n">
        <v>284.95</v>
      </c>
      <c r="I7" t="n">
        <v>494784</v>
      </c>
      <c r="J7" t="n">
        <v>240286.8</v>
      </c>
      <c r="K7" t="inlineStr"/>
      <c r="L7" t="inlineStr">
        <is>
          <t>Bull</t>
        </is>
      </c>
      <c r="M7" t="n">
        <v>87</v>
      </c>
      <c r="N7" s="21" t="n">
        <v>45527</v>
      </c>
    </row>
    <row r="8">
      <c r="A8" t="inlineStr">
        <is>
          <t>ABSLAMC</t>
        </is>
      </c>
      <c r="B8" t="n">
        <v>36.70628867098376</v>
      </c>
      <c r="C8" t="n">
        <v>2.589848772423924</v>
      </c>
      <c r="D8" s="21" t="n">
        <v>45656</v>
      </c>
      <c r="E8" t="n">
        <v>815.05</v>
      </c>
      <c r="F8" t="n">
        <v>844</v>
      </c>
      <c r="G8" t="n">
        <v>815</v>
      </c>
      <c r="H8" t="n">
        <v>837.8</v>
      </c>
      <c r="I8" t="n">
        <v>625958</v>
      </c>
      <c r="J8" t="n">
        <v>457885.3</v>
      </c>
      <c r="K8" t="inlineStr"/>
      <c r="L8" t="inlineStr">
        <is>
          <t>Bull</t>
        </is>
      </c>
      <c r="M8" t="n">
        <v>174</v>
      </c>
      <c r="N8" s="21" t="n">
        <v>45400</v>
      </c>
    </row>
    <row r="9">
      <c r="A9" t="inlineStr">
        <is>
          <t>ABFRL</t>
        </is>
      </c>
      <c r="B9" t="n">
        <v>58.59084362405704</v>
      </c>
      <c r="C9" t="n">
        <v>-1.453900709219866</v>
      </c>
      <c r="D9" s="21" t="n">
        <v>45656</v>
      </c>
      <c r="E9" t="n">
        <v>280.05</v>
      </c>
      <c r="F9" t="n">
        <v>281.75</v>
      </c>
      <c r="G9" t="n">
        <v>276</v>
      </c>
      <c r="H9" t="n">
        <v>277.9</v>
      </c>
      <c r="I9" t="n">
        <v>3928790</v>
      </c>
      <c r="J9" t="n">
        <v>2477312</v>
      </c>
      <c r="K9" t="inlineStr"/>
      <c r="L9" t="inlineStr">
        <is>
          <t>Bear</t>
        </is>
      </c>
      <c r="M9" t="n">
        <v>43</v>
      </c>
      <c r="N9" s="21" t="n">
        <v>45590</v>
      </c>
    </row>
    <row r="10">
      <c r="A10" t="inlineStr">
        <is>
          <t>ABCAPITAL</t>
        </is>
      </c>
      <c r="B10" t="n">
        <v>-1.458024126538205</v>
      </c>
      <c r="C10" t="n">
        <v>-1.729971621916621</v>
      </c>
      <c r="D10" s="21" t="n">
        <v>45656</v>
      </c>
      <c r="E10" t="n">
        <v>183.98</v>
      </c>
      <c r="F10" t="n">
        <v>185.13</v>
      </c>
      <c r="G10" t="n">
        <v>179.37</v>
      </c>
      <c r="H10" t="n">
        <v>180.07</v>
      </c>
      <c r="I10" t="n">
        <v>2604716</v>
      </c>
      <c r="J10" t="n">
        <v>2643255.3</v>
      </c>
      <c r="K10" t="inlineStr"/>
      <c r="L10" t="inlineStr">
        <is>
          <t>Bear</t>
        </is>
      </c>
      <c r="M10" t="n">
        <v>46</v>
      </c>
      <c r="N10" s="21" t="n">
        <v>45587</v>
      </c>
    </row>
    <row r="11">
      <c r="A11" t="inlineStr">
        <is>
          <t>ADVENZYMES</t>
        </is>
      </c>
      <c r="B11" t="n">
        <v>-13.48312253651666</v>
      </c>
      <c r="C11" t="n">
        <v>-1.585714285714289</v>
      </c>
      <c r="D11" s="21" t="n">
        <v>45656</v>
      </c>
      <c r="E11" t="n">
        <v>351.75</v>
      </c>
      <c r="F11" t="n">
        <v>351.75</v>
      </c>
      <c r="G11" t="n">
        <v>342.5</v>
      </c>
      <c r="H11" t="n">
        <v>344.45</v>
      </c>
      <c r="I11" t="n">
        <v>177640</v>
      </c>
      <c r="J11" t="n">
        <v>205324.1</v>
      </c>
      <c r="K11" t="inlineStr"/>
      <c r="L11" t="inlineStr">
        <is>
          <t>Bear</t>
        </is>
      </c>
      <c r="M11" t="n">
        <v>42</v>
      </c>
      <c r="N11" s="21" t="n">
        <v>45593</v>
      </c>
    </row>
    <row r="12">
      <c r="A12" t="inlineStr">
        <is>
          <t>AFFLE</t>
        </is>
      </c>
      <c r="B12" t="n">
        <v>-63.35160528014027</v>
      </c>
      <c r="C12" t="n">
        <v>0.2173549573649942</v>
      </c>
      <c r="D12" s="21" t="n">
        <v>45656</v>
      </c>
      <c r="E12" t="n">
        <v>1794</v>
      </c>
      <c r="F12" t="n">
        <v>1807.95</v>
      </c>
      <c r="G12" t="n">
        <v>1766.4</v>
      </c>
      <c r="H12" t="n">
        <v>1798.2</v>
      </c>
      <c r="I12" t="n">
        <v>256010</v>
      </c>
      <c r="J12" t="n">
        <v>698557.2</v>
      </c>
      <c r="K12" t="inlineStr"/>
      <c r="L12" t="inlineStr">
        <is>
          <t>Bull</t>
        </is>
      </c>
      <c r="M12" t="n">
        <v>34</v>
      </c>
      <c r="N12" s="21" t="n">
        <v>45603</v>
      </c>
    </row>
    <row r="13">
      <c r="A13" t="inlineStr">
        <is>
          <t>AGI</t>
        </is>
      </c>
      <c r="B13" t="n">
        <v>-72.51035658087144</v>
      </c>
      <c r="C13" t="n">
        <v>-1.24035158167136</v>
      </c>
      <c r="D13" s="21" t="n">
        <v>45656</v>
      </c>
      <c r="E13" t="n">
        <v>1118</v>
      </c>
      <c r="F13" t="n">
        <v>1144</v>
      </c>
      <c r="G13" t="n">
        <v>1102</v>
      </c>
      <c r="H13" t="n">
        <v>1106.75</v>
      </c>
      <c r="I13" t="n">
        <v>111186</v>
      </c>
      <c r="J13" t="n">
        <v>404465.05</v>
      </c>
      <c r="K13" t="inlineStr"/>
      <c r="L13" t="inlineStr">
        <is>
          <t>Bull</t>
        </is>
      </c>
      <c r="M13" t="n">
        <v>121</v>
      </c>
      <c r="N13" s="21" t="n">
        <v>45477</v>
      </c>
    </row>
    <row r="14">
      <c r="A14" t="inlineStr">
        <is>
          <t>AIAENG</t>
        </is>
      </c>
      <c r="B14" t="n">
        <v>-74.45278750510394</v>
      </c>
      <c r="C14" t="n">
        <v>-0.3069726648150855</v>
      </c>
      <c r="D14" s="21" t="n">
        <v>45656</v>
      </c>
      <c r="E14" t="n">
        <v>3438.5</v>
      </c>
      <c r="F14" t="n">
        <v>3438.5</v>
      </c>
      <c r="G14" t="n">
        <v>3382.4</v>
      </c>
      <c r="H14" t="n">
        <v>3410</v>
      </c>
      <c r="I14" t="n">
        <v>17425</v>
      </c>
      <c r="J14" t="n">
        <v>68207.05</v>
      </c>
      <c r="K14" t="inlineStr"/>
      <c r="L14" t="inlineStr">
        <is>
          <t>Bear</t>
        </is>
      </c>
      <c r="M14" t="n">
        <v>66</v>
      </c>
      <c r="N14" s="21" t="n">
        <v>45558</v>
      </c>
    </row>
    <row r="15">
      <c r="A15" t="inlineStr">
        <is>
          <t>AJANTPHARM</t>
        </is>
      </c>
      <c r="B15" t="n">
        <v>79.71625394410941</v>
      </c>
      <c r="C15" t="n">
        <v>-2.940210249671485</v>
      </c>
      <c r="D15" s="21" t="n">
        <v>45656</v>
      </c>
      <c r="E15" t="n">
        <v>3020</v>
      </c>
      <c r="F15" t="n">
        <v>3030.5</v>
      </c>
      <c r="G15" t="n">
        <v>2892.5</v>
      </c>
      <c r="H15" t="n">
        <v>2954.5</v>
      </c>
      <c r="I15" t="n">
        <v>293244</v>
      </c>
      <c r="J15" t="n">
        <v>163170.55</v>
      </c>
      <c r="K15" t="inlineStr"/>
      <c r="L15" t="inlineStr">
        <is>
          <t>Bear</t>
        </is>
      </c>
      <c r="M15" t="n">
        <v>39</v>
      </c>
      <c r="N15" s="21" t="n">
        <v>45596</v>
      </c>
    </row>
    <row r="16">
      <c r="A16" t="inlineStr">
        <is>
          <t>AJMERA</t>
        </is>
      </c>
      <c r="B16" t="n">
        <v>-56.90534078057697</v>
      </c>
      <c r="C16" t="n">
        <v>-2.165420786110446</v>
      </c>
      <c r="D16" s="21" t="n">
        <v>45656</v>
      </c>
      <c r="E16" t="n">
        <v>1039.7</v>
      </c>
      <c r="F16" t="n">
        <v>1056</v>
      </c>
      <c r="G16" t="n">
        <v>1005.1</v>
      </c>
      <c r="H16" t="n">
        <v>1014.3</v>
      </c>
      <c r="I16" t="n">
        <v>36753</v>
      </c>
      <c r="J16" t="n">
        <v>85284.35000000001</v>
      </c>
      <c r="K16" t="inlineStr"/>
      <c r="L16" t="inlineStr">
        <is>
          <t>Bull</t>
        </is>
      </c>
      <c r="M16" t="n">
        <v>50</v>
      </c>
      <c r="N16" s="21" t="n">
        <v>45581</v>
      </c>
    </row>
    <row r="17">
      <c r="A17" t="inlineStr">
        <is>
          <t>AKZOINDIA</t>
        </is>
      </c>
      <c r="B17" t="n">
        <v>-73.5238815400504</v>
      </c>
      <c r="C17" t="n">
        <v>-0.48547249233658</v>
      </c>
      <c r="D17" s="21" t="n">
        <v>45656</v>
      </c>
      <c r="E17" t="n">
        <v>3438</v>
      </c>
      <c r="F17" t="n">
        <v>3438.35</v>
      </c>
      <c r="G17" t="n">
        <v>3372.65</v>
      </c>
      <c r="H17" t="n">
        <v>3392.5</v>
      </c>
      <c r="I17" t="n">
        <v>5217</v>
      </c>
      <c r="J17" t="n">
        <v>19704.55</v>
      </c>
      <c r="K17" t="inlineStr"/>
      <c r="L17" t="inlineStr">
        <is>
          <t>Bear</t>
        </is>
      </c>
      <c r="M17" t="n">
        <v>21</v>
      </c>
      <c r="N17" s="21" t="n">
        <v>45624</v>
      </c>
    </row>
    <row r="18">
      <c r="A18" t="inlineStr">
        <is>
          <t>ALEMBICLTD</t>
        </is>
      </c>
      <c r="B18" t="n">
        <v>-59.51634486962271</v>
      </c>
      <c r="C18" t="n">
        <v>-2.507131061402194</v>
      </c>
      <c r="D18" s="21" t="n">
        <v>45656</v>
      </c>
      <c r="E18" t="n">
        <v>133.79</v>
      </c>
      <c r="F18" t="n">
        <v>134.4</v>
      </c>
      <c r="G18" t="n">
        <v>129.27</v>
      </c>
      <c r="H18" t="n">
        <v>129.88</v>
      </c>
      <c r="I18" t="n">
        <v>420525</v>
      </c>
      <c r="J18" t="n">
        <v>1038752.55</v>
      </c>
      <c r="K18" t="inlineStr"/>
      <c r="L18" t="inlineStr">
        <is>
          <t>Bull</t>
        </is>
      </c>
      <c r="M18" t="n">
        <v>12</v>
      </c>
      <c r="N18" s="21" t="n">
        <v>45637</v>
      </c>
    </row>
    <row r="19">
      <c r="A19" t="inlineStr">
        <is>
          <t>ALKEM</t>
        </is>
      </c>
      <c r="B19" t="n">
        <v>38.43943198892595</v>
      </c>
      <c r="C19" t="n">
        <v>1.57860178379266</v>
      </c>
      <c r="D19" s="21" t="n">
        <v>45656</v>
      </c>
      <c r="E19" t="n">
        <v>5522.85</v>
      </c>
      <c r="F19" t="n">
        <v>5600</v>
      </c>
      <c r="G19" t="n">
        <v>5493.25</v>
      </c>
      <c r="H19" t="n">
        <v>5569.25</v>
      </c>
      <c r="I19" t="n">
        <v>170867</v>
      </c>
      <c r="J19" t="n">
        <v>123423.65</v>
      </c>
      <c r="K19" t="inlineStr"/>
      <c r="L19" t="inlineStr">
        <is>
          <t>Bear</t>
        </is>
      </c>
      <c r="M19" t="n">
        <v>37</v>
      </c>
      <c r="N19" s="21" t="n">
        <v>45600</v>
      </c>
    </row>
    <row r="20">
      <c r="A20" t="inlineStr">
        <is>
          <t>ARE&amp;M</t>
        </is>
      </c>
      <c r="B20" t="n">
        <v>-7.177704931350651</v>
      </c>
      <c r="C20" t="n">
        <v>-2.894985033009387</v>
      </c>
      <c r="D20" s="21" t="n">
        <v>45656</v>
      </c>
      <c r="E20" t="n">
        <v>1219</v>
      </c>
      <c r="F20" t="n">
        <v>1231.2</v>
      </c>
      <c r="G20" t="n">
        <v>1177</v>
      </c>
      <c r="H20" t="n">
        <v>1184.05</v>
      </c>
      <c r="I20" t="n">
        <v>479885</v>
      </c>
      <c r="J20" t="n">
        <v>516993.25</v>
      </c>
      <c r="K20" t="inlineStr"/>
      <c r="L20" t="inlineStr">
        <is>
          <t>Bear</t>
        </is>
      </c>
      <c r="M20" t="n">
        <v>76</v>
      </c>
      <c r="N20" s="21" t="n">
        <v>45544</v>
      </c>
    </row>
    <row r="21">
      <c r="A21" t="inlineStr">
        <is>
          <t>AMBUJACEM</t>
        </is>
      </c>
      <c r="B21" t="n">
        <v>75.66839210508843</v>
      </c>
      <c r="C21" t="n">
        <v>-0.611369650515562</v>
      </c>
      <c r="D21" s="21" t="n">
        <v>45656</v>
      </c>
      <c r="E21" t="n">
        <v>548</v>
      </c>
      <c r="F21" t="n">
        <v>558.9</v>
      </c>
      <c r="G21" t="n">
        <v>541.45</v>
      </c>
      <c r="H21" t="n">
        <v>544.6</v>
      </c>
      <c r="I21" t="n">
        <v>3433945</v>
      </c>
      <c r="J21" t="n">
        <v>1954788.2</v>
      </c>
      <c r="K21" t="inlineStr"/>
      <c r="L21" t="inlineStr">
        <is>
          <t>Bear</t>
        </is>
      </c>
      <c r="M21" t="n">
        <v>95</v>
      </c>
      <c r="N21" s="21" t="n">
        <v>45516</v>
      </c>
    </row>
    <row r="22">
      <c r="A22" t="inlineStr">
        <is>
          <t>AWHCL</t>
        </is>
      </c>
      <c r="B22" t="n">
        <v>-45.35307212472567</v>
      </c>
      <c r="C22" t="n">
        <v>-0.8921330089213302</v>
      </c>
      <c r="D22" s="21" t="n">
        <v>45656</v>
      </c>
      <c r="E22" t="n">
        <v>620</v>
      </c>
      <c r="F22" t="n">
        <v>620.75</v>
      </c>
      <c r="G22" t="n">
        <v>607.95</v>
      </c>
      <c r="H22" t="n">
        <v>611</v>
      </c>
      <c r="I22" t="n">
        <v>69471</v>
      </c>
      <c r="J22" t="n">
        <v>127127</v>
      </c>
      <c r="K22" t="inlineStr"/>
      <c r="L22" t="inlineStr">
        <is>
          <t>Bear</t>
        </is>
      </c>
      <c r="M22" t="n">
        <v>29</v>
      </c>
      <c r="N22" s="21" t="n">
        <v>45610</v>
      </c>
    </row>
    <row r="23">
      <c r="A23" t="inlineStr">
        <is>
          <t>APOLLOHOSP</t>
        </is>
      </c>
      <c r="B23" t="n">
        <v>36.39582916588088</v>
      </c>
      <c r="C23" t="n">
        <v>0.9377199398313597</v>
      </c>
      <c r="D23" s="21" t="n">
        <v>45656</v>
      </c>
      <c r="E23" t="n">
        <v>7240</v>
      </c>
      <c r="F23" t="n">
        <v>7378.4</v>
      </c>
      <c r="G23" t="n">
        <v>7220.05</v>
      </c>
      <c r="H23" t="n">
        <v>7314.25</v>
      </c>
      <c r="I23" t="n">
        <v>428884</v>
      </c>
      <c r="J23" t="n">
        <v>314440.7</v>
      </c>
      <c r="K23" t="inlineStr"/>
      <c r="L23" t="inlineStr">
        <is>
          <t>Bull</t>
        </is>
      </c>
      <c r="M23" t="n">
        <v>17</v>
      </c>
      <c r="N23" s="21" t="n">
        <v>45630</v>
      </c>
    </row>
    <row r="24">
      <c r="A24" t="inlineStr">
        <is>
          <t>APOLLOTYRE</t>
        </is>
      </c>
      <c r="B24" t="n">
        <v>-4.092971919179879</v>
      </c>
      <c r="C24" t="n">
        <v>-0.7490290364342644</v>
      </c>
      <c r="D24" s="21" t="n">
        <v>45656</v>
      </c>
      <c r="E24" t="n">
        <v>538</v>
      </c>
      <c r="F24" t="n">
        <v>540.55</v>
      </c>
      <c r="G24" t="n">
        <v>530.35</v>
      </c>
      <c r="H24" t="n">
        <v>536.65</v>
      </c>
      <c r="I24" t="n">
        <v>1319122</v>
      </c>
      <c r="J24" t="n">
        <v>1375417.45</v>
      </c>
      <c r="K24" t="inlineStr"/>
      <c r="L24" t="inlineStr">
        <is>
          <t>Bull</t>
        </is>
      </c>
      <c r="M24" t="n">
        <v>17</v>
      </c>
      <c r="N24" s="21" t="n">
        <v>45630</v>
      </c>
    </row>
    <row r="25">
      <c r="A25" t="inlineStr">
        <is>
          <t>APTECHT</t>
        </is>
      </c>
      <c r="B25" t="n">
        <v>-58.6156518565172</v>
      </c>
      <c r="C25" t="n">
        <v>-2.423112767940347</v>
      </c>
      <c r="D25" s="21" t="n">
        <v>45656</v>
      </c>
      <c r="E25" t="n">
        <v>182.9</v>
      </c>
      <c r="F25" t="n">
        <v>183.22</v>
      </c>
      <c r="G25" t="n">
        <v>177.1</v>
      </c>
      <c r="H25" t="n">
        <v>177.99</v>
      </c>
      <c r="I25" t="n">
        <v>175966</v>
      </c>
      <c r="J25" t="n">
        <v>425199.4</v>
      </c>
      <c r="K25" t="inlineStr"/>
      <c r="L25" t="inlineStr">
        <is>
          <t>Bear</t>
        </is>
      </c>
      <c r="M25" t="n">
        <v>65</v>
      </c>
      <c r="N25" s="21" t="n">
        <v>45559</v>
      </c>
    </row>
    <row r="26">
      <c r="A26" t="inlineStr">
        <is>
          <t>APTUS</t>
        </is>
      </c>
      <c r="B26" t="n">
        <v>13.10999664259398</v>
      </c>
      <c r="C26" t="n">
        <v>-3.560781715799934</v>
      </c>
      <c r="D26" s="21" t="n">
        <v>45656</v>
      </c>
      <c r="E26" t="n">
        <v>302.15</v>
      </c>
      <c r="F26" t="n">
        <v>304.45</v>
      </c>
      <c r="G26" t="n">
        <v>289.35</v>
      </c>
      <c r="H26" t="n">
        <v>291.15</v>
      </c>
      <c r="I26" t="n">
        <v>1044886</v>
      </c>
      <c r="J26" t="n">
        <v>923778.65</v>
      </c>
      <c r="K26" t="inlineStr"/>
      <c r="L26" t="inlineStr">
        <is>
          <t>Bear</t>
        </is>
      </c>
      <c r="M26" t="n">
        <v>31</v>
      </c>
      <c r="N26" s="21" t="n">
        <v>45608</v>
      </c>
    </row>
    <row r="27">
      <c r="A27" t="inlineStr">
        <is>
          <t>ACI</t>
        </is>
      </c>
      <c r="B27" t="n">
        <v>-43.00371350104837</v>
      </c>
      <c r="C27" t="n">
        <v>0.5510265700483057</v>
      </c>
      <c r="D27" s="21" t="n">
        <v>45656</v>
      </c>
      <c r="E27" t="n">
        <v>663.05</v>
      </c>
      <c r="F27" t="n">
        <v>670</v>
      </c>
      <c r="G27" t="n">
        <v>660.2</v>
      </c>
      <c r="H27" t="n">
        <v>666.05</v>
      </c>
      <c r="I27" t="n">
        <v>126348</v>
      </c>
      <c r="J27" t="n">
        <v>221677.6</v>
      </c>
      <c r="K27" t="inlineStr"/>
      <c r="L27" t="inlineStr">
        <is>
          <t>Bear</t>
        </is>
      </c>
      <c r="M27" t="n">
        <v>6</v>
      </c>
      <c r="N27" s="21" t="n">
        <v>45645</v>
      </c>
    </row>
    <row r="28">
      <c r="A28" t="inlineStr">
        <is>
          <t>ARMANFIN</t>
        </is>
      </c>
      <c r="B28" t="n">
        <v>68.36716385775632</v>
      </c>
      <c r="C28" t="n">
        <v>-6.166699047989113</v>
      </c>
      <c r="D28" s="21" t="n">
        <v>45656</v>
      </c>
      <c r="E28" t="n">
        <v>1267.45</v>
      </c>
      <c r="F28" t="n">
        <v>1278.4</v>
      </c>
      <c r="G28" t="n">
        <v>1200</v>
      </c>
      <c r="H28" t="n">
        <v>1207.4</v>
      </c>
      <c r="I28" t="n">
        <v>56304</v>
      </c>
      <c r="J28" t="n">
        <v>33441.2</v>
      </c>
      <c r="K28" t="inlineStr"/>
      <c r="L28" t="inlineStr">
        <is>
          <t>Bear</t>
        </is>
      </c>
      <c r="M28" t="n">
        <v>116</v>
      </c>
      <c r="N28" s="21" t="n">
        <v>45484</v>
      </c>
    </row>
    <row r="29">
      <c r="A29" t="inlineStr">
        <is>
          <t>ASAHIINDIA</t>
        </is>
      </c>
      <c r="B29" t="n">
        <v>-22.32027855465186</v>
      </c>
      <c r="C29" t="n">
        <v>1.492237687366164</v>
      </c>
      <c r="D29" s="21" t="n">
        <v>45656</v>
      </c>
      <c r="E29" t="n">
        <v>750.35</v>
      </c>
      <c r="F29" t="n">
        <v>772.7</v>
      </c>
      <c r="G29" t="n">
        <v>742.35</v>
      </c>
      <c r="H29" t="n">
        <v>758.35</v>
      </c>
      <c r="I29" t="n">
        <v>141486</v>
      </c>
      <c r="J29" t="n">
        <v>182140.2</v>
      </c>
      <c r="K29" t="inlineStr"/>
      <c r="L29" t="inlineStr">
        <is>
          <t>Bull</t>
        </is>
      </c>
      <c r="M29" t="n">
        <v>14</v>
      </c>
      <c r="N29" s="21" t="n">
        <v>45635</v>
      </c>
    </row>
    <row r="30">
      <c r="A30" t="inlineStr">
        <is>
          <t>ASIANPAINT</t>
        </is>
      </c>
      <c r="B30" t="n">
        <v>-22.95685470692979</v>
      </c>
      <c r="C30" t="n">
        <v>0.7418332306066703</v>
      </c>
      <c r="D30" s="21" t="n">
        <v>45656</v>
      </c>
      <c r="E30" t="n">
        <v>2280.25</v>
      </c>
      <c r="F30" t="n">
        <v>2298.8</v>
      </c>
      <c r="G30" t="n">
        <v>2256.8</v>
      </c>
      <c r="H30" t="n">
        <v>2288.25</v>
      </c>
      <c r="I30" t="n">
        <v>1076978</v>
      </c>
      <c r="J30" t="n">
        <v>1397889.45</v>
      </c>
      <c r="K30" t="inlineStr"/>
      <c r="L30" t="inlineStr">
        <is>
          <t>Bear</t>
        </is>
      </c>
      <c r="M30" t="n">
        <v>51</v>
      </c>
      <c r="N30" s="21" t="n">
        <v>45580</v>
      </c>
    </row>
    <row r="31">
      <c r="A31" t="inlineStr">
        <is>
          <t>ASTRAMICRO</t>
        </is>
      </c>
      <c r="B31" t="n">
        <v>-49.60685654495376</v>
      </c>
      <c r="C31" t="n">
        <v>-2.788716028661792</v>
      </c>
      <c r="D31" s="21" t="n">
        <v>45656</v>
      </c>
      <c r="E31" t="n">
        <v>774.55</v>
      </c>
      <c r="F31" t="n">
        <v>776.3</v>
      </c>
      <c r="G31" t="n">
        <v>747.1</v>
      </c>
      <c r="H31" t="n">
        <v>752.95</v>
      </c>
      <c r="I31" t="n">
        <v>147375</v>
      </c>
      <c r="J31" t="n">
        <v>292450.5</v>
      </c>
      <c r="K31" t="inlineStr"/>
      <c r="L31" t="inlineStr">
        <is>
          <t>Bear</t>
        </is>
      </c>
      <c r="M31" t="n">
        <v>0</v>
      </c>
      <c r="N31" s="21" t="n">
        <v>45656</v>
      </c>
    </row>
    <row r="32">
      <c r="A32" t="inlineStr">
        <is>
          <t>ASTRAL</t>
        </is>
      </c>
      <c r="B32" t="n">
        <v>-0.6165040316433957</v>
      </c>
      <c r="C32" t="n">
        <v>0.3990085242730268</v>
      </c>
      <c r="D32" s="21" t="n">
        <v>45656</v>
      </c>
      <c r="E32" t="n">
        <v>1665</v>
      </c>
      <c r="F32" t="n">
        <v>1673.7</v>
      </c>
      <c r="G32" t="n">
        <v>1635</v>
      </c>
      <c r="H32" t="n">
        <v>1660.7</v>
      </c>
      <c r="I32" t="n">
        <v>367378</v>
      </c>
      <c r="J32" t="n">
        <v>369656.95</v>
      </c>
      <c r="K32" t="inlineStr"/>
      <c r="L32" t="inlineStr">
        <is>
          <t>Bear</t>
        </is>
      </c>
      <c r="M32" t="n">
        <v>101</v>
      </c>
      <c r="N32" s="21" t="n">
        <v>45506</v>
      </c>
    </row>
    <row r="33">
      <c r="A33" t="inlineStr">
        <is>
          <t>AUROPHARMA</t>
        </is>
      </c>
      <c r="B33" t="n">
        <v>148.9006368364512</v>
      </c>
      <c r="C33" t="n">
        <v>2.232371353202875</v>
      </c>
      <c r="D33" s="21" t="n">
        <v>45656</v>
      </c>
      <c r="E33" t="n">
        <v>1273</v>
      </c>
      <c r="F33" t="n">
        <v>1307.25</v>
      </c>
      <c r="G33" t="n">
        <v>1265.95</v>
      </c>
      <c r="H33" t="n">
        <v>1298.3</v>
      </c>
      <c r="I33" t="n">
        <v>2681958</v>
      </c>
      <c r="J33" t="n">
        <v>1077521.55</v>
      </c>
      <c r="K33" t="inlineStr"/>
      <c r="L33" t="inlineStr">
        <is>
          <t>Bear</t>
        </is>
      </c>
      <c r="M33" t="n">
        <v>44</v>
      </c>
      <c r="N33" s="21" t="n">
        <v>45589</v>
      </c>
    </row>
    <row r="34">
      <c r="A34" t="inlineStr">
        <is>
          <t>AIIL</t>
        </is>
      </c>
      <c r="B34" t="n">
        <v>-70.06510588338702</v>
      </c>
      <c r="C34" t="n">
        <v>-0.3395983371391874</v>
      </c>
      <c r="D34" s="21" t="n">
        <v>45656</v>
      </c>
      <c r="E34" t="n">
        <v>1717.95</v>
      </c>
      <c r="F34" t="n">
        <v>1739.95</v>
      </c>
      <c r="G34" t="n">
        <v>1681.55</v>
      </c>
      <c r="H34" t="n">
        <v>1702.1</v>
      </c>
      <c r="I34" t="n">
        <v>16688</v>
      </c>
      <c r="J34" t="n">
        <v>55747.65</v>
      </c>
      <c r="K34" t="inlineStr"/>
      <c r="L34" t="inlineStr">
        <is>
          <t>No Signal</t>
        </is>
      </c>
      <c r="M34" t="n">
        <v>0</v>
      </c>
      <c r="N34" s="21" t="n">
        <v>45656.8783796103</v>
      </c>
    </row>
    <row r="35">
      <c r="A35" t="inlineStr">
        <is>
          <t>AVTNPL</t>
        </is>
      </c>
      <c r="B35" t="n">
        <v>20.00407410289628</v>
      </c>
      <c r="C35" t="n">
        <v>-2.543472618738655</v>
      </c>
      <c r="D35" s="21" t="n">
        <v>45656</v>
      </c>
      <c r="E35" t="n">
        <v>77.06</v>
      </c>
      <c r="F35" t="n">
        <v>77.06</v>
      </c>
      <c r="G35" t="n">
        <v>74.55</v>
      </c>
      <c r="H35" t="n">
        <v>75.09999999999999</v>
      </c>
      <c r="I35" t="n">
        <v>104861</v>
      </c>
      <c r="J35" t="n">
        <v>87381.2</v>
      </c>
      <c r="K35" t="inlineStr"/>
      <c r="L35" t="inlineStr">
        <is>
          <t>Bear</t>
        </is>
      </c>
      <c r="M35" t="n">
        <v>58</v>
      </c>
      <c r="N35" s="21" t="n">
        <v>45569</v>
      </c>
    </row>
    <row r="36">
      <c r="A36" t="inlineStr">
        <is>
          <t>AXISBANK</t>
        </is>
      </c>
      <c r="B36" t="n">
        <v>25.07093014461149</v>
      </c>
      <c r="C36" t="n">
        <v>-0.6960879855213699</v>
      </c>
      <c r="D36" s="21" t="n">
        <v>45656</v>
      </c>
      <c r="E36" t="n">
        <v>1074.1</v>
      </c>
      <c r="F36" t="n">
        <v>1096.5</v>
      </c>
      <c r="G36" t="n">
        <v>1063.95</v>
      </c>
      <c r="H36" t="n">
        <v>1069.95</v>
      </c>
      <c r="I36" t="n">
        <v>9452155</v>
      </c>
      <c r="J36" t="n">
        <v>7557435.6</v>
      </c>
      <c r="K36" t="inlineStr"/>
      <c r="L36" t="inlineStr">
        <is>
          <t>Bear</t>
        </is>
      </c>
      <c r="M36" t="n">
        <v>54</v>
      </c>
      <c r="N36" s="21" t="n">
        <v>45575</v>
      </c>
    </row>
    <row r="37">
      <c r="A37" t="inlineStr">
        <is>
          <t>BAJAJ-AUTO</t>
        </is>
      </c>
      <c r="B37" t="n">
        <v>109.8563554283889</v>
      </c>
      <c r="C37" t="n">
        <v>-1.662130528768071</v>
      </c>
      <c r="D37" s="21" t="n">
        <v>45656</v>
      </c>
      <c r="E37" t="n">
        <v>8928</v>
      </c>
      <c r="F37" t="n">
        <v>8962.450000000001</v>
      </c>
      <c r="G37" t="n">
        <v>8737.549999999999</v>
      </c>
      <c r="H37" t="n">
        <v>8779.9</v>
      </c>
      <c r="I37" t="n">
        <v>1065253</v>
      </c>
      <c r="J37" t="n">
        <v>507610.55</v>
      </c>
      <c r="K37" t="inlineStr"/>
      <c r="L37" t="inlineStr">
        <is>
          <t>Bear</t>
        </is>
      </c>
      <c r="M37" t="n">
        <v>43</v>
      </c>
      <c r="N37" s="21" t="n">
        <v>45590</v>
      </c>
    </row>
    <row r="38">
      <c r="A38" t="inlineStr">
        <is>
          <t>BAJAJCON</t>
        </is>
      </c>
      <c r="B38" t="n">
        <v>-49.17669522121089</v>
      </c>
      <c r="C38" t="n">
        <v>-2.170781381948241</v>
      </c>
      <c r="D38" s="21" t="n">
        <v>45656</v>
      </c>
      <c r="E38" t="n">
        <v>202.06</v>
      </c>
      <c r="F38" t="n">
        <v>202.49</v>
      </c>
      <c r="G38" t="n">
        <v>196</v>
      </c>
      <c r="H38" t="n">
        <v>196.94</v>
      </c>
      <c r="I38" t="n">
        <v>286087</v>
      </c>
      <c r="J38" t="n">
        <v>562905.15</v>
      </c>
      <c r="K38" t="inlineStr"/>
      <c r="L38" t="inlineStr">
        <is>
          <t>Bear</t>
        </is>
      </c>
      <c r="M38" t="n">
        <v>69</v>
      </c>
      <c r="N38" s="21" t="n">
        <v>45553</v>
      </c>
    </row>
    <row r="39">
      <c r="A39" t="inlineStr">
        <is>
          <t>BAJFINANCE</t>
        </is>
      </c>
      <c r="B39" t="n">
        <v>-52.16682035292654</v>
      </c>
      <c r="C39" t="n">
        <v>-0.2822916289674641</v>
      </c>
      <c r="D39" s="21" t="n">
        <v>45656</v>
      </c>
      <c r="E39" t="n">
        <v>6900</v>
      </c>
      <c r="F39" t="n">
        <v>6995</v>
      </c>
      <c r="G39" t="n">
        <v>6865</v>
      </c>
      <c r="H39" t="n">
        <v>6888.25</v>
      </c>
      <c r="I39" t="n">
        <v>490876</v>
      </c>
      <c r="J39" t="n">
        <v>1026224.9</v>
      </c>
      <c r="K39" t="inlineStr"/>
      <c r="L39" t="inlineStr">
        <is>
          <t>Bull</t>
        </is>
      </c>
      <c r="M39" t="n">
        <v>8</v>
      </c>
      <c r="N39" s="21" t="n">
        <v>45643</v>
      </c>
    </row>
    <row r="40">
      <c r="A40" t="inlineStr">
        <is>
          <t>BAJAJFINSV</t>
        </is>
      </c>
      <c r="B40" t="n">
        <v>0.4014650153533332</v>
      </c>
      <c r="C40" t="n">
        <v>-0.1646298993224789</v>
      </c>
      <c r="D40" s="21" t="n">
        <v>45656</v>
      </c>
      <c r="E40" t="n">
        <v>1580</v>
      </c>
      <c r="F40" t="n">
        <v>1587.85</v>
      </c>
      <c r="G40" t="n">
        <v>1560.45</v>
      </c>
      <c r="H40" t="n">
        <v>1576.7</v>
      </c>
      <c r="I40" t="n">
        <v>1307371</v>
      </c>
      <c r="J40" t="n">
        <v>1302143.35</v>
      </c>
      <c r="K40" t="inlineStr"/>
      <c r="L40" t="inlineStr">
        <is>
          <t>Bear</t>
        </is>
      </c>
      <c r="M40" t="n">
        <v>40</v>
      </c>
      <c r="N40" s="21" t="n">
        <v>45595</v>
      </c>
    </row>
    <row r="41">
      <c r="A41" t="inlineStr">
        <is>
          <t>BAJAJHLDNG</t>
        </is>
      </c>
      <c r="B41" t="n">
        <v>655.5510518333148</v>
      </c>
      <c r="C41" t="n">
        <v>11.7680892672265</v>
      </c>
      <c r="D41" s="21" t="n">
        <v>45656</v>
      </c>
      <c r="E41" t="n">
        <v>11300</v>
      </c>
      <c r="F41" t="n">
        <v>13238</v>
      </c>
      <c r="G41" t="n">
        <v>11211.95</v>
      </c>
      <c r="H41" t="n">
        <v>12630.8</v>
      </c>
      <c r="I41" t="n">
        <v>685958</v>
      </c>
      <c r="J41" t="n">
        <v>90789.10000000001</v>
      </c>
      <c r="K41" t="inlineStr"/>
      <c r="L41" t="inlineStr">
        <is>
          <t>Bull</t>
        </is>
      </c>
      <c r="M41" t="n">
        <v>129</v>
      </c>
      <c r="N41" s="21" t="n">
        <v>45467</v>
      </c>
    </row>
    <row r="42">
      <c r="A42" t="inlineStr">
        <is>
          <t>BALAMINES</t>
        </is>
      </c>
      <c r="B42" t="n">
        <v>512.0331613802881</v>
      </c>
      <c r="C42" t="n">
        <v>-10.33445589860922</v>
      </c>
      <c r="D42" s="21" t="n">
        <v>45656</v>
      </c>
      <c r="E42" t="n">
        <v>1944.95</v>
      </c>
      <c r="F42" t="n">
        <v>1966.9</v>
      </c>
      <c r="G42" t="n">
        <v>1720.05</v>
      </c>
      <c r="H42" t="n">
        <v>1743.95</v>
      </c>
      <c r="I42" t="n">
        <v>264219</v>
      </c>
      <c r="J42" t="n">
        <v>43170.7</v>
      </c>
      <c r="K42" t="inlineStr"/>
      <c r="L42" t="inlineStr">
        <is>
          <t>Bear</t>
        </is>
      </c>
      <c r="M42" t="n">
        <v>55</v>
      </c>
      <c r="N42" s="21" t="n">
        <v>45574</v>
      </c>
    </row>
    <row r="43">
      <c r="A43" t="inlineStr">
        <is>
          <t>BALKRISIND</t>
        </is>
      </c>
      <c r="B43" t="n">
        <v>31.29434488962976</v>
      </c>
      <c r="C43" t="n">
        <v>-0.1222280426052034</v>
      </c>
      <c r="D43" s="21" t="n">
        <v>45656</v>
      </c>
      <c r="E43" t="n">
        <v>2869.95</v>
      </c>
      <c r="F43" t="n">
        <v>2891.5</v>
      </c>
      <c r="G43" t="n">
        <v>2835.1</v>
      </c>
      <c r="H43" t="n">
        <v>2860</v>
      </c>
      <c r="I43" t="n">
        <v>248102</v>
      </c>
      <c r="J43" t="n">
        <v>188966.25</v>
      </c>
      <c r="K43" t="inlineStr"/>
      <c r="L43" t="inlineStr">
        <is>
          <t>Bear</t>
        </is>
      </c>
      <c r="M43" t="n">
        <v>57</v>
      </c>
      <c r="N43" s="21" t="n">
        <v>45572</v>
      </c>
    </row>
    <row r="44">
      <c r="A44" t="inlineStr">
        <is>
          <t>BALRAMCHIN</t>
        </is>
      </c>
      <c r="B44" t="n">
        <v>-17.09038767157763</v>
      </c>
      <c r="C44" t="n">
        <v>-0.5575850797923433</v>
      </c>
      <c r="D44" s="21" t="n">
        <v>45656</v>
      </c>
      <c r="E44" t="n">
        <v>520.1</v>
      </c>
      <c r="F44" t="n">
        <v>529.75</v>
      </c>
      <c r="G44" t="n">
        <v>513.05</v>
      </c>
      <c r="H44" t="n">
        <v>517.2</v>
      </c>
      <c r="I44" t="n">
        <v>495641</v>
      </c>
      <c r="J44" t="n">
        <v>597808.85</v>
      </c>
      <c r="K44" t="inlineStr"/>
      <c r="L44" t="inlineStr">
        <is>
          <t>Bear</t>
        </is>
      </c>
      <c r="M44" t="n">
        <v>29</v>
      </c>
      <c r="N44" s="21" t="n">
        <v>45610</v>
      </c>
    </row>
    <row r="45">
      <c r="A45" t="inlineStr">
        <is>
          <t>BALUFORGE</t>
        </is>
      </c>
      <c r="B45" t="n">
        <v>-0.4962546635141279</v>
      </c>
      <c r="C45" t="n">
        <v>6.121624351808193</v>
      </c>
      <c r="D45" s="21" t="n">
        <v>45656</v>
      </c>
      <c r="E45" t="n">
        <v>742.45</v>
      </c>
      <c r="F45" t="n">
        <v>805</v>
      </c>
      <c r="G45" t="n">
        <v>738.1</v>
      </c>
      <c r="H45" t="n">
        <v>787.9</v>
      </c>
      <c r="I45" t="n">
        <v>667917</v>
      </c>
      <c r="J45" t="n">
        <v>671248.1</v>
      </c>
      <c r="K45" t="inlineStr"/>
      <c r="L45" t="inlineStr">
        <is>
          <t>No Signal</t>
        </is>
      </c>
      <c r="M45" t="n">
        <v>0</v>
      </c>
      <c r="N45" s="21" t="n">
        <v>45656.87849736591</v>
      </c>
    </row>
    <row r="46">
      <c r="A46" t="inlineStr">
        <is>
          <t>BANKBARODA</t>
        </is>
      </c>
      <c r="B46" t="n">
        <v>126.1352932444717</v>
      </c>
      <c r="C46" t="n">
        <v>-1.628637903587905</v>
      </c>
      <c r="D46" s="21" t="n">
        <v>45656</v>
      </c>
      <c r="E46" t="n">
        <v>244</v>
      </c>
      <c r="F46" t="n">
        <v>247.3</v>
      </c>
      <c r="G46" t="n">
        <v>239.72</v>
      </c>
      <c r="H46" t="n">
        <v>241</v>
      </c>
      <c r="I46" t="n">
        <v>24354060</v>
      </c>
      <c r="J46" t="n">
        <v>10769685.55</v>
      </c>
      <c r="K46" t="inlineStr"/>
      <c r="L46" t="inlineStr">
        <is>
          <t>Bear</t>
        </is>
      </c>
      <c r="M46" t="n">
        <v>0</v>
      </c>
      <c r="N46" s="21" t="n">
        <v>45656</v>
      </c>
    </row>
    <row r="47">
      <c r="A47" t="inlineStr">
        <is>
          <t>MAHABANK</t>
        </is>
      </c>
      <c r="B47" t="n">
        <v>-37.1126655751066</v>
      </c>
      <c r="C47" t="n">
        <v>-3.07283763277693</v>
      </c>
      <c r="D47" s="21" t="n">
        <v>45656</v>
      </c>
      <c r="E47" t="n">
        <v>52.65</v>
      </c>
      <c r="F47" t="n">
        <v>52.95</v>
      </c>
      <c r="G47" t="n">
        <v>50.72</v>
      </c>
      <c r="H47" t="n">
        <v>51.1</v>
      </c>
      <c r="I47" t="n">
        <v>10251963</v>
      </c>
      <c r="J47" t="n">
        <v>16302110.9</v>
      </c>
      <c r="K47" t="inlineStr"/>
      <c r="L47" t="inlineStr">
        <is>
          <t>Bear</t>
        </is>
      </c>
      <c r="M47" t="n">
        <v>4</v>
      </c>
      <c r="N47" s="21" t="n">
        <v>45649</v>
      </c>
    </row>
    <row r="48">
      <c r="A48" t="inlineStr">
        <is>
          <t>BATAINDIA</t>
        </is>
      </c>
      <c r="B48" t="n">
        <v>36.53278482882069</v>
      </c>
      <c r="C48" t="n">
        <v>0.5502063273727746</v>
      </c>
      <c r="D48" s="21" t="n">
        <v>45656</v>
      </c>
      <c r="E48" t="n">
        <v>1381.3</v>
      </c>
      <c r="F48" t="n">
        <v>1400</v>
      </c>
      <c r="G48" t="n">
        <v>1353.8</v>
      </c>
      <c r="H48" t="n">
        <v>1388.9</v>
      </c>
      <c r="I48" t="n">
        <v>383666</v>
      </c>
      <c r="J48" t="n">
        <v>281006.5</v>
      </c>
      <c r="K48" t="inlineStr"/>
      <c r="L48" t="inlineStr">
        <is>
          <t>Bear</t>
        </is>
      </c>
      <c r="M48" t="n">
        <v>2</v>
      </c>
      <c r="N48" s="21" t="n">
        <v>45652</v>
      </c>
    </row>
    <row r="49">
      <c r="A49" t="inlineStr">
        <is>
          <t>BAYERCROP</t>
        </is>
      </c>
      <c r="B49" t="n">
        <v>148.5969627408854</v>
      </c>
      <c r="C49" t="n">
        <v>-5.559530685609356</v>
      </c>
      <c r="D49" s="21" t="n">
        <v>45656</v>
      </c>
      <c r="E49" t="n">
        <v>5800</v>
      </c>
      <c r="F49" t="n">
        <v>5829</v>
      </c>
      <c r="G49" t="n">
        <v>5459</v>
      </c>
      <c r="H49" t="n">
        <v>5477.5</v>
      </c>
      <c r="I49" t="n">
        <v>60863</v>
      </c>
      <c r="J49" t="n">
        <v>24482.6</v>
      </c>
      <c r="K49" t="inlineStr"/>
      <c r="L49" t="inlineStr">
        <is>
          <t>Bear</t>
        </is>
      </c>
      <c r="M49" t="n">
        <v>29</v>
      </c>
      <c r="N49" s="21" t="n">
        <v>45610</v>
      </c>
    </row>
    <row r="50">
      <c r="A50" t="inlineStr">
        <is>
          <t>BERGEPAINT</t>
        </is>
      </c>
      <c r="B50" t="n">
        <v>9.214805783385685</v>
      </c>
      <c r="C50" t="n">
        <v>1.345240786796289</v>
      </c>
      <c r="D50" s="21" t="n">
        <v>45656</v>
      </c>
      <c r="E50" t="n">
        <v>443.15</v>
      </c>
      <c r="F50" t="n">
        <v>450.55</v>
      </c>
      <c r="G50" t="n">
        <v>437.75</v>
      </c>
      <c r="H50" t="n">
        <v>448.25</v>
      </c>
      <c r="I50" t="n">
        <v>1481944</v>
      </c>
      <c r="J50" t="n">
        <v>1356907.6</v>
      </c>
      <c r="K50" t="inlineStr"/>
      <c r="L50" t="inlineStr">
        <is>
          <t>Bear</t>
        </is>
      </c>
      <c r="M50" t="n">
        <v>46</v>
      </c>
      <c r="N50" s="21" t="n">
        <v>45587</v>
      </c>
    </row>
    <row r="51">
      <c r="A51" t="inlineStr">
        <is>
          <t>BEPL</t>
        </is>
      </c>
      <c r="B51" t="n">
        <v>-63.25822811783836</v>
      </c>
      <c r="C51" t="n">
        <v>-3.070527313835612</v>
      </c>
      <c r="D51" s="21" t="n">
        <v>45656</v>
      </c>
      <c r="E51" t="n">
        <v>136.99</v>
      </c>
      <c r="F51" t="n">
        <v>136.99</v>
      </c>
      <c r="G51" t="n">
        <v>132.36</v>
      </c>
      <c r="H51" t="n">
        <v>132.9</v>
      </c>
      <c r="I51" t="n">
        <v>392777</v>
      </c>
      <c r="J51" t="n">
        <v>1069020.3</v>
      </c>
      <c r="K51" t="inlineStr"/>
      <c r="L51" t="inlineStr">
        <is>
          <t>Bull</t>
        </is>
      </c>
      <c r="M51" t="n">
        <v>9</v>
      </c>
      <c r="N51" s="21" t="n">
        <v>45642</v>
      </c>
    </row>
    <row r="52">
      <c r="A52" t="inlineStr">
        <is>
          <t>BHARATFORG</t>
        </is>
      </c>
      <c r="B52" t="n">
        <v>220.6021375935944</v>
      </c>
      <c r="C52" t="n">
        <v>-0.9506787846522418</v>
      </c>
      <c r="D52" s="21" t="n">
        <v>45656</v>
      </c>
      <c r="E52" t="n">
        <v>1308.7</v>
      </c>
      <c r="F52" t="n">
        <v>1315.15</v>
      </c>
      <c r="G52" t="n">
        <v>1281.25</v>
      </c>
      <c r="H52" t="n">
        <v>1302.35</v>
      </c>
      <c r="I52" t="n">
        <v>3744544</v>
      </c>
      <c r="J52" t="n">
        <v>1167972.25</v>
      </c>
      <c r="K52" t="inlineStr"/>
      <c r="L52" t="inlineStr">
        <is>
          <t>Bear</t>
        </is>
      </c>
      <c r="M52" t="n">
        <v>81</v>
      </c>
      <c r="N52" s="21" t="n">
        <v>45537</v>
      </c>
    </row>
    <row r="53">
      <c r="A53" t="inlineStr">
        <is>
          <t>BHARATRAS</t>
        </is>
      </c>
      <c r="B53" t="n">
        <v>22.11883476251293</v>
      </c>
      <c r="C53" t="n">
        <v>-2.331381956365436</v>
      </c>
      <c r="D53" s="21" t="n">
        <v>45656</v>
      </c>
      <c r="E53" t="n">
        <v>10111</v>
      </c>
      <c r="F53" t="n">
        <v>10349.55</v>
      </c>
      <c r="G53" t="n">
        <v>9951.35</v>
      </c>
      <c r="H53" t="n">
        <v>9985.200000000001</v>
      </c>
      <c r="I53" t="n">
        <v>4016</v>
      </c>
      <c r="J53" t="n">
        <v>3288.6</v>
      </c>
      <c r="K53" t="inlineStr"/>
      <c r="L53" t="inlineStr">
        <is>
          <t>Bear</t>
        </is>
      </c>
      <c r="M53" t="n">
        <v>12</v>
      </c>
      <c r="N53" s="21" t="n">
        <v>45637</v>
      </c>
    </row>
    <row r="54">
      <c r="A54" t="inlineStr">
        <is>
          <t>BHARATWIRE</t>
        </is>
      </c>
      <c r="B54" t="n">
        <v>-36.79353682404944</v>
      </c>
      <c r="C54" t="n">
        <v>-0.7157700300161678</v>
      </c>
      <c r="D54" s="21" t="n">
        <v>45656</v>
      </c>
      <c r="E54" t="n">
        <v>218.9</v>
      </c>
      <c r="F54" t="n">
        <v>218.9</v>
      </c>
      <c r="G54" t="n">
        <v>213</v>
      </c>
      <c r="H54" t="n">
        <v>215</v>
      </c>
      <c r="I54" t="n">
        <v>45987</v>
      </c>
      <c r="J54" t="n">
        <v>72756.8</v>
      </c>
      <c r="K54" t="inlineStr"/>
      <c r="L54" t="inlineStr">
        <is>
          <t>Bear</t>
        </is>
      </c>
      <c r="M54" t="n">
        <v>57</v>
      </c>
      <c r="N54" s="21" t="n">
        <v>45572</v>
      </c>
    </row>
    <row r="55">
      <c r="A55" t="inlineStr">
        <is>
          <t>BHARTIARTL</t>
        </is>
      </c>
      <c r="B55" t="n">
        <v>-33.53029187711765</v>
      </c>
      <c r="C55" t="n">
        <v>-0.809450886020553</v>
      </c>
      <c r="D55" s="21" t="n">
        <v>45656</v>
      </c>
      <c r="E55" t="n">
        <v>1605</v>
      </c>
      <c r="F55" t="n">
        <v>1613.05</v>
      </c>
      <c r="G55" t="n">
        <v>1581.1</v>
      </c>
      <c r="H55" t="n">
        <v>1586.9</v>
      </c>
      <c r="I55" t="n">
        <v>4438130</v>
      </c>
      <c r="J55" t="n">
        <v>6676921.15</v>
      </c>
      <c r="K55" t="inlineStr"/>
      <c r="L55" t="inlineStr">
        <is>
          <t>Bear</t>
        </is>
      </c>
      <c r="M55" t="n">
        <v>3</v>
      </c>
      <c r="N55" s="21" t="n">
        <v>45650</v>
      </c>
    </row>
    <row r="56">
      <c r="A56" t="inlineStr">
        <is>
          <t>BLS</t>
        </is>
      </c>
      <c r="B56" t="n">
        <v>-72.45034543608746</v>
      </c>
      <c r="C56" t="n">
        <v>-2.065512205299402</v>
      </c>
      <c r="D56" s="21" t="n">
        <v>45656</v>
      </c>
      <c r="E56" t="n">
        <v>479.95</v>
      </c>
      <c r="F56" t="n">
        <v>483.5</v>
      </c>
      <c r="G56" t="n">
        <v>466</v>
      </c>
      <c r="H56" t="n">
        <v>469.4</v>
      </c>
      <c r="I56" t="n">
        <v>1151021</v>
      </c>
      <c r="J56" t="n">
        <v>4177987.05</v>
      </c>
      <c r="K56" t="inlineStr"/>
      <c r="L56" t="inlineStr">
        <is>
          <t>Bull</t>
        </is>
      </c>
      <c r="M56" t="n">
        <v>36</v>
      </c>
      <c r="N56" s="21" t="n">
        <v>45601</v>
      </c>
    </row>
    <row r="57">
      <c r="A57" t="inlineStr">
        <is>
          <t>BLUEDART</t>
        </is>
      </c>
      <c r="B57" t="n">
        <v>148.0074763718437</v>
      </c>
      <c r="C57" t="n">
        <v>-5.382442308102836</v>
      </c>
      <c r="D57" s="21" t="n">
        <v>45656</v>
      </c>
      <c r="E57" t="n">
        <v>6910.15</v>
      </c>
      <c r="F57" t="n">
        <v>6956</v>
      </c>
      <c r="G57" t="n">
        <v>6602.65</v>
      </c>
      <c r="H57" t="n">
        <v>6648.35</v>
      </c>
      <c r="I57" t="n">
        <v>56260</v>
      </c>
      <c r="J57" t="n">
        <v>22684.8</v>
      </c>
      <c r="K57" t="inlineStr"/>
      <c r="L57" t="inlineStr">
        <is>
          <t>Bear</t>
        </is>
      </c>
      <c r="M57" t="n">
        <v>43</v>
      </c>
      <c r="N57" s="21" t="n">
        <v>45590</v>
      </c>
    </row>
    <row r="58">
      <c r="A58" t="inlineStr">
        <is>
          <t>BLUESTARCO</t>
        </is>
      </c>
      <c r="B58" t="n">
        <v>186.8768092764678</v>
      </c>
      <c r="C58" t="n">
        <v>2.769000699486244</v>
      </c>
      <c r="D58" s="21" t="n">
        <v>45656</v>
      </c>
      <c r="E58" t="n">
        <v>2084.55</v>
      </c>
      <c r="F58" t="n">
        <v>2197.3</v>
      </c>
      <c r="G58" t="n">
        <v>2071.9</v>
      </c>
      <c r="H58" t="n">
        <v>2130.35</v>
      </c>
      <c r="I58" t="n">
        <v>1061502</v>
      </c>
      <c r="J58" t="n">
        <v>370020.15</v>
      </c>
      <c r="K58" t="inlineStr"/>
      <c r="L58" t="inlineStr">
        <is>
          <t>Bull</t>
        </is>
      </c>
      <c r="M58" t="n">
        <v>15</v>
      </c>
      <c r="N58" s="21" t="n">
        <v>45632</v>
      </c>
    </row>
    <row r="59">
      <c r="A59" t="inlineStr">
        <is>
          <t>BBTC</t>
        </is>
      </c>
      <c r="B59" t="n">
        <v>46.56725428550875</v>
      </c>
      <c r="C59" t="n">
        <v>0.3511583512054779</v>
      </c>
      <c r="D59" s="21" t="n">
        <v>45656</v>
      </c>
      <c r="E59" t="n">
        <v>2106</v>
      </c>
      <c r="F59" t="n">
        <v>2325.8</v>
      </c>
      <c r="G59" t="n">
        <v>2043.75</v>
      </c>
      <c r="H59" t="n">
        <v>2129</v>
      </c>
      <c r="I59" t="n">
        <v>98810</v>
      </c>
      <c r="J59" t="n">
        <v>67416.14999999999</v>
      </c>
      <c r="K59" t="inlineStr"/>
      <c r="L59" t="inlineStr">
        <is>
          <t>Bear</t>
        </is>
      </c>
      <c r="M59" t="n">
        <v>24</v>
      </c>
      <c r="N59" s="21" t="n">
        <v>45621</v>
      </c>
    </row>
    <row r="60">
      <c r="A60" t="inlineStr">
        <is>
          <t>BOROLTD</t>
        </is>
      </c>
      <c r="B60" t="n">
        <v>-32.70352209422664</v>
      </c>
      <c r="C60" t="n">
        <v>-0.8560794044664983</v>
      </c>
      <c r="D60" s="21" t="n">
        <v>45656</v>
      </c>
      <c r="E60" t="n">
        <v>403.9</v>
      </c>
      <c r="F60" t="n">
        <v>409.45</v>
      </c>
      <c r="G60" t="n">
        <v>393.55</v>
      </c>
      <c r="H60" t="n">
        <v>399.55</v>
      </c>
      <c r="I60" t="n">
        <v>129077</v>
      </c>
      <c r="J60" t="n">
        <v>191803.5</v>
      </c>
      <c r="K60" t="inlineStr"/>
      <c r="L60" t="inlineStr">
        <is>
          <t>Bear</t>
        </is>
      </c>
      <c r="M60" t="n">
        <v>4</v>
      </c>
      <c r="N60" s="21" t="n">
        <v>45649</v>
      </c>
    </row>
    <row r="61">
      <c r="A61" t="inlineStr">
        <is>
          <t>BRITANNIA</t>
        </is>
      </c>
      <c r="B61" t="n">
        <v>-13.32252272104868</v>
      </c>
      <c r="C61" t="n">
        <v>0.6321682427190497</v>
      </c>
      <c r="D61" s="21" t="n">
        <v>45656</v>
      </c>
      <c r="E61" t="n">
        <v>4759.7</v>
      </c>
      <c r="F61" t="n">
        <v>4818</v>
      </c>
      <c r="G61" t="n">
        <v>4738</v>
      </c>
      <c r="H61" t="n">
        <v>4799.45</v>
      </c>
      <c r="I61" t="n">
        <v>271403</v>
      </c>
      <c r="J61" t="n">
        <v>313118.25</v>
      </c>
      <c r="K61" t="inlineStr"/>
      <c r="L61" t="inlineStr">
        <is>
          <t>Bear</t>
        </is>
      </c>
      <c r="M61" t="n">
        <v>44</v>
      </c>
      <c r="N61" s="21" t="n">
        <v>45589</v>
      </c>
    </row>
    <row r="62">
      <c r="A62" t="inlineStr">
        <is>
          <t>CAMS</t>
        </is>
      </c>
      <c r="B62" t="n">
        <v>1.624999294623529</v>
      </c>
      <c r="C62" t="n">
        <v>0.6039569593890973</v>
      </c>
      <c r="D62" s="21" t="n">
        <v>45656</v>
      </c>
      <c r="E62" t="n">
        <v>5016.15</v>
      </c>
      <c r="F62" t="n">
        <v>5111</v>
      </c>
      <c r="G62" t="n">
        <v>4976</v>
      </c>
      <c r="H62" t="n">
        <v>5072.2</v>
      </c>
      <c r="I62" t="n">
        <v>432216</v>
      </c>
      <c r="J62" t="n">
        <v>425304.8</v>
      </c>
      <c r="K62" t="inlineStr"/>
      <c r="L62" t="inlineStr">
        <is>
          <t>Bull</t>
        </is>
      </c>
      <c r="M62" t="n">
        <v>222</v>
      </c>
      <c r="N62" s="21" t="n">
        <v>45328</v>
      </c>
    </row>
    <row r="63">
      <c r="A63" t="inlineStr">
        <is>
          <t>CAPLIPOINT</t>
        </is>
      </c>
      <c r="B63" t="n">
        <v>79.53700908066283</v>
      </c>
      <c r="C63" t="n">
        <v>-3.044055150664388</v>
      </c>
      <c r="D63" s="21" t="n">
        <v>45656</v>
      </c>
      <c r="E63" t="n">
        <v>2600.15</v>
      </c>
      <c r="F63" t="n">
        <v>2608.95</v>
      </c>
      <c r="G63" t="n">
        <v>2452</v>
      </c>
      <c r="H63" t="n">
        <v>2521</v>
      </c>
      <c r="I63" t="n">
        <v>484329</v>
      </c>
      <c r="J63" t="n">
        <v>269765.55</v>
      </c>
      <c r="K63" t="inlineStr"/>
      <c r="L63" t="inlineStr">
        <is>
          <t>Bull</t>
        </is>
      </c>
      <c r="M63" t="n">
        <v>137</v>
      </c>
      <c r="N63" s="21" t="n">
        <v>45454</v>
      </c>
    </row>
    <row r="64">
      <c r="A64" t="inlineStr">
        <is>
          <t>CARBORUNIV</t>
        </is>
      </c>
      <c r="B64" t="n">
        <v>-63.33697635841137</v>
      </c>
      <c r="C64" t="n">
        <v>-2.056154834689831</v>
      </c>
      <c r="D64" s="21" t="n">
        <v>45656</v>
      </c>
      <c r="E64" t="n">
        <v>1288</v>
      </c>
      <c r="F64" t="n">
        <v>1288</v>
      </c>
      <c r="G64" t="n">
        <v>1251.55</v>
      </c>
      <c r="H64" t="n">
        <v>1257.55</v>
      </c>
      <c r="I64" t="n">
        <v>56492</v>
      </c>
      <c r="J64" t="n">
        <v>154084.4</v>
      </c>
      <c r="K64" t="inlineStr"/>
      <c r="L64" t="inlineStr">
        <is>
          <t>Bear</t>
        </is>
      </c>
      <c r="M64" t="n">
        <v>95</v>
      </c>
      <c r="N64" s="21" t="n">
        <v>45516</v>
      </c>
    </row>
    <row r="65">
      <c r="A65" t="inlineStr">
        <is>
          <t>CARERATING</t>
        </is>
      </c>
      <c r="B65" t="n">
        <v>-38.84553735110906</v>
      </c>
      <c r="C65" t="n">
        <v>-0.1695234507440196</v>
      </c>
      <c r="D65" s="21" t="n">
        <v>45656</v>
      </c>
      <c r="E65" t="n">
        <v>1329</v>
      </c>
      <c r="F65" t="n">
        <v>1345.45</v>
      </c>
      <c r="G65" t="n">
        <v>1299.5</v>
      </c>
      <c r="H65" t="n">
        <v>1325</v>
      </c>
      <c r="I65" t="n">
        <v>38229</v>
      </c>
      <c r="J65" t="n">
        <v>62512.2</v>
      </c>
      <c r="K65" t="inlineStr"/>
      <c r="L65" t="inlineStr">
        <is>
          <t>Bull</t>
        </is>
      </c>
      <c r="M65" t="n">
        <v>59</v>
      </c>
      <c r="N65" s="21" t="n">
        <v>45568</v>
      </c>
    </row>
    <row r="66">
      <c r="A66" t="inlineStr">
        <is>
          <t>CARYSIL</t>
        </is>
      </c>
      <c r="B66" t="n">
        <v>-26.12521838053061</v>
      </c>
      <c r="C66" t="n">
        <v>-1.779638838000526</v>
      </c>
      <c r="D66" s="21" t="n">
        <v>45656</v>
      </c>
      <c r="E66" t="n">
        <v>767.85</v>
      </c>
      <c r="F66" t="n">
        <v>771.45</v>
      </c>
      <c r="G66" t="n">
        <v>745.1</v>
      </c>
      <c r="H66" t="n">
        <v>750.6</v>
      </c>
      <c r="I66" t="n">
        <v>45457</v>
      </c>
      <c r="J66" t="n">
        <v>61532.5</v>
      </c>
      <c r="K66" t="inlineStr"/>
      <c r="L66" t="inlineStr">
        <is>
          <t>Bear</t>
        </is>
      </c>
      <c r="M66" t="n">
        <v>63</v>
      </c>
      <c r="N66" s="21" t="n">
        <v>45561</v>
      </c>
    </row>
    <row r="67">
      <c r="A67" t="inlineStr">
        <is>
          <t>CCL</t>
        </is>
      </c>
      <c r="B67" t="n">
        <v>-25.69724553917789</v>
      </c>
      <c r="C67" t="n">
        <v>0.4228618196698981</v>
      </c>
      <c r="D67" s="21" t="n">
        <v>45656</v>
      </c>
      <c r="E67" t="n">
        <v>726.6</v>
      </c>
      <c r="F67" t="n">
        <v>747.25</v>
      </c>
      <c r="G67" t="n">
        <v>726.6</v>
      </c>
      <c r="H67" t="n">
        <v>736.2</v>
      </c>
      <c r="I67" t="n">
        <v>126129</v>
      </c>
      <c r="J67" t="n">
        <v>169750.1</v>
      </c>
      <c r="K67" t="inlineStr"/>
      <c r="L67" t="inlineStr">
        <is>
          <t>Bull</t>
        </is>
      </c>
      <c r="M67" t="n">
        <v>30</v>
      </c>
      <c r="N67" s="21" t="n">
        <v>45609</v>
      </c>
    </row>
    <row r="68">
      <c r="A68" t="inlineStr">
        <is>
          <t>CEATLTD</t>
        </is>
      </c>
      <c r="B68" t="n">
        <v>-79.5333398390017</v>
      </c>
      <c r="C68" t="n">
        <v>-0.5609429989703238</v>
      </c>
      <c r="D68" s="21" t="n">
        <v>45656</v>
      </c>
      <c r="E68" t="n">
        <v>3253.45</v>
      </c>
      <c r="F68" t="n">
        <v>3271.7</v>
      </c>
      <c r="G68" t="n">
        <v>3208</v>
      </c>
      <c r="H68" t="n">
        <v>3235.2</v>
      </c>
      <c r="I68" t="n">
        <v>126573</v>
      </c>
      <c r="J68" t="n">
        <v>618435.05</v>
      </c>
      <c r="K68" t="inlineStr"/>
      <c r="L68" t="inlineStr">
        <is>
          <t>Bull</t>
        </is>
      </c>
      <c r="M68" t="n">
        <v>20</v>
      </c>
      <c r="N68" s="21" t="n">
        <v>45625</v>
      </c>
    </row>
    <row r="69">
      <c r="A69" t="inlineStr">
        <is>
          <t>CENTURYPLY</t>
        </is>
      </c>
      <c r="B69" t="n">
        <v>196.2291338420226</v>
      </c>
      <c r="C69" t="n">
        <v>-5.01361312172123</v>
      </c>
      <c r="D69" s="21" t="n">
        <v>45656</v>
      </c>
      <c r="E69" t="n">
        <v>754</v>
      </c>
      <c r="F69" t="n">
        <v>754.6</v>
      </c>
      <c r="G69" t="n">
        <v>700.1</v>
      </c>
      <c r="H69" t="n">
        <v>715.2</v>
      </c>
      <c r="I69" t="n">
        <v>545612</v>
      </c>
      <c r="J69" t="n">
        <v>184185.8</v>
      </c>
      <c r="K69" t="inlineStr"/>
      <c r="L69" t="inlineStr">
        <is>
          <t>Bear</t>
        </is>
      </c>
      <c r="M69" t="n">
        <v>30</v>
      </c>
      <c r="N69" s="21" t="n">
        <v>45609</v>
      </c>
    </row>
    <row r="70">
      <c r="A70" t="inlineStr">
        <is>
          <t>CERA</t>
        </is>
      </c>
      <c r="B70" t="n">
        <v>501.2860979557894</v>
      </c>
      <c r="C70" t="n">
        <v>6.843001633589376</v>
      </c>
      <c r="D70" s="21" t="n">
        <v>45656</v>
      </c>
      <c r="E70" t="n">
        <v>7200</v>
      </c>
      <c r="F70" t="n">
        <v>7739.5</v>
      </c>
      <c r="G70" t="n">
        <v>7140</v>
      </c>
      <c r="H70" t="n">
        <v>7684.95</v>
      </c>
      <c r="I70" t="n">
        <v>114965</v>
      </c>
      <c r="J70" t="n">
        <v>19119.85</v>
      </c>
      <c r="K70" t="inlineStr"/>
      <c r="L70" t="inlineStr">
        <is>
          <t>Bear</t>
        </is>
      </c>
      <c r="M70" t="n">
        <v>72</v>
      </c>
      <c r="N70" s="21" t="n">
        <v>45548</v>
      </c>
    </row>
    <row r="71">
      <c r="A71" t="inlineStr">
        <is>
          <t>CHAMBLFERT</t>
        </is>
      </c>
      <c r="B71" t="n">
        <v>-67.04954179822427</v>
      </c>
      <c r="C71" t="n">
        <v>-1.851481184947958</v>
      </c>
      <c r="D71" s="21" t="n">
        <v>45656</v>
      </c>
      <c r="E71" t="n">
        <v>499.6</v>
      </c>
      <c r="F71" t="n">
        <v>500</v>
      </c>
      <c r="G71" t="n">
        <v>489.55</v>
      </c>
      <c r="H71" t="n">
        <v>490.35</v>
      </c>
      <c r="I71" t="n">
        <v>521028</v>
      </c>
      <c r="J71" t="n">
        <v>1581246.6</v>
      </c>
      <c r="K71" t="inlineStr"/>
      <c r="L71" t="inlineStr">
        <is>
          <t>Bull</t>
        </is>
      </c>
      <c r="M71" t="n">
        <v>18</v>
      </c>
      <c r="N71" s="21" t="n">
        <v>45629</v>
      </c>
    </row>
    <row r="72">
      <c r="A72" t="inlineStr">
        <is>
          <t>CHOLAHLDNG</t>
        </is>
      </c>
      <c r="B72" t="n">
        <v>-14.33563553445985</v>
      </c>
      <c r="C72" t="n">
        <v>1.938822528621551</v>
      </c>
      <c r="D72" s="21" t="n">
        <v>45656</v>
      </c>
      <c r="E72" t="n">
        <v>1421</v>
      </c>
      <c r="F72" t="n">
        <v>1447.5</v>
      </c>
      <c r="G72" t="n">
        <v>1390</v>
      </c>
      <c r="H72" t="n">
        <v>1438</v>
      </c>
      <c r="I72" t="n">
        <v>220995</v>
      </c>
      <c r="J72" t="n">
        <v>257977.75</v>
      </c>
      <c r="K72" t="inlineStr"/>
      <c r="L72" t="inlineStr">
        <is>
          <t>Bear</t>
        </is>
      </c>
      <c r="M72" t="n">
        <v>35</v>
      </c>
      <c r="N72" s="21" t="n">
        <v>45602</v>
      </c>
    </row>
    <row r="73">
      <c r="A73" t="inlineStr">
        <is>
          <t>CHOLAFIN</t>
        </is>
      </c>
      <c r="B73" t="n">
        <v>91.48060091431201</v>
      </c>
      <c r="C73" t="n">
        <v>1.553796540603944</v>
      </c>
      <c r="D73" s="21" t="n">
        <v>45656</v>
      </c>
      <c r="E73" t="n">
        <v>1217</v>
      </c>
      <c r="F73" t="n">
        <v>1232.5</v>
      </c>
      <c r="G73" t="n">
        <v>1203.4</v>
      </c>
      <c r="H73" t="n">
        <v>1212.4</v>
      </c>
      <c r="I73" t="n">
        <v>4066946</v>
      </c>
      <c r="J73" t="n">
        <v>2123946.75</v>
      </c>
      <c r="K73" t="inlineStr"/>
      <c r="L73" t="inlineStr">
        <is>
          <t>Bear</t>
        </is>
      </c>
      <c r="M73" t="n">
        <v>45</v>
      </c>
      <c r="N73" s="21" t="n">
        <v>45588</v>
      </c>
    </row>
    <row r="74">
      <c r="A74" t="inlineStr">
        <is>
          <t>CIEINDIA</t>
        </is>
      </c>
      <c r="B74" t="n">
        <v>-20.40869187808249</v>
      </c>
      <c r="C74" t="n">
        <v>-2.55323657167073</v>
      </c>
      <c r="D74" s="21" t="n">
        <v>45656</v>
      </c>
      <c r="E74" t="n">
        <v>474</v>
      </c>
      <c r="F74" t="n">
        <v>474</v>
      </c>
      <c r="G74" t="n">
        <v>455.15</v>
      </c>
      <c r="H74" t="n">
        <v>459.9</v>
      </c>
      <c r="I74" t="n">
        <v>240138</v>
      </c>
      <c r="J74" t="n">
        <v>301713.85</v>
      </c>
      <c r="K74" t="inlineStr"/>
      <c r="L74" t="inlineStr">
        <is>
          <t>Bear</t>
        </is>
      </c>
      <c r="M74" t="n">
        <v>61</v>
      </c>
      <c r="N74" s="21" t="n">
        <v>45565</v>
      </c>
    </row>
    <row r="75">
      <c r="A75" t="inlineStr">
        <is>
          <t>CIPLA</t>
        </is>
      </c>
      <c r="B75" t="n">
        <v>-39.51884579075687</v>
      </c>
      <c r="C75" t="n">
        <v>0.9823443515199908</v>
      </c>
      <c r="D75" s="21" t="n">
        <v>45656</v>
      </c>
      <c r="E75" t="n">
        <v>1509</v>
      </c>
      <c r="F75" t="n">
        <v>1526.7</v>
      </c>
      <c r="G75" t="n">
        <v>1495.1</v>
      </c>
      <c r="H75" t="n">
        <v>1521.4</v>
      </c>
      <c r="I75" t="n">
        <v>1501086</v>
      </c>
      <c r="J75" t="n">
        <v>2481907</v>
      </c>
      <c r="K75" t="inlineStr"/>
      <c r="L75" t="inlineStr">
        <is>
          <t>Bear</t>
        </is>
      </c>
      <c r="M75" t="n">
        <v>47</v>
      </c>
      <c r="N75" s="21" t="n">
        <v>45586</v>
      </c>
    </row>
    <row r="76">
      <c r="A76" t="inlineStr">
        <is>
          <t>CMSINFO</t>
        </is>
      </c>
      <c r="B76" t="n">
        <v>-30.54625034884737</v>
      </c>
      <c r="C76" t="n">
        <v>-2.31898734177215</v>
      </c>
      <c r="D76" s="21" t="n">
        <v>45656</v>
      </c>
      <c r="E76" t="n">
        <v>493.7</v>
      </c>
      <c r="F76" t="n">
        <v>497</v>
      </c>
      <c r="G76" t="n">
        <v>480.9</v>
      </c>
      <c r="H76" t="n">
        <v>482.3</v>
      </c>
      <c r="I76" t="n">
        <v>295656</v>
      </c>
      <c r="J76" t="n">
        <v>425687.6</v>
      </c>
      <c r="K76" t="inlineStr"/>
      <c r="L76" t="inlineStr">
        <is>
          <t>Bear</t>
        </is>
      </c>
      <c r="M76" t="n">
        <v>40</v>
      </c>
      <c r="N76" s="21" t="n">
        <v>45595</v>
      </c>
    </row>
    <row r="77">
      <c r="A77" t="inlineStr">
        <is>
          <t>COALINDIA</t>
        </is>
      </c>
      <c r="B77" t="n">
        <v>207.965829265438</v>
      </c>
      <c r="C77" t="n">
        <v>-0.683311432325893</v>
      </c>
      <c r="D77" s="21" t="n">
        <v>45656</v>
      </c>
      <c r="E77" t="n">
        <v>380.5</v>
      </c>
      <c r="F77" t="n">
        <v>382.3</v>
      </c>
      <c r="G77" t="n">
        <v>375.7</v>
      </c>
      <c r="H77" t="n">
        <v>377.9</v>
      </c>
      <c r="I77" t="n">
        <v>22328728</v>
      </c>
      <c r="J77" t="n">
        <v>7250391.4</v>
      </c>
      <c r="K77" t="inlineStr"/>
      <c r="L77" t="inlineStr">
        <is>
          <t>Bear</t>
        </is>
      </c>
      <c r="M77" t="n">
        <v>72</v>
      </c>
      <c r="N77" s="21" t="n">
        <v>45548</v>
      </c>
    </row>
    <row r="78">
      <c r="A78" t="inlineStr">
        <is>
          <t>COCHINSHIP</t>
        </is>
      </c>
      <c r="B78" t="n">
        <v>310.6556061136028</v>
      </c>
      <c r="C78" t="n">
        <v>2.209154998213184</v>
      </c>
      <c r="D78" s="21" t="n">
        <v>45656</v>
      </c>
      <c r="E78" t="n">
        <v>1564.85</v>
      </c>
      <c r="F78" t="n">
        <v>1614.4</v>
      </c>
      <c r="G78" t="n">
        <v>1473.5</v>
      </c>
      <c r="H78" t="n">
        <v>1573.05</v>
      </c>
      <c r="I78" t="n">
        <v>1853229</v>
      </c>
      <c r="J78" t="n">
        <v>451285.45</v>
      </c>
      <c r="K78" t="inlineStr"/>
      <c r="L78" t="inlineStr">
        <is>
          <t>Bear</t>
        </is>
      </c>
      <c r="M78" t="n">
        <v>86</v>
      </c>
      <c r="N78" s="21" t="n">
        <v>45530</v>
      </c>
    </row>
    <row r="79">
      <c r="A79" t="inlineStr">
        <is>
          <t>COLPAL</t>
        </is>
      </c>
      <c r="B79" t="n">
        <v>126.030793954689</v>
      </c>
      <c r="C79" t="n">
        <v>1.236039538594153</v>
      </c>
      <c r="D79" s="21" t="n">
        <v>45656</v>
      </c>
      <c r="E79" t="n">
        <v>2726.25</v>
      </c>
      <c r="F79" t="n">
        <v>2811</v>
      </c>
      <c r="G79" t="n">
        <v>2693</v>
      </c>
      <c r="H79" t="n">
        <v>2760.15</v>
      </c>
      <c r="I79" t="n">
        <v>912250</v>
      </c>
      <c r="J79" t="n">
        <v>403595.45</v>
      </c>
      <c r="K79" t="inlineStr"/>
      <c r="L79" t="inlineStr">
        <is>
          <t>Bear</t>
        </is>
      </c>
      <c r="M79" t="n">
        <v>45</v>
      </c>
      <c r="N79" s="21" t="n">
        <v>45588</v>
      </c>
    </row>
    <row r="80">
      <c r="A80" t="inlineStr">
        <is>
          <t>CONTROLPR</t>
        </is>
      </c>
      <c r="B80" t="n">
        <v>-23.74982500033871</v>
      </c>
      <c r="C80" t="n">
        <v>0.9180550833049982</v>
      </c>
      <c r="D80" s="21" t="n">
        <v>45656</v>
      </c>
      <c r="E80" t="n">
        <v>735.25</v>
      </c>
      <c r="F80" t="n">
        <v>751.1</v>
      </c>
      <c r="G80" t="n">
        <v>722.7</v>
      </c>
      <c r="H80" t="n">
        <v>742</v>
      </c>
      <c r="I80" t="n">
        <v>16884</v>
      </c>
      <c r="J80" t="n">
        <v>22142.9</v>
      </c>
      <c r="K80" t="inlineStr"/>
      <c r="L80" t="inlineStr">
        <is>
          <t>Bear</t>
        </is>
      </c>
      <c r="M80" t="n">
        <v>53</v>
      </c>
      <c r="N80" s="21" t="n">
        <v>45576</v>
      </c>
    </row>
    <row r="81">
      <c r="A81" t="inlineStr">
        <is>
          <t>COROMANDEL</t>
        </is>
      </c>
      <c r="B81" t="n">
        <v>17.58542959831406</v>
      </c>
      <c r="C81" t="n">
        <v>1.235002572922024</v>
      </c>
      <c r="D81" s="21" t="n">
        <v>45656</v>
      </c>
      <c r="E81" t="n">
        <v>1835.15</v>
      </c>
      <c r="F81" t="n">
        <v>1890.75</v>
      </c>
      <c r="G81" t="n">
        <v>1822.65</v>
      </c>
      <c r="H81" t="n">
        <v>1868.95</v>
      </c>
      <c r="I81" t="n">
        <v>669129</v>
      </c>
      <c r="J81" t="n">
        <v>569057.75</v>
      </c>
      <c r="K81" t="inlineStr"/>
      <c r="L81" t="inlineStr">
        <is>
          <t>Bull</t>
        </is>
      </c>
      <c r="M81" t="n">
        <v>34</v>
      </c>
      <c r="N81" s="21" t="n">
        <v>45603</v>
      </c>
    </row>
    <row r="82">
      <c r="A82" t="inlineStr">
        <is>
          <t>CREDITACC</t>
        </is>
      </c>
      <c r="B82" t="n">
        <v>441.2690211436509</v>
      </c>
      <c r="C82" t="n">
        <v>8.289168105758355</v>
      </c>
      <c r="D82" s="21" t="n">
        <v>45656</v>
      </c>
      <c r="E82" t="n">
        <v>850</v>
      </c>
      <c r="F82" t="n">
        <v>915.45</v>
      </c>
      <c r="G82" t="n">
        <v>837.7</v>
      </c>
      <c r="H82" t="n">
        <v>909.25</v>
      </c>
      <c r="I82" t="n">
        <v>2423079</v>
      </c>
      <c r="J82" t="n">
        <v>447666.3</v>
      </c>
      <c r="K82" t="inlineStr"/>
      <c r="L82" t="inlineStr">
        <is>
          <t>Bear</t>
        </is>
      </c>
      <c r="M82" t="n">
        <v>126</v>
      </c>
      <c r="N82" s="21" t="n">
        <v>45470</v>
      </c>
    </row>
    <row r="83">
      <c r="A83" t="inlineStr">
        <is>
          <t>CROMPTON</t>
        </is>
      </c>
      <c r="B83" t="n">
        <v>55.00402681603702</v>
      </c>
      <c r="C83" t="n">
        <v>-0.4667591774946442</v>
      </c>
      <c r="D83" s="21" t="n">
        <v>45656</v>
      </c>
      <c r="E83" t="n">
        <v>396.35</v>
      </c>
      <c r="F83" t="n">
        <v>401.95</v>
      </c>
      <c r="G83" t="n">
        <v>391.35</v>
      </c>
      <c r="H83" t="n">
        <v>394.5</v>
      </c>
      <c r="I83" t="n">
        <v>2066494</v>
      </c>
      <c r="J83" t="n">
        <v>1333187.3</v>
      </c>
      <c r="K83" t="inlineStr"/>
      <c r="L83" t="inlineStr">
        <is>
          <t>Bear</t>
        </is>
      </c>
      <c r="M83" t="n">
        <v>60</v>
      </c>
      <c r="N83" s="21" t="n">
        <v>45566</v>
      </c>
    </row>
    <row r="84">
      <c r="A84" t="inlineStr">
        <is>
          <t>CUMMINSIND</t>
        </is>
      </c>
      <c r="B84" t="n">
        <v>301.1763793007096</v>
      </c>
      <c r="C84" t="n">
        <v>-2.32589874607676</v>
      </c>
      <c r="D84" s="21" t="n">
        <v>45656</v>
      </c>
      <c r="E84" t="n">
        <v>3274.7</v>
      </c>
      <c r="F84" t="n">
        <v>3303.3</v>
      </c>
      <c r="G84" t="n">
        <v>3201</v>
      </c>
      <c r="H84" t="n">
        <v>3220.95</v>
      </c>
      <c r="I84" t="n">
        <v>2494608</v>
      </c>
      <c r="J84" t="n">
        <v>621823.25</v>
      </c>
      <c r="K84" t="inlineStr"/>
      <c r="L84" t="inlineStr">
        <is>
          <t>Bear</t>
        </is>
      </c>
      <c r="M84" t="n">
        <v>57</v>
      </c>
      <c r="N84" s="21" t="n">
        <v>45572</v>
      </c>
    </row>
    <row r="85">
      <c r="A85" t="inlineStr">
        <is>
          <t>DBCORP</t>
        </is>
      </c>
      <c r="B85" t="n">
        <v>-36.18902954438218</v>
      </c>
      <c r="C85" t="n">
        <v>-2.051871306631648</v>
      </c>
      <c r="D85" s="21" t="n">
        <v>45656</v>
      </c>
      <c r="E85" t="n">
        <v>303.5</v>
      </c>
      <c r="F85" t="n">
        <v>306.75</v>
      </c>
      <c r="G85" t="n">
        <v>297</v>
      </c>
      <c r="H85" t="n">
        <v>298.35</v>
      </c>
      <c r="I85" t="n">
        <v>50579</v>
      </c>
      <c r="J85" t="n">
        <v>79263.8</v>
      </c>
      <c r="K85" t="inlineStr"/>
      <c r="L85" t="inlineStr">
        <is>
          <t>Bear</t>
        </is>
      </c>
      <c r="M85" t="n">
        <v>4</v>
      </c>
      <c r="N85" s="21" t="n">
        <v>45649</v>
      </c>
    </row>
    <row r="86">
      <c r="A86" t="inlineStr">
        <is>
          <t>DABUR</t>
        </is>
      </c>
      <c r="B86" t="n">
        <v>57.46215828280481</v>
      </c>
      <c r="C86" t="n">
        <v>-0.3746426106674509</v>
      </c>
      <c r="D86" s="21" t="n">
        <v>45656</v>
      </c>
      <c r="E86" t="n">
        <v>507</v>
      </c>
      <c r="F86" t="n">
        <v>509.8</v>
      </c>
      <c r="G86" t="n">
        <v>503.1</v>
      </c>
      <c r="H86" t="n">
        <v>505.25</v>
      </c>
      <c r="I86" t="n">
        <v>4298784</v>
      </c>
      <c r="J86" t="n">
        <v>2730042.6</v>
      </c>
      <c r="K86" t="inlineStr"/>
      <c r="L86" t="inlineStr">
        <is>
          <t>Bear</t>
        </is>
      </c>
      <c r="M86" t="n">
        <v>58</v>
      </c>
      <c r="N86" s="21" t="n">
        <v>45569</v>
      </c>
    </row>
    <row r="87">
      <c r="A87" t="inlineStr">
        <is>
          <t>DEEPAKNTR</t>
        </is>
      </c>
      <c r="B87" t="n">
        <v>-26.87928509106455</v>
      </c>
      <c r="C87" t="n">
        <v>-2.56420195755403</v>
      </c>
      <c r="D87" s="21" t="n">
        <v>45656</v>
      </c>
      <c r="E87" t="n">
        <v>2579.75</v>
      </c>
      <c r="F87" t="n">
        <v>2580</v>
      </c>
      <c r="G87" t="n">
        <v>2506.25</v>
      </c>
      <c r="H87" t="n">
        <v>2513.6</v>
      </c>
      <c r="I87" t="n">
        <v>175823</v>
      </c>
      <c r="J87" t="n">
        <v>240455.8</v>
      </c>
      <c r="K87" t="inlineStr"/>
      <c r="L87" t="inlineStr">
        <is>
          <t>Bear</t>
        </is>
      </c>
      <c r="M87" t="n">
        <v>55</v>
      </c>
      <c r="N87" s="21" t="n">
        <v>45574</v>
      </c>
    </row>
    <row r="88">
      <c r="A88" t="inlineStr">
        <is>
          <t>DELTACORP</t>
        </is>
      </c>
      <c r="B88" t="n">
        <v>-34.09360207700593</v>
      </c>
      <c r="C88" t="n">
        <v>-1.314377682403433</v>
      </c>
      <c r="D88" s="21" t="n">
        <v>45656</v>
      </c>
      <c r="E88" t="n">
        <v>112.79</v>
      </c>
      <c r="F88" t="n">
        <v>112.8</v>
      </c>
      <c r="G88" t="n">
        <v>110</v>
      </c>
      <c r="H88" t="n">
        <v>110.37</v>
      </c>
      <c r="I88" t="n">
        <v>969256</v>
      </c>
      <c r="J88" t="n">
        <v>1470655.4</v>
      </c>
      <c r="K88" t="inlineStr"/>
      <c r="L88" t="inlineStr">
        <is>
          <t>Bear</t>
        </is>
      </c>
      <c r="M88" t="n">
        <v>73</v>
      </c>
      <c r="N88" s="21" t="n">
        <v>45547</v>
      </c>
    </row>
    <row r="89">
      <c r="A89" t="inlineStr">
        <is>
          <t>DHANUKA</t>
        </is>
      </c>
      <c r="B89" t="n">
        <v>-60.01188111892184</v>
      </c>
      <c r="C89" t="n">
        <v>-0.3162765922029497</v>
      </c>
      <c r="D89" s="21" t="n">
        <v>45656</v>
      </c>
      <c r="E89" t="n">
        <v>1501.85</v>
      </c>
      <c r="F89" t="n">
        <v>1510.85</v>
      </c>
      <c r="G89" t="n">
        <v>1489.8</v>
      </c>
      <c r="H89" t="n">
        <v>1497.1</v>
      </c>
      <c r="I89" t="n">
        <v>13732</v>
      </c>
      <c r="J89" t="n">
        <v>34340.2</v>
      </c>
      <c r="K89" t="inlineStr"/>
      <c r="L89" t="inlineStr">
        <is>
          <t>Bear</t>
        </is>
      </c>
      <c r="M89" t="n">
        <v>1</v>
      </c>
      <c r="N89" s="21" t="n">
        <v>45653</v>
      </c>
    </row>
    <row r="90">
      <c r="A90" t="inlineStr">
        <is>
          <t>DIVISLAB</t>
        </is>
      </c>
      <c r="B90" t="n">
        <v>229.1871014513034</v>
      </c>
      <c r="C90" t="n">
        <v>2.787767490499142</v>
      </c>
      <c r="D90" s="21" t="n">
        <v>45656</v>
      </c>
      <c r="E90" t="n">
        <v>5881.05</v>
      </c>
      <c r="F90" t="n">
        <v>6138.85</v>
      </c>
      <c r="G90" t="n">
        <v>5880</v>
      </c>
      <c r="H90" t="n">
        <v>6045</v>
      </c>
      <c r="I90" t="n">
        <v>1928937</v>
      </c>
      <c r="J90" t="n">
        <v>585969.8</v>
      </c>
      <c r="K90" t="inlineStr"/>
      <c r="L90" t="inlineStr">
        <is>
          <t>Bull</t>
        </is>
      </c>
      <c r="M90" t="n">
        <v>179</v>
      </c>
      <c r="N90" s="21" t="n">
        <v>45391</v>
      </c>
    </row>
    <row r="91">
      <c r="A91" t="inlineStr">
        <is>
          <t>DIXON</t>
        </is>
      </c>
      <c r="B91" t="n">
        <v>-29.57521568402942</v>
      </c>
      <c r="C91" t="n">
        <v>0.7305687085125403</v>
      </c>
      <c r="D91" s="21" t="n">
        <v>45656</v>
      </c>
      <c r="E91" t="n">
        <v>18035</v>
      </c>
      <c r="F91" t="n">
        <v>18250</v>
      </c>
      <c r="G91" t="n">
        <v>17733.8</v>
      </c>
      <c r="H91" t="n">
        <v>18103.6</v>
      </c>
      <c r="I91" t="n">
        <v>344436</v>
      </c>
      <c r="J91" t="n">
        <v>489083.5</v>
      </c>
      <c r="K91" t="inlineStr"/>
      <c r="L91" t="inlineStr">
        <is>
          <t>Bull</t>
        </is>
      </c>
      <c r="M91" t="n">
        <v>213</v>
      </c>
      <c r="N91" s="21" t="n">
        <v>45341</v>
      </c>
    </row>
    <row r="92">
      <c r="A92" t="inlineStr">
        <is>
          <t>LALPATHLAB</t>
        </is>
      </c>
      <c r="B92" t="n">
        <v>331.9386403344814</v>
      </c>
      <c r="C92" t="n">
        <v>0.2102621494217883</v>
      </c>
      <c r="D92" s="21" t="n">
        <v>45656</v>
      </c>
      <c r="E92" t="n">
        <v>2932.65</v>
      </c>
      <c r="F92" t="n">
        <v>3014.4</v>
      </c>
      <c r="G92" t="n">
        <v>2931.05</v>
      </c>
      <c r="H92" t="n">
        <v>2954.9</v>
      </c>
      <c r="I92" t="n">
        <v>839441</v>
      </c>
      <c r="J92" t="n">
        <v>194342.65</v>
      </c>
      <c r="K92" t="inlineStr"/>
      <c r="L92" t="inlineStr">
        <is>
          <t>Bear</t>
        </is>
      </c>
      <c r="M92" t="n">
        <v>41</v>
      </c>
      <c r="N92" s="21" t="n">
        <v>45594</v>
      </c>
    </row>
    <row r="93">
      <c r="A93" t="inlineStr">
        <is>
          <t>DRREDDY</t>
        </is>
      </c>
      <c r="B93" t="n">
        <v>-8.85253939882338</v>
      </c>
      <c r="C93" t="n">
        <v>-0.9032350930224156</v>
      </c>
      <c r="D93" s="21" t="n">
        <v>45656</v>
      </c>
      <c r="E93" t="n">
        <v>1389.6</v>
      </c>
      <c r="F93" t="n">
        <v>1392</v>
      </c>
      <c r="G93" t="n">
        <v>1372.1</v>
      </c>
      <c r="H93" t="n">
        <v>1376.9</v>
      </c>
      <c r="I93" t="n">
        <v>2462657</v>
      </c>
      <c r="J93" t="n">
        <v>2701838.3</v>
      </c>
      <c r="K93" t="inlineStr"/>
      <c r="L93" t="inlineStr">
        <is>
          <t>Bull</t>
        </is>
      </c>
      <c r="M93" t="n">
        <v>3</v>
      </c>
      <c r="N93" s="21" t="n">
        <v>45650</v>
      </c>
    </row>
    <row r="94">
      <c r="A94" t="inlineStr">
        <is>
          <t>DREAMFOLKS</t>
        </is>
      </c>
      <c r="B94" t="n">
        <v>2.401696471287999</v>
      </c>
      <c r="C94" t="n">
        <v>-1.524196621364156</v>
      </c>
      <c r="D94" s="21" t="n">
        <v>45656</v>
      </c>
      <c r="E94" t="n">
        <v>395.1</v>
      </c>
      <c r="F94" t="n">
        <v>398.6</v>
      </c>
      <c r="G94" t="n">
        <v>385.95</v>
      </c>
      <c r="H94" t="n">
        <v>387.65</v>
      </c>
      <c r="I94" t="n">
        <v>98993</v>
      </c>
      <c r="J94" t="n">
        <v>96671.25</v>
      </c>
      <c r="K94" t="inlineStr"/>
      <c r="L94" t="inlineStr">
        <is>
          <t>Bear</t>
        </is>
      </c>
      <c r="M94" t="n">
        <v>59</v>
      </c>
      <c r="N94" s="21" t="n">
        <v>45568</v>
      </c>
    </row>
    <row r="95">
      <c r="A95" t="inlineStr">
        <is>
          <t>ECLERX</t>
        </is>
      </c>
      <c r="B95" t="n">
        <v>51.47173924192236</v>
      </c>
      <c r="C95" t="n">
        <v>-4.046464480425189</v>
      </c>
      <c r="D95" s="21" t="n">
        <v>45656</v>
      </c>
      <c r="E95" t="n">
        <v>3630</v>
      </c>
      <c r="F95" t="n">
        <v>3649.15</v>
      </c>
      <c r="G95" t="n">
        <v>3440.05</v>
      </c>
      <c r="H95" t="n">
        <v>3502.4</v>
      </c>
      <c r="I95" t="n">
        <v>158016</v>
      </c>
      <c r="J95" t="n">
        <v>104320.45</v>
      </c>
      <c r="K95" t="inlineStr"/>
      <c r="L95" t="inlineStr">
        <is>
          <t>Bull</t>
        </is>
      </c>
      <c r="M95" t="n">
        <v>126</v>
      </c>
      <c r="N95" s="21" t="n">
        <v>45470</v>
      </c>
    </row>
    <row r="96">
      <c r="A96" t="inlineStr">
        <is>
          <t>EICHERMOT</t>
        </is>
      </c>
      <c r="B96" t="n">
        <v>-30.72605837922845</v>
      </c>
      <c r="C96" t="n">
        <v>-0.4326518895199709</v>
      </c>
      <c r="D96" s="21" t="n">
        <v>45656</v>
      </c>
      <c r="E96" t="n">
        <v>4890</v>
      </c>
      <c r="F96" t="n">
        <v>4904.95</v>
      </c>
      <c r="G96" t="n">
        <v>4832.3</v>
      </c>
      <c r="H96" t="n">
        <v>4855.8</v>
      </c>
      <c r="I96" t="n">
        <v>242799</v>
      </c>
      <c r="J96" t="n">
        <v>350491.1</v>
      </c>
      <c r="K96" t="inlineStr"/>
      <c r="L96" t="inlineStr">
        <is>
          <t>Bear</t>
        </is>
      </c>
      <c r="M96" t="n">
        <v>8</v>
      </c>
      <c r="N96" s="21" t="n">
        <v>45643</v>
      </c>
    </row>
    <row r="97">
      <c r="A97" t="inlineStr">
        <is>
          <t>EIDPARRY</t>
        </is>
      </c>
      <c r="B97" t="n">
        <v>-82.73516501926007</v>
      </c>
      <c r="C97" t="n">
        <v>-2.567237163814171</v>
      </c>
      <c r="D97" s="21" t="n">
        <v>45656</v>
      </c>
      <c r="E97" t="n">
        <v>903.25</v>
      </c>
      <c r="F97" t="n">
        <v>905.95</v>
      </c>
      <c r="G97" t="n">
        <v>872</v>
      </c>
      <c r="H97" t="n">
        <v>876.7</v>
      </c>
      <c r="I97" t="n">
        <v>141343</v>
      </c>
      <c r="J97" t="n">
        <v>818675.65</v>
      </c>
      <c r="K97" t="inlineStr"/>
      <c r="L97" t="inlineStr">
        <is>
          <t>Bull</t>
        </is>
      </c>
      <c r="M97" t="n">
        <v>25</v>
      </c>
      <c r="N97" s="21" t="n">
        <v>45618</v>
      </c>
    </row>
    <row r="98">
      <c r="A98" t="inlineStr">
        <is>
          <t>EIHOTEL</t>
        </is>
      </c>
      <c r="B98" t="n">
        <v>-25.12271242352664</v>
      </c>
      <c r="C98" t="n">
        <v>-2.735562310030395</v>
      </c>
      <c r="D98" s="21" t="n">
        <v>45656</v>
      </c>
      <c r="E98" t="n">
        <v>411</v>
      </c>
      <c r="F98" t="n">
        <v>413.9</v>
      </c>
      <c r="G98" t="n">
        <v>397.15</v>
      </c>
      <c r="H98" t="n">
        <v>400</v>
      </c>
      <c r="I98" t="n">
        <v>600506</v>
      </c>
      <c r="J98" t="n">
        <v>801986.85</v>
      </c>
      <c r="K98" t="inlineStr"/>
      <c r="L98" t="inlineStr">
        <is>
          <t>Bull</t>
        </is>
      </c>
      <c r="M98" t="n">
        <v>15</v>
      </c>
      <c r="N98" s="21" t="n">
        <v>45632</v>
      </c>
    </row>
    <row r="99">
      <c r="A99" t="inlineStr">
        <is>
          <t>ELECON</t>
        </is>
      </c>
      <c r="B99" t="n">
        <v>-40.66576528469172</v>
      </c>
      <c r="C99" t="n">
        <v>-2.047170545652678</v>
      </c>
      <c r="D99" s="21" t="n">
        <v>45656</v>
      </c>
      <c r="E99" t="n">
        <v>642.35</v>
      </c>
      <c r="F99" t="n">
        <v>646.75</v>
      </c>
      <c r="G99" t="n">
        <v>616.6</v>
      </c>
      <c r="H99" t="n">
        <v>629.2</v>
      </c>
      <c r="I99" t="n">
        <v>302009</v>
      </c>
      <c r="J99" t="n">
        <v>508996.2</v>
      </c>
      <c r="K99" t="inlineStr"/>
      <c r="L99" t="inlineStr">
        <is>
          <t>Bull</t>
        </is>
      </c>
      <c r="M99" t="n">
        <v>13</v>
      </c>
      <c r="N99" s="21" t="n">
        <v>45636</v>
      </c>
    </row>
    <row r="100">
      <c r="A100" t="inlineStr">
        <is>
          <t>ELECTCAST</t>
        </is>
      </c>
      <c r="B100" t="n">
        <v>-49.64502469623503</v>
      </c>
      <c r="C100" t="n">
        <v>-2.300093734227412</v>
      </c>
      <c r="D100" s="21" t="n">
        <v>45656</v>
      </c>
      <c r="E100" t="n">
        <v>138.69</v>
      </c>
      <c r="F100" t="n">
        <v>139.05</v>
      </c>
      <c r="G100" t="n">
        <v>134.71</v>
      </c>
      <c r="H100" t="n">
        <v>135.5</v>
      </c>
      <c r="I100" t="n">
        <v>880174</v>
      </c>
      <c r="J100" t="n">
        <v>1747938.5</v>
      </c>
      <c r="K100" t="inlineStr"/>
      <c r="L100" t="inlineStr">
        <is>
          <t>Bear</t>
        </is>
      </c>
      <c r="M100" t="n">
        <v>55</v>
      </c>
      <c r="N100" s="21" t="n">
        <v>45574</v>
      </c>
    </row>
    <row r="101">
      <c r="A101" t="inlineStr">
        <is>
          <t>EMAMILTD</t>
        </is>
      </c>
      <c r="B101" t="n">
        <v>-55.43450381337185</v>
      </c>
      <c r="C101" t="n">
        <v>0.1355357899195179</v>
      </c>
      <c r="D101" s="21" t="n">
        <v>45656</v>
      </c>
      <c r="E101" t="n">
        <v>594.6</v>
      </c>
      <c r="F101" t="n">
        <v>602.85</v>
      </c>
      <c r="G101" t="n">
        <v>588.1</v>
      </c>
      <c r="H101" t="n">
        <v>591.05</v>
      </c>
      <c r="I101" t="n">
        <v>349933</v>
      </c>
      <c r="J101" t="n">
        <v>785210.6</v>
      </c>
      <c r="K101" t="inlineStr"/>
      <c r="L101" t="inlineStr">
        <is>
          <t>Bear</t>
        </is>
      </c>
      <c r="M101" t="n">
        <v>63</v>
      </c>
      <c r="N101" s="21" t="n">
        <v>45561</v>
      </c>
    </row>
    <row r="102">
      <c r="A102" t="inlineStr">
        <is>
          <t>EPIGRAL</t>
        </is>
      </c>
      <c r="B102" t="n">
        <v>-10.98016405829559</v>
      </c>
      <c r="C102" t="n">
        <v>-1.829445871171002</v>
      </c>
      <c r="D102" s="21" t="n">
        <v>45656</v>
      </c>
      <c r="E102" t="n">
        <v>1897</v>
      </c>
      <c r="F102" t="n">
        <v>1897</v>
      </c>
      <c r="G102" t="n">
        <v>1835</v>
      </c>
      <c r="H102" t="n">
        <v>1854</v>
      </c>
      <c r="I102" t="n">
        <v>49128</v>
      </c>
      <c r="J102" t="n">
        <v>55187.7</v>
      </c>
      <c r="K102" t="inlineStr"/>
      <c r="L102" t="inlineStr">
        <is>
          <t>Bear</t>
        </is>
      </c>
      <c r="M102" t="n">
        <v>5</v>
      </c>
      <c r="N102" s="21" t="n">
        <v>45646</v>
      </c>
    </row>
    <row r="103">
      <c r="A103" t="inlineStr">
        <is>
          <t>ERIS</t>
        </is>
      </c>
      <c r="B103" t="n">
        <v>-28.82095498299471</v>
      </c>
      <c r="C103" t="n">
        <v>1.68107767098379</v>
      </c>
      <c r="D103" s="21" t="n">
        <v>45656</v>
      </c>
      <c r="E103" t="n">
        <v>1347.35</v>
      </c>
      <c r="F103" t="n">
        <v>1397.95</v>
      </c>
      <c r="G103" t="n">
        <v>1342</v>
      </c>
      <c r="H103" t="n">
        <v>1370</v>
      </c>
      <c r="I103" t="n">
        <v>103324</v>
      </c>
      <c r="J103" t="n">
        <v>145160.7</v>
      </c>
      <c r="K103" t="inlineStr"/>
      <c r="L103" t="inlineStr">
        <is>
          <t>Bull</t>
        </is>
      </c>
      <c r="M103" t="n">
        <v>167</v>
      </c>
      <c r="N103" s="21" t="n">
        <v>45411</v>
      </c>
    </row>
    <row r="104">
      <c r="A104" t="inlineStr">
        <is>
          <t>ESCORTS</t>
        </is>
      </c>
      <c r="B104" t="n">
        <v>15.08378469525296</v>
      </c>
      <c r="C104" t="n">
        <v>0.2378467959734839</v>
      </c>
      <c r="D104" s="21" t="n">
        <v>45656</v>
      </c>
      <c r="E104" t="n">
        <v>3259.1</v>
      </c>
      <c r="F104" t="n">
        <v>3325</v>
      </c>
      <c r="G104" t="n">
        <v>3246.1</v>
      </c>
      <c r="H104" t="n">
        <v>3266.15</v>
      </c>
      <c r="I104" t="n">
        <v>267368</v>
      </c>
      <c r="J104" t="n">
        <v>232324.65</v>
      </c>
      <c r="K104" t="inlineStr"/>
      <c r="L104" t="inlineStr">
        <is>
          <t>Bear</t>
        </is>
      </c>
      <c r="M104" t="n">
        <v>47</v>
      </c>
      <c r="N104" s="21" t="n">
        <v>45586</v>
      </c>
    </row>
    <row r="105">
      <c r="A105" t="inlineStr">
        <is>
          <t>EKC</t>
        </is>
      </c>
      <c r="B105" t="n">
        <v>-29.5761526189796</v>
      </c>
      <c r="C105" t="n">
        <v>-3.925323121110577</v>
      </c>
      <c r="D105" s="21" t="n">
        <v>45656</v>
      </c>
      <c r="E105" t="n">
        <v>185</v>
      </c>
      <c r="F105" t="n">
        <v>186.91</v>
      </c>
      <c r="G105" t="n">
        <v>179.64</v>
      </c>
      <c r="H105" t="n">
        <v>180.63</v>
      </c>
      <c r="I105" t="n">
        <v>775188</v>
      </c>
      <c r="J105" t="n">
        <v>1100746.45</v>
      </c>
      <c r="K105" t="inlineStr"/>
      <c r="L105" t="inlineStr">
        <is>
          <t>Bull</t>
        </is>
      </c>
      <c r="M105" t="n">
        <v>25</v>
      </c>
      <c r="N105" s="21" t="n">
        <v>45618</v>
      </c>
    </row>
    <row r="106">
      <c r="A106" t="inlineStr">
        <is>
          <t>FAZE3Q</t>
        </is>
      </c>
      <c r="B106" t="n">
        <v>-31.95304103207435</v>
      </c>
      <c r="C106" t="n">
        <v>-3.225806451612908</v>
      </c>
      <c r="D106" s="21" t="n">
        <v>45656</v>
      </c>
      <c r="E106" t="n">
        <v>438.85</v>
      </c>
      <c r="F106" t="n">
        <v>440</v>
      </c>
      <c r="G106" t="n">
        <v>420.05</v>
      </c>
      <c r="H106" t="n">
        <v>423</v>
      </c>
      <c r="I106" t="n">
        <v>9845</v>
      </c>
      <c r="J106" t="n">
        <v>14467.95</v>
      </c>
      <c r="K106" t="inlineStr"/>
      <c r="L106" t="inlineStr">
        <is>
          <t>Bull</t>
        </is>
      </c>
      <c r="M106" t="n">
        <v>8</v>
      </c>
      <c r="N106" s="21" t="n">
        <v>45643</v>
      </c>
    </row>
    <row r="107">
      <c r="A107" t="inlineStr">
        <is>
          <t>FDC</t>
        </is>
      </c>
      <c r="B107" t="n">
        <v>-44.21578482122016</v>
      </c>
      <c r="C107" t="n">
        <v>-1.00060036021613</v>
      </c>
      <c r="D107" s="21" t="n">
        <v>45656</v>
      </c>
      <c r="E107" t="n">
        <v>501.65</v>
      </c>
      <c r="F107" t="n">
        <v>505.95</v>
      </c>
      <c r="G107" t="n">
        <v>490.1</v>
      </c>
      <c r="H107" t="n">
        <v>494.7</v>
      </c>
      <c r="I107" t="n">
        <v>58910</v>
      </c>
      <c r="J107" t="n">
        <v>105603.35</v>
      </c>
      <c r="K107" t="inlineStr"/>
      <c r="L107" t="inlineStr">
        <is>
          <t>Bear</t>
        </is>
      </c>
      <c r="M107" t="n">
        <v>42</v>
      </c>
      <c r="N107" s="21" t="n">
        <v>45593</v>
      </c>
    </row>
    <row r="108">
      <c r="A108" t="inlineStr">
        <is>
          <t>FEDERALBNK</t>
        </is>
      </c>
      <c r="B108" t="n">
        <v>438.025139387262</v>
      </c>
      <c r="C108" t="n">
        <v>2.195903014283547</v>
      </c>
      <c r="D108" s="21" t="n">
        <v>45656</v>
      </c>
      <c r="E108" t="n">
        <v>197.5</v>
      </c>
      <c r="F108" t="n">
        <v>203.15</v>
      </c>
      <c r="G108" t="n">
        <v>195.55</v>
      </c>
      <c r="H108" t="n">
        <v>201.05</v>
      </c>
      <c r="I108" t="n">
        <v>48698861</v>
      </c>
      <c r="J108" t="n">
        <v>9051409.949999999</v>
      </c>
      <c r="K108" t="inlineStr"/>
      <c r="L108" t="inlineStr">
        <is>
          <t>Bull</t>
        </is>
      </c>
      <c r="M108" t="n">
        <v>41</v>
      </c>
      <c r="N108" s="21" t="n">
        <v>45594</v>
      </c>
    </row>
    <row r="109">
      <c r="A109" t="inlineStr">
        <is>
          <t>FINEORG</t>
        </is>
      </c>
      <c r="B109" t="n">
        <v>252.7677020931164</v>
      </c>
      <c r="C109" t="n">
        <v>-5.355528199318015</v>
      </c>
      <c r="D109" s="21" t="n">
        <v>45656</v>
      </c>
      <c r="E109" t="n">
        <v>4581.3</v>
      </c>
      <c r="F109" t="n">
        <v>4745.85</v>
      </c>
      <c r="G109" t="n">
        <v>4299.05</v>
      </c>
      <c r="H109" t="n">
        <v>4343.85</v>
      </c>
      <c r="I109" t="n">
        <v>68662</v>
      </c>
      <c r="J109" t="n">
        <v>19463.8</v>
      </c>
      <c r="K109" t="inlineStr"/>
      <c r="L109" t="inlineStr">
        <is>
          <t>Bear</t>
        </is>
      </c>
      <c r="M109" t="n">
        <v>7</v>
      </c>
      <c r="N109" s="21" t="n">
        <v>45644</v>
      </c>
    </row>
    <row r="110">
      <c r="A110" t="inlineStr">
        <is>
          <t>FCL</t>
        </is>
      </c>
      <c r="B110" t="n">
        <v>100.6318884747006</v>
      </c>
      <c r="C110" t="n">
        <v>1.074278698588091</v>
      </c>
      <c r="D110" s="21" t="n">
        <v>45656</v>
      </c>
      <c r="E110" t="n">
        <v>326.05</v>
      </c>
      <c r="F110" t="n">
        <v>339.6</v>
      </c>
      <c r="G110" t="n">
        <v>322.75</v>
      </c>
      <c r="H110" t="n">
        <v>329.3</v>
      </c>
      <c r="I110" t="n">
        <v>309288</v>
      </c>
      <c r="J110" t="n">
        <v>154156.95</v>
      </c>
      <c r="K110" t="inlineStr"/>
      <c r="L110" t="inlineStr">
        <is>
          <t>Bear</t>
        </is>
      </c>
      <c r="M110" t="n">
        <v>41</v>
      </c>
      <c r="N110" s="21" t="n">
        <v>45594</v>
      </c>
    </row>
    <row r="111">
      <c r="A111" t="inlineStr">
        <is>
          <t>FINCABLES</t>
        </is>
      </c>
      <c r="B111" t="n">
        <v>-52.30471642789556</v>
      </c>
      <c r="C111" t="n">
        <v>-3.548859594057342</v>
      </c>
      <c r="D111" s="21" t="n">
        <v>45656</v>
      </c>
      <c r="E111" t="n">
        <v>1199.65</v>
      </c>
      <c r="F111" t="n">
        <v>1202.25</v>
      </c>
      <c r="G111" t="n">
        <v>1146</v>
      </c>
      <c r="H111" t="n">
        <v>1152.35</v>
      </c>
      <c r="I111" t="n">
        <v>294298</v>
      </c>
      <c r="J111" t="n">
        <v>617037.95</v>
      </c>
      <c r="K111" t="inlineStr"/>
      <c r="L111" t="inlineStr">
        <is>
          <t>Bear</t>
        </is>
      </c>
      <c r="M111" t="n">
        <v>84</v>
      </c>
      <c r="N111" s="21" t="n">
        <v>45532</v>
      </c>
    </row>
    <row r="112">
      <c r="A112" t="inlineStr">
        <is>
          <t>FSL</t>
        </is>
      </c>
      <c r="B112" t="n">
        <v>-27.44788383004079</v>
      </c>
      <c r="C112" t="n">
        <v>2.428106348345086</v>
      </c>
      <c r="D112" s="21" t="n">
        <v>45656</v>
      </c>
      <c r="E112" t="n">
        <v>369.7</v>
      </c>
      <c r="F112" t="n">
        <v>379.55</v>
      </c>
      <c r="G112" t="n">
        <v>364.5</v>
      </c>
      <c r="H112" t="n">
        <v>377.55</v>
      </c>
      <c r="I112" t="n">
        <v>1902691</v>
      </c>
      <c r="J112" t="n">
        <v>2622516.2</v>
      </c>
      <c r="K112" t="inlineStr"/>
      <c r="L112" t="inlineStr">
        <is>
          <t>Bull</t>
        </is>
      </c>
      <c r="M112" t="n">
        <v>131</v>
      </c>
      <c r="N112" s="21" t="n">
        <v>45463</v>
      </c>
    </row>
    <row r="113">
      <c r="A113" t="inlineStr">
        <is>
          <t>GNFC</t>
        </is>
      </c>
      <c r="B113" t="n">
        <v>53.09041687030525</v>
      </c>
      <c r="C113" t="n">
        <v>-3.140582626191923</v>
      </c>
      <c r="D113" s="21" t="n">
        <v>45656</v>
      </c>
      <c r="E113" t="n">
        <v>571.95</v>
      </c>
      <c r="F113" t="n">
        <v>573.95</v>
      </c>
      <c r="G113" t="n">
        <v>551.9</v>
      </c>
      <c r="H113" t="n">
        <v>553.6</v>
      </c>
      <c r="I113" t="n">
        <v>913720</v>
      </c>
      <c r="J113" t="n">
        <v>596849.9</v>
      </c>
      <c r="K113" t="inlineStr"/>
      <c r="L113" t="inlineStr">
        <is>
          <t>Bear</t>
        </is>
      </c>
      <c r="M113" t="n">
        <v>73</v>
      </c>
      <c r="N113" s="21" t="n">
        <v>45547</v>
      </c>
    </row>
    <row r="114">
      <c r="A114" t="inlineStr">
        <is>
          <t>GRINFRA</t>
        </is>
      </c>
      <c r="B114" t="n">
        <v>-65.32118632796914</v>
      </c>
      <c r="C114" t="n">
        <v>-1.959464009157626</v>
      </c>
      <c r="D114" s="21" t="n">
        <v>45656</v>
      </c>
      <c r="E114" t="n">
        <v>1478.55</v>
      </c>
      <c r="F114" t="n">
        <v>1484.05</v>
      </c>
      <c r="G114" t="n">
        <v>1439.95</v>
      </c>
      <c r="H114" t="n">
        <v>1456</v>
      </c>
      <c r="I114" t="n">
        <v>14602</v>
      </c>
      <c r="J114" t="n">
        <v>42106.4</v>
      </c>
      <c r="K114" t="inlineStr"/>
      <c r="L114" t="inlineStr">
        <is>
          <t>Bear</t>
        </is>
      </c>
      <c r="M114" t="n">
        <v>8</v>
      </c>
      <c r="N114" s="21" t="n">
        <v>45643</v>
      </c>
    </row>
    <row r="115">
      <c r="A115" t="inlineStr">
        <is>
          <t>GSFC</t>
        </is>
      </c>
      <c r="B115" t="n">
        <v>47.60662702157826</v>
      </c>
      <c r="C115" t="n">
        <v>-3.773867092078365</v>
      </c>
      <c r="D115" s="21" t="n">
        <v>45656</v>
      </c>
      <c r="E115" t="n">
        <v>201.29</v>
      </c>
      <c r="F115" t="n">
        <v>202.65</v>
      </c>
      <c r="G115" t="n">
        <v>191.5</v>
      </c>
      <c r="H115" t="n">
        <v>193.02</v>
      </c>
      <c r="I115" t="n">
        <v>2752339</v>
      </c>
      <c r="J115" t="n">
        <v>1864644.6</v>
      </c>
      <c r="K115" t="inlineStr"/>
      <c r="L115" t="inlineStr">
        <is>
          <t>Bear</t>
        </is>
      </c>
      <c r="M115" t="n">
        <v>2</v>
      </c>
      <c r="N115" s="21" t="n">
        <v>45652</v>
      </c>
    </row>
    <row r="116">
      <c r="A116" t="inlineStr">
        <is>
          <t>GALAXYSURF</t>
        </is>
      </c>
      <c r="B116" t="n">
        <v>-11.32631172360517</v>
      </c>
      <c r="C116" t="n">
        <v>-1.059155813588577</v>
      </c>
      <c r="D116" s="21" t="n">
        <v>45656</v>
      </c>
      <c r="E116" t="n">
        <v>2555.2</v>
      </c>
      <c r="F116" t="n">
        <v>2555.2</v>
      </c>
      <c r="G116" t="n">
        <v>2501.4</v>
      </c>
      <c r="H116" t="n">
        <v>2522.2</v>
      </c>
      <c r="I116" t="n">
        <v>12856</v>
      </c>
      <c r="J116" t="n">
        <v>14498.1</v>
      </c>
      <c r="K116" t="inlineStr"/>
      <c r="L116" t="inlineStr">
        <is>
          <t>Bear</t>
        </is>
      </c>
      <c r="M116" t="n">
        <v>30</v>
      </c>
      <c r="N116" s="21" t="n">
        <v>45609</v>
      </c>
    </row>
    <row r="117">
      <c r="A117" t="inlineStr">
        <is>
          <t>GANESHBE</t>
        </is>
      </c>
      <c r="B117" t="n">
        <v>-33.51922673214008</v>
      </c>
      <c r="C117" t="n">
        <v>-1.758176264620417</v>
      </c>
      <c r="D117" s="21" t="n">
        <v>45656</v>
      </c>
      <c r="E117" t="n">
        <v>133.55</v>
      </c>
      <c r="F117" t="n">
        <v>134.88</v>
      </c>
      <c r="G117" t="n">
        <v>131</v>
      </c>
      <c r="H117" t="n">
        <v>131.87</v>
      </c>
      <c r="I117" t="n">
        <v>72837</v>
      </c>
      <c r="J117" t="n">
        <v>109561</v>
      </c>
      <c r="K117" t="inlineStr"/>
      <c r="L117" t="inlineStr">
        <is>
          <t>Bear</t>
        </is>
      </c>
      <c r="M117" t="n">
        <v>70</v>
      </c>
      <c r="N117" s="21" t="n">
        <v>45552</v>
      </c>
    </row>
    <row r="118">
      <c r="A118" t="inlineStr">
        <is>
          <t>GANESHHOUC</t>
        </is>
      </c>
      <c r="B118" t="n">
        <v>114.6175960991328</v>
      </c>
      <c r="C118" t="n">
        <v>5.676893370521356</v>
      </c>
      <c r="D118" s="21" t="n">
        <v>45656</v>
      </c>
      <c r="E118" t="n">
        <v>1176.7</v>
      </c>
      <c r="F118" t="n">
        <v>1245</v>
      </c>
      <c r="G118" t="n">
        <v>1161</v>
      </c>
      <c r="H118" t="n">
        <v>1231.4</v>
      </c>
      <c r="I118" t="n">
        <v>251762</v>
      </c>
      <c r="J118" t="n">
        <v>117307.25</v>
      </c>
      <c r="K118" t="inlineStr"/>
      <c r="L118" t="inlineStr">
        <is>
          <t>Bull</t>
        </is>
      </c>
      <c r="M118" t="n">
        <v>51</v>
      </c>
      <c r="N118" s="21" t="n">
        <v>45580</v>
      </c>
    </row>
    <row r="119">
      <c r="A119" t="inlineStr">
        <is>
          <t>GARFIBRES</t>
        </is>
      </c>
      <c r="B119" t="n">
        <v>63.11237014012848</v>
      </c>
      <c r="C119" t="n">
        <v>0.9837050386723815</v>
      </c>
      <c r="D119" s="21" t="n">
        <v>45656</v>
      </c>
      <c r="E119" t="n">
        <v>4749</v>
      </c>
      <c r="F119" t="n">
        <v>4790</v>
      </c>
      <c r="G119" t="n">
        <v>4620.75</v>
      </c>
      <c r="H119" t="n">
        <v>4706.8</v>
      </c>
      <c r="I119" t="n">
        <v>60401</v>
      </c>
      <c r="J119" t="n">
        <v>37030.3</v>
      </c>
      <c r="K119" t="inlineStr"/>
      <c r="L119" t="inlineStr">
        <is>
          <t>Bull</t>
        </is>
      </c>
      <c r="M119" t="n">
        <v>75</v>
      </c>
      <c r="N119" s="21" t="n">
        <v>45545</v>
      </c>
    </row>
    <row r="120">
      <c r="A120" t="inlineStr">
        <is>
          <t>GATEWAY</t>
        </is>
      </c>
      <c r="B120" t="n">
        <v>-6.545743929341291</v>
      </c>
      <c r="C120" t="n">
        <v>-0.9762202753441815</v>
      </c>
      <c r="D120" s="21" t="n">
        <v>45656</v>
      </c>
      <c r="E120" t="n">
        <v>79.90000000000001</v>
      </c>
      <c r="F120" t="n">
        <v>82.09999999999999</v>
      </c>
      <c r="G120" t="n">
        <v>79</v>
      </c>
      <c r="H120" t="n">
        <v>79.12</v>
      </c>
      <c r="I120" t="n">
        <v>2214385</v>
      </c>
      <c r="J120" t="n">
        <v>2369485.45</v>
      </c>
      <c r="K120" t="inlineStr"/>
      <c r="L120" t="inlineStr">
        <is>
          <t>Bear</t>
        </is>
      </c>
      <c r="M120" t="n">
        <v>95</v>
      </c>
      <c r="N120" s="21" t="n">
        <v>45516</v>
      </c>
    </row>
    <row r="121">
      <c r="A121" t="inlineStr">
        <is>
          <t>GESHIP</t>
        </is>
      </c>
      <c r="B121" t="n">
        <v>-16.59674490241605</v>
      </c>
      <c r="C121" t="n">
        <v>-3.702761812725699</v>
      </c>
      <c r="D121" s="21" t="n">
        <v>45656</v>
      </c>
      <c r="E121" t="n">
        <v>985.3</v>
      </c>
      <c r="F121" t="n">
        <v>985.45</v>
      </c>
      <c r="G121" t="n">
        <v>941</v>
      </c>
      <c r="H121" t="n">
        <v>946.65</v>
      </c>
      <c r="I121" t="n">
        <v>464400</v>
      </c>
      <c r="J121" t="n">
        <v>556812.8</v>
      </c>
      <c r="K121" t="inlineStr"/>
      <c r="L121" t="inlineStr">
        <is>
          <t>Bear</t>
        </is>
      </c>
      <c r="M121" t="n">
        <v>33</v>
      </c>
      <c r="N121" s="21" t="n">
        <v>45604</v>
      </c>
    </row>
    <row r="122">
      <c r="A122" t="inlineStr">
        <is>
          <t>GHCL</t>
        </is>
      </c>
      <c r="B122" t="n">
        <v>-74.19677967869124</v>
      </c>
      <c r="C122" t="n">
        <v>-0.8169573857363756</v>
      </c>
      <c r="D122" s="21" t="n">
        <v>45656</v>
      </c>
      <c r="E122" t="n">
        <v>681.45</v>
      </c>
      <c r="F122" t="n">
        <v>685</v>
      </c>
      <c r="G122" t="n">
        <v>664.9</v>
      </c>
      <c r="H122" t="n">
        <v>673.8</v>
      </c>
      <c r="I122" t="n">
        <v>131270</v>
      </c>
      <c r="J122" t="n">
        <v>508734.95</v>
      </c>
      <c r="K122" t="inlineStr"/>
      <c r="L122" t="inlineStr">
        <is>
          <t>Bull</t>
        </is>
      </c>
      <c r="M122" t="n">
        <v>15</v>
      </c>
      <c r="N122" s="21" t="n">
        <v>45632</v>
      </c>
    </row>
    <row r="123">
      <c r="A123" t="inlineStr">
        <is>
          <t>GLAND</t>
        </is>
      </c>
      <c r="B123" t="n">
        <v>-48.46718436632318</v>
      </c>
      <c r="C123" t="n">
        <v>-1.444232734101018</v>
      </c>
      <c r="D123" s="21" t="n">
        <v>45656</v>
      </c>
      <c r="E123" t="n">
        <v>1810.65</v>
      </c>
      <c r="F123" t="n">
        <v>1819.85</v>
      </c>
      <c r="G123" t="n">
        <v>1773.9</v>
      </c>
      <c r="H123" t="n">
        <v>1784.5</v>
      </c>
      <c r="I123" t="n">
        <v>88224</v>
      </c>
      <c r="J123" t="n">
        <v>171199.65</v>
      </c>
      <c r="K123" t="inlineStr"/>
      <c r="L123" t="inlineStr">
        <is>
          <t>Bull</t>
        </is>
      </c>
      <c r="M123" t="n">
        <v>16</v>
      </c>
      <c r="N123" s="21" t="n">
        <v>45631</v>
      </c>
    </row>
    <row r="124">
      <c r="A124" t="inlineStr">
        <is>
          <t>GLAXO</t>
        </is>
      </c>
      <c r="B124" t="n">
        <v>170.4743800861304</v>
      </c>
      <c r="C124" t="n">
        <v>-3.811910571786578</v>
      </c>
      <c r="D124" s="21" t="n">
        <v>45656</v>
      </c>
      <c r="E124" t="n">
        <v>2274.45</v>
      </c>
      <c r="F124" t="n">
        <v>2280.15</v>
      </c>
      <c r="G124" t="n">
        <v>2162.75</v>
      </c>
      <c r="H124" t="n">
        <v>2187.75</v>
      </c>
      <c r="I124" t="n">
        <v>220260</v>
      </c>
      <c r="J124" t="n">
        <v>81434.7</v>
      </c>
      <c r="K124" t="inlineStr"/>
      <c r="L124" t="inlineStr">
        <is>
          <t>Bear</t>
        </is>
      </c>
      <c r="M124" t="n">
        <v>57</v>
      </c>
      <c r="N124" s="21" t="n">
        <v>45572</v>
      </c>
    </row>
    <row r="125">
      <c r="A125" t="inlineStr">
        <is>
          <t>MEDANTA</t>
        </is>
      </c>
      <c r="B125" t="n">
        <v>-65.87752768378519</v>
      </c>
      <c r="C125" t="n">
        <v>-1.105099046221587</v>
      </c>
      <c r="D125" s="21" t="n">
        <v>45656</v>
      </c>
      <c r="E125" t="n">
        <v>1087.05</v>
      </c>
      <c r="F125" t="n">
        <v>1091.45</v>
      </c>
      <c r="G125" t="n">
        <v>1074.55</v>
      </c>
      <c r="H125" t="n">
        <v>1078.35</v>
      </c>
      <c r="I125" t="n">
        <v>139773</v>
      </c>
      <c r="J125" t="n">
        <v>409621.55</v>
      </c>
      <c r="K125" t="inlineStr"/>
      <c r="L125" t="inlineStr">
        <is>
          <t>Bull</t>
        </is>
      </c>
      <c r="M125" t="n">
        <v>19</v>
      </c>
      <c r="N125" s="21" t="n">
        <v>45628</v>
      </c>
    </row>
    <row r="126">
      <c r="A126" t="inlineStr">
        <is>
          <t>GMMPFAUDLR</t>
        </is>
      </c>
      <c r="B126" t="n">
        <v>-41.57594795351551</v>
      </c>
      <c r="C126" t="n">
        <v>-0.2646725202705618</v>
      </c>
      <c r="D126" s="21" t="n">
        <v>45656</v>
      </c>
      <c r="E126" t="n">
        <v>1191.05</v>
      </c>
      <c r="F126" t="n">
        <v>1207</v>
      </c>
      <c r="G126" t="n">
        <v>1182</v>
      </c>
      <c r="H126" t="n">
        <v>1187</v>
      </c>
      <c r="I126" t="n">
        <v>40546</v>
      </c>
      <c r="J126" t="n">
        <v>69399.5</v>
      </c>
      <c r="K126" t="inlineStr"/>
      <c r="L126" t="inlineStr">
        <is>
          <t>Bear</t>
        </is>
      </c>
      <c r="M126" t="n">
        <v>41</v>
      </c>
      <c r="N126" s="21" t="n">
        <v>45594</v>
      </c>
    </row>
    <row r="127">
      <c r="A127" t="inlineStr">
        <is>
          <t>GPIL</t>
        </is>
      </c>
      <c r="B127" t="n">
        <v>-20.95168322172741</v>
      </c>
      <c r="C127" t="n">
        <v>-3.944382754791671</v>
      </c>
      <c r="D127" s="21" t="n">
        <v>45656</v>
      </c>
      <c r="E127" t="n">
        <v>206</v>
      </c>
      <c r="F127" t="n">
        <v>209.01</v>
      </c>
      <c r="G127" t="n">
        <v>197.5</v>
      </c>
      <c r="H127" t="n">
        <v>198.96</v>
      </c>
      <c r="I127" t="n">
        <v>2963541</v>
      </c>
      <c r="J127" t="n">
        <v>3749024.8</v>
      </c>
      <c r="K127" t="inlineStr"/>
      <c r="L127" t="inlineStr">
        <is>
          <t>Bull</t>
        </is>
      </c>
      <c r="M127" t="n">
        <v>16</v>
      </c>
      <c r="N127" s="21" t="n">
        <v>45631</v>
      </c>
    </row>
    <row r="128">
      <c r="A128" t="inlineStr">
        <is>
          <t>GODFRYPHLP</t>
        </is>
      </c>
      <c r="B128" t="n">
        <v>199.997035390499</v>
      </c>
      <c r="C128" t="n">
        <v>-8.461217047785459</v>
      </c>
      <c r="D128" s="21" t="n">
        <v>45656</v>
      </c>
      <c r="E128" t="n">
        <v>5265.15</v>
      </c>
      <c r="F128" t="n">
        <v>5320</v>
      </c>
      <c r="G128" t="n">
        <v>4712.35</v>
      </c>
      <c r="H128" t="n">
        <v>4819.7</v>
      </c>
      <c r="I128" t="n">
        <v>237803</v>
      </c>
      <c r="J128" t="n">
        <v>79268.45</v>
      </c>
      <c r="K128" t="inlineStr"/>
      <c r="L128" t="inlineStr">
        <is>
          <t>Bear</t>
        </is>
      </c>
      <c r="M128" t="n">
        <v>26</v>
      </c>
      <c r="N128" s="21" t="n">
        <v>45617</v>
      </c>
    </row>
    <row r="129">
      <c r="A129" t="inlineStr">
        <is>
          <t>GOLDIAM</t>
        </is>
      </c>
      <c r="B129" t="n">
        <v>-24.24443432284807</v>
      </c>
      <c r="C129" t="n">
        <v>-4.217635066258908</v>
      </c>
      <c r="D129" s="21" t="n">
        <v>45656</v>
      </c>
      <c r="E129" t="n">
        <v>390.2</v>
      </c>
      <c r="F129" t="n">
        <v>391</v>
      </c>
      <c r="G129" t="n">
        <v>374</v>
      </c>
      <c r="H129" t="n">
        <v>375.85</v>
      </c>
      <c r="I129" t="n">
        <v>917356</v>
      </c>
      <c r="J129" t="n">
        <v>1210942.05</v>
      </c>
      <c r="K129" t="inlineStr"/>
      <c r="L129" t="inlineStr">
        <is>
          <t>Bull</t>
        </is>
      </c>
      <c r="M129" t="n">
        <v>15</v>
      </c>
      <c r="N129" s="21" t="n">
        <v>45632</v>
      </c>
    </row>
    <row r="130">
      <c r="A130" t="inlineStr">
        <is>
          <t>GRANULES</t>
        </is>
      </c>
      <c r="B130" t="n">
        <v>-75.17559407757257</v>
      </c>
      <c r="C130" t="n">
        <v>-0.3669881368951058</v>
      </c>
      <c r="D130" s="21" t="n">
        <v>45656</v>
      </c>
      <c r="E130" t="n">
        <v>588</v>
      </c>
      <c r="F130" t="n">
        <v>591.35</v>
      </c>
      <c r="G130" t="n">
        <v>576.75</v>
      </c>
      <c r="H130" t="n">
        <v>583.7</v>
      </c>
      <c r="I130" t="n">
        <v>907832</v>
      </c>
      <c r="J130" t="n">
        <v>3657014</v>
      </c>
      <c r="K130" t="inlineStr"/>
      <c r="L130" t="inlineStr">
        <is>
          <t>Bull</t>
        </is>
      </c>
      <c r="M130" t="n">
        <v>10</v>
      </c>
      <c r="N130" s="21" t="n">
        <v>45639</v>
      </c>
    </row>
    <row r="131">
      <c r="A131" t="inlineStr">
        <is>
          <t>GREENLAM</t>
        </is>
      </c>
      <c r="B131" t="n">
        <v>932.700675444524</v>
      </c>
      <c r="C131" t="n">
        <v>8.063071134205339</v>
      </c>
      <c r="D131" s="21" t="n">
        <v>45656</v>
      </c>
      <c r="E131" t="n">
        <v>558.1</v>
      </c>
      <c r="F131" t="n">
        <v>624</v>
      </c>
      <c r="G131" t="n">
        <v>549.8</v>
      </c>
      <c r="H131" t="n">
        <v>603.1</v>
      </c>
      <c r="I131" t="n">
        <v>365259</v>
      </c>
      <c r="J131" t="n">
        <v>35369.3</v>
      </c>
      <c r="K131" t="inlineStr"/>
      <c r="L131" t="inlineStr">
        <is>
          <t>Bull</t>
        </is>
      </c>
      <c r="M131" t="n">
        <v>20</v>
      </c>
      <c r="N131" s="21" t="n">
        <v>45625</v>
      </c>
    </row>
    <row r="132">
      <c r="A132" t="inlineStr">
        <is>
          <t>GREENPANEL</t>
        </is>
      </c>
      <c r="B132" t="n">
        <v>-12.92471709597538</v>
      </c>
      <c r="C132" t="n">
        <v>3.220166108115988</v>
      </c>
      <c r="D132" s="21" t="n">
        <v>45656</v>
      </c>
      <c r="E132" t="n">
        <v>347.6</v>
      </c>
      <c r="F132" t="n">
        <v>363.8</v>
      </c>
      <c r="G132" t="n">
        <v>341.5</v>
      </c>
      <c r="H132" t="n">
        <v>354.2</v>
      </c>
      <c r="I132" t="n">
        <v>229108</v>
      </c>
      <c r="J132" t="n">
        <v>263114.85</v>
      </c>
      <c r="K132" t="inlineStr"/>
      <c r="L132" t="inlineStr">
        <is>
          <t>Bear</t>
        </is>
      </c>
      <c r="M132" t="n">
        <v>1</v>
      </c>
      <c r="N132" s="21" t="n">
        <v>45653</v>
      </c>
    </row>
    <row r="133">
      <c r="A133" t="inlineStr">
        <is>
          <t>GPPL</t>
        </is>
      </c>
      <c r="B133" t="n">
        <v>-29.5714799975421</v>
      </c>
      <c r="C133" t="n">
        <v>-0.9960491903622616</v>
      </c>
      <c r="D133" s="21" t="n">
        <v>45656</v>
      </c>
      <c r="E133" t="n">
        <v>179.71</v>
      </c>
      <c r="F133" t="n">
        <v>183.4</v>
      </c>
      <c r="G133" t="n">
        <v>177.2</v>
      </c>
      <c r="H133" t="n">
        <v>177.92</v>
      </c>
      <c r="I133" t="n">
        <v>797152</v>
      </c>
      <c r="J133" t="n">
        <v>1131859.65</v>
      </c>
      <c r="K133" t="inlineStr"/>
      <c r="L133" t="inlineStr">
        <is>
          <t>Bear</t>
        </is>
      </c>
      <c r="M133" t="n">
        <v>62</v>
      </c>
      <c r="N133" s="21" t="n">
        <v>45562</v>
      </c>
    </row>
    <row r="134">
      <c r="A134" t="inlineStr">
        <is>
          <t>GSPL</t>
        </is>
      </c>
      <c r="B134" t="n">
        <v>27.00083415306385</v>
      </c>
      <c r="C134" t="n">
        <v>-0.698616738857063</v>
      </c>
      <c r="D134" s="21" t="n">
        <v>45656</v>
      </c>
      <c r="E134" t="n">
        <v>351.1</v>
      </c>
      <c r="F134" t="n">
        <v>363.65</v>
      </c>
      <c r="G134" t="n">
        <v>351.1</v>
      </c>
      <c r="H134" t="n">
        <v>355.35</v>
      </c>
      <c r="I134" t="n">
        <v>862960</v>
      </c>
      <c r="J134" t="n">
        <v>679491.6</v>
      </c>
      <c r="K134" t="inlineStr"/>
      <c r="L134" t="inlineStr">
        <is>
          <t>Bear</t>
        </is>
      </c>
      <c r="M134" t="n">
        <v>35</v>
      </c>
      <c r="N134" s="21" t="n">
        <v>45602</v>
      </c>
    </row>
    <row r="135">
      <c r="A135" t="inlineStr">
        <is>
          <t>GUJGASLTD</t>
        </is>
      </c>
      <c r="B135" t="n">
        <v>76.08459051689806</v>
      </c>
      <c r="C135" t="n">
        <v>-0.9347653142402523</v>
      </c>
      <c r="D135" s="21" t="n">
        <v>45656</v>
      </c>
      <c r="E135" t="n">
        <v>496.3</v>
      </c>
      <c r="F135" t="n">
        <v>507</v>
      </c>
      <c r="G135" t="n">
        <v>494.75</v>
      </c>
      <c r="H135" t="n">
        <v>498.1</v>
      </c>
      <c r="I135" t="n">
        <v>1243588</v>
      </c>
      <c r="J135" t="n">
        <v>706244.65</v>
      </c>
      <c r="K135" t="inlineStr"/>
      <c r="L135" t="inlineStr">
        <is>
          <t>Bear</t>
        </is>
      </c>
      <c r="M135" t="n">
        <v>63</v>
      </c>
      <c r="N135" s="21" t="n">
        <v>45561</v>
      </c>
    </row>
    <row r="136">
      <c r="A136" t="inlineStr">
        <is>
          <t>GULFOILLUB</t>
        </is>
      </c>
      <c r="B136" t="n">
        <v>-51.05017491818445</v>
      </c>
      <c r="C136" t="n">
        <v>-0.2811311394079784</v>
      </c>
      <c r="D136" s="21" t="n">
        <v>45656</v>
      </c>
      <c r="E136" t="n">
        <v>1214</v>
      </c>
      <c r="F136" t="n">
        <v>1221.05</v>
      </c>
      <c r="G136" t="n">
        <v>1182.8</v>
      </c>
      <c r="H136" t="n">
        <v>1206</v>
      </c>
      <c r="I136" t="n">
        <v>77195</v>
      </c>
      <c r="J136" t="n">
        <v>157702.3</v>
      </c>
      <c r="K136" t="inlineStr"/>
      <c r="L136" t="inlineStr">
        <is>
          <t>Bear</t>
        </is>
      </c>
      <c r="M136" t="n">
        <v>47</v>
      </c>
      <c r="N136" s="21" t="n">
        <v>45586</v>
      </c>
    </row>
    <row r="137">
      <c r="A137" t="inlineStr">
        <is>
          <t>HUDCO</t>
        </is>
      </c>
      <c r="B137" t="n">
        <v>-28.72255959054554</v>
      </c>
      <c r="C137" t="n">
        <v>-0.5904644399400738</v>
      </c>
      <c r="D137" s="21" t="n">
        <v>45656</v>
      </c>
      <c r="E137" t="n">
        <v>226</v>
      </c>
      <c r="F137" t="n">
        <v>230.75</v>
      </c>
      <c r="G137" t="n">
        <v>224.5</v>
      </c>
      <c r="H137" t="n">
        <v>225.6</v>
      </c>
      <c r="I137" t="n">
        <v>4788427</v>
      </c>
      <c r="J137" t="n">
        <v>6718012</v>
      </c>
      <c r="K137" t="inlineStr"/>
      <c r="L137" t="inlineStr">
        <is>
          <t>Bull</t>
        </is>
      </c>
      <c r="M137" t="n">
        <v>14</v>
      </c>
      <c r="N137" s="21" t="n">
        <v>45635</v>
      </c>
    </row>
    <row r="138">
      <c r="A138" t="inlineStr">
        <is>
          <t>HGINFRA</t>
        </is>
      </c>
      <c r="B138" t="n">
        <v>-3.022820468383203</v>
      </c>
      <c r="C138" t="n">
        <v>0.1504262075881665</v>
      </c>
      <c r="D138" s="21" t="n">
        <v>45656</v>
      </c>
      <c r="E138" t="n">
        <v>1495.75</v>
      </c>
      <c r="F138" t="n">
        <v>1536</v>
      </c>
      <c r="G138" t="n">
        <v>1484.4</v>
      </c>
      <c r="H138" t="n">
        <v>1498</v>
      </c>
      <c r="I138" t="n">
        <v>169271</v>
      </c>
      <c r="J138" t="n">
        <v>174547.25</v>
      </c>
      <c r="K138" t="inlineStr"/>
      <c r="L138" t="inlineStr">
        <is>
          <t>Bull</t>
        </is>
      </c>
      <c r="M138" t="n">
        <v>11</v>
      </c>
      <c r="N138" s="21" t="n">
        <v>45638</v>
      </c>
    </row>
    <row r="139">
      <c r="A139" t="inlineStr">
        <is>
          <t>HDFCAMC</t>
        </is>
      </c>
      <c r="B139" t="n">
        <v>60.55306620633084</v>
      </c>
      <c r="C139" t="n">
        <v>0.05395134995658728</v>
      </c>
      <c r="D139" s="21" t="n">
        <v>45656</v>
      </c>
      <c r="E139" t="n">
        <v>4249</v>
      </c>
      <c r="F139" t="n">
        <v>4298.95</v>
      </c>
      <c r="G139" t="n">
        <v>4177.75</v>
      </c>
      <c r="H139" t="n">
        <v>4265.4</v>
      </c>
      <c r="I139" t="n">
        <v>513209</v>
      </c>
      <c r="J139" t="n">
        <v>319650.7</v>
      </c>
      <c r="K139" t="inlineStr"/>
      <c r="L139" t="inlineStr">
        <is>
          <t>Bear</t>
        </is>
      </c>
      <c r="M139" t="n">
        <v>3</v>
      </c>
      <c r="N139" s="21" t="n">
        <v>45650</v>
      </c>
    </row>
    <row r="140">
      <c r="A140" t="inlineStr">
        <is>
          <t>HDFCBANK</t>
        </is>
      </c>
      <c r="B140" t="n">
        <v>4.46370459890908</v>
      </c>
      <c r="C140" t="n">
        <v>-1.131655776449321</v>
      </c>
      <c r="D140" s="21" t="n">
        <v>45656</v>
      </c>
      <c r="E140" t="n">
        <v>1792.2</v>
      </c>
      <c r="F140" t="n">
        <v>1815</v>
      </c>
      <c r="G140" t="n">
        <v>1771</v>
      </c>
      <c r="H140" t="n">
        <v>1777.9</v>
      </c>
      <c r="I140" t="n">
        <v>11111109</v>
      </c>
      <c r="J140" t="n">
        <v>10636334.45</v>
      </c>
      <c r="K140" t="inlineStr"/>
      <c r="L140" t="inlineStr">
        <is>
          <t>Bull</t>
        </is>
      </c>
      <c r="M140" t="n">
        <v>147</v>
      </c>
      <c r="N140" s="21" t="n">
        <v>45440</v>
      </c>
    </row>
    <row r="141">
      <c r="A141" t="inlineStr">
        <is>
          <t>HEROMOTOCO</t>
        </is>
      </c>
      <c r="B141" t="n">
        <v>155.7003707162226</v>
      </c>
      <c r="C141" t="n">
        <v>-1.18807442277515</v>
      </c>
      <c r="D141" s="21" t="n">
        <v>45656</v>
      </c>
      <c r="E141" t="n">
        <v>4252.75</v>
      </c>
      <c r="F141" t="n">
        <v>4274</v>
      </c>
      <c r="G141" t="n">
        <v>4168.25</v>
      </c>
      <c r="H141" t="n">
        <v>4187.6</v>
      </c>
      <c r="I141" t="n">
        <v>1819173</v>
      </c>
      <c r="J141" t="n">
        <v>711447.15</v>
      </c>
      <c r="K141" t="inlineStr"/>
      <c r="L141" t="inlineStr">
        <is>
          <t>Bear</t>
        </is>
      </c>
      <c r="M141" t="n">
        <v>49</v>
      </c>
      <c r="N141" s="21" t="n">
        <v>45582</v>
      </c>
    </row>
    <row r="142">
      <c r="A142" t="inlineStr">
        <is>
          <t>HINDUNILVR</t>
        </is>
      </c>
      <c r="B142" t="n">
        <v>-42.8932275197696</v>
      </c>
      <c r="C142" t="n">
        <v>0.09610250934329952</v>
      </c>
      <c r="D142" s="21" t="n">
        <v>45656</v>
      </c>
      <c r="E142" t="n">
        <v>2341.5</v>
      </c>
      <c r="F142" t="n">
        <v>2359.15</v>
      </c>
      <c r="G142" t="n">
        <v>2325</v>
      </c>
      <c r="H142" t="n">
        <v>2343.5</v>
      </c>
      <c r="I142" t="n">
        <v>924180</v>
      </c>
      <c r="J142" t="n">
        <v>1618336.95</v>
      </c>
      <c r="K142" t="inlineStr"/>
      <c r="L142" t="inlineStr">
        <is>
          <t>Bear</t>
        </is>
      </c>
      <c r="M142" t="n">
        <v>47</v>
      </c>
      <c r="N142" s="21" t="n">
        <v>45586</v>
      </c>
    </row>
    <row r="143">
      <c r="A143" t="inlineStr">
        <is>
          <t>HAL</t>
        </is>
      </c>
      <c r="B143" t="n">
        <v>142.3342893905334</v>
      </c>
      <c r="C143" t="n">
        <v>-3.59762363140303</v>
      </c>
      <c r="D143" s="21" t="n">
        <v>45656</v>
      </c>
      <c r="E143" t="n">
        <v>4239</v>
      </c>
      <c r="F143" t="n">
        <v>4250</v>
      </c>
      <c r="G143" t="n">
        <v>4050</v>
      </c>
      <c r="H143" t="n">
        <v>4081.05</v>
      </c>
      <c r="I143" t="n">
        <v>3291426</v>
      </c>
      <c r="J143" t="n">
        <v>1358217.2</v>
      </c>
      <c r="K143" t="inlineStr"/>
      <c r="L143" t="inlineStr">
        <is>
          <t>Bear</t>
        </is>
      </c>
      <c r="M143" t="n">
        <v>2</v>
      </c>
      <c r="N143" s="21" t="n">
        <v>45652</v>
      </c>
    </row>
    <row r="144">
      <c r="A144" t="inlineStr">
        <is>
          <t>HINDOILEXP</t>
        </is>
      </c>
      <c r="B144" t="n">
        <v>-16.8366338779127</v>
      </c>
      <c r="C144" t="n">
        <v>-1.514986376021799</v>
      </c>
      <c r="D144" s="21" t="n">
        <v>45656</v>
      </c>
      <c r="E144" t="n">
        <v>183.37</v>
      </c>
      <c r="F144" t="n">
        <v>184.29</v>
      </c>
      <c r="G144" t="n">
        <v>179.1</v>
      </c>
      <c r="H144" t="n">
        <v>180.72</v>
      </c>
      <c r="I144" t="n">
        <v>492206</v>
      </c>
      <c r="J144" t="n">
        <v>591854.35</v>
      </c>
      <c r="K144" t="inlineStr"/>
      <c r="L144" t="inlineStr">
        <is>
          <t>Bear</t>
        </is>
      </c>
      <c r="M144" t="n">
        <v>64</v>
      </c>
      <c r="N144" s="21" t="n">
        <v>45560</v>
      </c>
    </row>
    <row r="145">
      <c r="A145" t="inlineStr">
        <is>
          <t>HINDALCO</t>
        </is>
      </c>
      <c r="B145" t="n">
        <v>87.98696723977886</v>
      </c>
      <c r="C145" t="n">
        <v>-2.640103660511817</v>
      </c>
      <c r="D145" s="21" t="n">
        <v>45656</v>
      </c>
      <c r="E145" t="n">
        <v>615.4</v>
      </c>
      <c r="F145" t="n">
        <v>620.3</v>
      </c>
      <c r="G145" t="n">
        <v>599.15</v>
      </c>
      <c r="H145" t="n">
        <v>601.1</v>
      </c>
      <c r="I145" t="n">
        <v>8023050</v>
      </c>
      <c r="J145" t="n">
        <v>4267875.65</v>
      </c>
      <c r="K145" t="inlineStr"/>
      <c r="L145" t="inlineStr">
        <is>
          <t>Bear</t>
        </is>
      </c>
      <c r="M145" t="n">
        <v>34</v>
      </c>
      <c r="N145" s="21" t="n">
        <v>45603</v>
      </c>
    </row>
    <row r="146">
      <c r="A146" t="inlineStr">
        <is>
          <t>HLEGLAS</t>
        </is>
      </c>
      <c r="B146" t="n">
        <v>-37.46211818375012</v>
      </c>
      <c r="C146" t="n">
        <v>-1.331002957784348</v>
      </c>
      <c r="D146" s="21" t="n">
        <v>45656</v>
      </c>
      <c r="E146" t="n">
        <v>370</v>
      </c>
      <c r="F146" t="n">
        <v>373</v>
      </c>
      <c r="G146" t="n">
        <v>363.35</v>
      </c>
      <c r="H146" t="n">
        <v>366.95</v>
      </c>
      <c r="I146" t="n">
        <v>45760</v>
      </c>
      <c r="J146" t="n">
        <v>73171.64999999999</v>
      </c>
      <c r="K146" t="inlineStr"/>
      <c r="L146" t="inlineStr">
        <is>
          <t>Bear</t>
        </is>
      </c>
      <c r="M146" t="n">
        <v>2</v>
      </c>
      <c r="N146" s="21" t="n">
        <v>45652</v>
      </c>
    </row>
    <row r="147">
      <c r="A147" t="inlineStr">
        <is>
          <t>ICICIBANK</t>
        </is>
      </c>
      <c r="B147" t="n">
        <v>15.71107020880666</v>
      </c>
      <c r="C147" t="n">
        <v>-0.9865779511299655</v>
      </c>
      <c r="D147" s="21" t="n">
        <v>45656</v>
      </c>
      <c r="E147" t="n">
        <v>1304.95</v>
      </c>
      <c r="F147" t="n">
        <v>1326.5</v>
      </c>
      <c r="G147" t="n">
        <v>1289.45</v>
      </c>
      <c r="H147" t="n">
        <v>1294.65</v>
      </c>
      <c r="I147" t="n">
        <v>14207425</v>
      </c>
      <c r="J147" t="n">
        <v>12278362.8</v>
      </c>
      <c r="K147" t="inlineStr"/>
      <c r="L147" t="inlineStr">
        <is>
          <t>Bull</t>
        </is>
      </c>
      <c r="M147" t="n">
        <v>227</v>
      </c>
      <c r="N147" s="21" t="n">
        <v>45321</v>
      </c>
    </row>
    <row r="148">
      <c r="A148" t="inlineStr">
        <is>
          <t>INDIAMART</t>
        </is>
      </c>
      <c r="B148" t="n">
        <v>150.0140287724928</v>
      </c>
      <c r="C148" t="n">
        <v>0.5517760985662806</v>
      </c>
      <c r="D148" s="21" t="n">
        <v>45656</v>
      </c>
      <c r="E148" t="n">
        <v>2262</v>
      </c>
      <c r="F148" t="n">
        <v>2282</v>
      </c>
      <c r="G148" t="n">
        <v>2244</v>
      </c>
      <c r="H148" t="n">
        <v>2268.8</v>
      </c>
      <c r="I148" t="n">
        <v>481181</v>
      </c>
      <c r="J148" t="n">
        <v>192461.6</v>
      </c>
      <c r="K148" t="inlineStr"/>
      <c r="L148" t="inlineStr">
        <is>
          <t>Bear</t>
        </is>
      </c>
      <c r="M148" t="n">
        <v>46</v>
      </c>
      <c r="N148" s="21" t="n">
        <v>45587</v>
      </c>
    </row>
    <row r="149">
      <c r="A149" t="inlineStr">
        <is>
          <t>INDIANB</t>
        </is>
      </c>
      <c r="B149" t="n">
        <v>60.92390372484662</v>
      </c>
      <c r="C149" t="n">
        <v>-2.969663742690058</v>
      </c>
      <c r="D149" s="21" t="n">
        <v>45656</v>
      </c>
      <c r="E149" t="n">
        <v>546.75</v>
      </c>
      <c r="F149" t="n">
        <v>564</v>
      </c>
      <c r="G149" t="n">
        <v>528.2</v>
      </c>
      <c r="H149" t="n">
        <v>530.95</v>
      </c>
      <c r="I149" t="n">
        <v>2635407</v>
      </c>
      <c r="J149" t="n">
        <v>1637672.8</v>
      </c>
      <c r="K149" t="inlineStr"/>
      <c r="L149" t="inlineStr">
        <is>
          <t>Bear</t>
        </is>
      </c>
      <c r="M149" t="n">
        <v>0</v>
      </c>
      <c r="N149" s="21" t="n">
        <v>45656</v>
      </c>
    </row>
    <row r="150">
      <c r="A150" t="inlineStr">
        <is>
          <t>INDHOTEL</t>
        </is>
      </c>
      <c r="B150" t="n">
        <v>366.2488302849398</v>
      </c>
      <c r="C150" t="n">
        <v>3.375551940506618</v>
      </c>
      <c r="D150" s="21" t="n">
        <v>45656</v>
      </c>
      <c r="E150" t="n">
        <v>860.6</v>
      </c>
      <c r="F150" t="n">
        <v>894.9</v>
      </c>
      <c r="G150" t="n">
        <v>856</v>
      </c>
      <c r="H150" t="n">
        <v>889.65</v>
      </c>
      <c r="I150" t="n">
        <v>15311485</v>
      </c>
      <c r="J150" t="n">
        <v>3283972.85</v>
      </c>
      <c r="K150" t="inlineStr"/>
      <c r="L150" t="inlineStr">
        <is>
          <t>Bull</t>
        </is>
      </c>
      <c r="M150" t="n">
        <v>137</v>
      </c>
      <c r="N150" s="21" t="n">
        <v>45454</v>
      </c>
    </row>
    <row r="151">
      <c r="A151" t="inlineStr">
        <is>
          <t>IMFA</t>
        </is>
      </c>
      <c r="B151" t="n">
        <v>-53.28306979592817</v>
      </c>
      <c r="C151" t="n">
        <v>-1.478502572594476</v>
      </c>
      <c r="D151" s="21" t="n">
        <v>45656</v>
      </c>
      <c r="E151" t="n">
        <v>840.4</v>
      </c>
      <c r="F151" t="n">
        <v>863.9</v>
      </c>
      <c r="G151" t="n">
        <v>826</v>
      </c>
      <c r="H151" t="n">
        <v>832.95</v>
      </c>
      <c r="I151" t="n">
        <v>76812</v>
      </c>
      <c r="J151" t="n">
        <v>164420.05</v>
      </c>
      <c r="K151" t="inlineStr"/>
      <c r="L151" t="inlineStr">
        <is>
          <t>Bull</t>
        </is>
      </c>
      <c r="M151" t="n">
        <v>34</v>
      </c>
      <c r="N151" s="21" t="n">
        <v>45603</v>
      </c>
    </row>
    <row r="152">
      <c r="A152" t="inlineStr">
        <is>
          <t>ICIL</t>
        </is>
      </c>
      <c r="B152" t="n">
        <v>-36.82188855668709</v>
      </c>
      <c r="C152" t="n">
        <v>1.260181343168884</v>
      </c>
      <c r="D152" s="21" t="n">
        <v>45656</v>
      </c>
      <c r="E152" t="n">
        <v>326</v>
      </c>
      <c r="F152" t="n">
        <v>333.5</v>
      </c>
      <c r="G152" t="n">
        <v>318.25</v>
      </c>
      <c r="H152" t="n">
        <v>329.45</v>
      </c>
      <c r="I152" t="n">
        <v>448888</v>
      </c>
      <c r="J152" t="n">
        <v>710511.9</v>
      </c>
      <c r="K152" t="inlineStr"/>
      <c r="L152" t="inlineStr">
        <is>
          <t>Bear</t>
        </is>
      </c>
      <c r="M152" t="n">
        <v>1</v>
      </c>
      <c r="N152" s="21" t="n">
        <v>45653</v>
      </c>
    </row>
    <row r="153">
      <c r="A153" t="inlineStr">
        <is>
          <t>IGL</t>
        </is>
      </c>
      <c r="B153" t="n">
        <v>-18.30966162409536</v>
      </c>
      <c r="C153" t="n">
        <v>4.409125865162776</v>
      </c>
      <c r="D153" s="21" t="n">
        <v>45656</v>
      </c>
      <c r="E153" t="n">
        <v>390.2</v>
      </c>
      <c r="F153" t="n">
        <v>410.05</v>
      </c>
      <c r="G153" t="n">
        <v>389.1</v>
      </c>
      <c r="H153" t="n">
        <v>407.3</v>
      </c>
      <c r="I153" t="n">
        <v>5416437</v>
      </c>
      <c r="J153" t="n">
        <v>6630449.95</v>
      </c>
      <c r="K153" t="inlineStr"/>
      <c r="L153" t="inlineStr">
        <is>
          <t>Bear</t>
        </is>
      </c>
      <c r="M153" t="n">
        <v>49</v>
      </c>
      <c r="N153" s="21" t="n">
        <v>45582</v>
      </c>
    </row>
    <row r="154">
      <c r="A154" t="inlineStr">
        <is>
          <t>INDUSTOWER</t>
        </is>
      </c>
      <c r="B154" t="n">
        <v>64.62623334574799</v>
      </c>
      <c r="C154" t="n">
        <v>3.186162949476559</v>
      </c>
      <c r="D154" s="21" t="n">
        <v>45656</v>
      </c>
      <c r="E154" t="n">
        <v>331.9</v>
      </c>
      <c r="F154" t="n">
        <v>342.55</v>
      </c>
      <c r="G154" t="n">
        <v>329.65</v>
      </c>
      <c r="H154" t="n">
        <v>340.05</v>
      </c>
      <c r="I154" t="n">
        <v>17505371</v>
      </c>
      <c r="J154" t="n">
        <v>10633403.1</v>
      </c>
      <c r="K154" t="inlineStr"/>
      <c r="L154" t="inlineStr">
        <is>
          <t>Bear</t>
        </is>
      </c>
      <c r="M154" t="n">
        <v>62</v>
      </c>
      <c r="N154" s="21" t="n">
        <v>45562</v>
      </c>
    </row>
    <row r="155">
      <c r="A155" t="inlineStr">
        <is>
          <t>IOLCP</t>
        </is>
      </c>
      <c r="B155" t="n">
        <v>71.63920646969343</v>
      </c>
      <c r="C155" t="n">
        <v>1.622346913881443</v>
      </c>
      <c r="D155" s="21" t="n">
        <v>45656</v>
      </c>
      <c r="E155" t="n">
        <v>415</v>
      </c>
      <c r="F155" t="n">
        <v>431.95</v>
      </c>
      <c r="G155" t="n">
        <v>415</v>
      </c>
      <c r="H155" t="n">
        <v>416.55</v>
      </c>
      <c r="I155" t="n">
        <v>1270445</v>
      </c>
      <c r="J155" t="n">
        <v>740183.45</v>
      </c>
      <c r="K155" t="inlineStr"/>
      <c r="L155" t="inlineStr">
        <is>
          <t>Bull</t>
        </is>
      </c>
      <c r="M155" t="n">
        <v>5</v>
      </c>
      <c r="N155" s="21" t="n">
        <v>45646</v>
      </c>
    </row>
    <row r="156">
      <c r="A156" t="inlineStr">
        <is>
          <t>IONEXCHANG</t>
        </is>
      </c>
      <c r="B156" t="n">
        <v>-70.62308324502919</v>
      </c>
      <c r="C156" t="n">
        <v>-1.703107019562719</v>
      </c>
      <c r="D156" s="21" t="n">
        <v>45656</v>
      </c>
      <c r="E156" t="n">
        <v>654.3</v>
      </c>
      <c r="F156" t="n">
        <v>655</v>
      </c>
      <c r="G156" t="n">
        <v>639.7</v>
      </c>
      <c r="H156" t="n">
        <v>640.65</v>
      </c>
      <c r="I156" t="n">
        <v>123909</v>
      </c>
      <c r="J156" t="n">
        <v>421790.35</v>
      </c>
      <c r="K156" t="inlineStr"/>
      <c r="L156" t="inlineStr">
        <is>
          <t>Bull</t>
        </is>
      </c>
      <c r="M156" t="n">
        <v>18</v>
      </c>
      <c r="N156" s="21" t="n">
        <v>45629</v>
      </c>
    </row>
    <row r="157">
      <c r="A157" t="inlineStr">
        <is>
          <t>ITC</t>
        </is>
      </c>
      <c r="B157" t="n">
        <v>-10.11265818163432</v>
      </c>
      <c r="C157" t="n">
        <v>-0.3343083994985421</v>
      </c>
      <c r="D157" s="21" t="n">
        <v>45656</v>
      </c>
      <c r="E157" t="n">
        <v>480.75</v>
      </c>
      <c r="F157" t="n">
        <v>481.45</v>
      </c>
      <c r="G157" t="n">
        <v>476</v>
      </c>
      <c r="H157" t="n">
        <v>477</v>
      </c>
      <c r="I157" t="n">
        <v>13074810</v>
      </c>
      <c r="J157" t="n">
        <v>14545774.45</v>
      </c>
      <c r="K157" t="inlineStr"/>
      <c r="L157" t="inlineStr">
        <is>
          <t>Bear</t>
        </is>
      </c>
      <c r="M157" t="n">
        <v>46</v>
      </c>
      <c r="N157" s="21" t="n">
        <v>45587</v>
      </c>
    </row>
    <row r="158">
      <c r="A158" t="inlineStr">
        <is>
          <t>JBCHEPHARM</t>
        </is>
      </c>
      <c r="B158" t="n">
        <v>-7.020685222268136</v>
      </c>
      <c r="C158" t="n">
        <v>2.114321849825413</v>
      </c>
      <c r="D158" s="21" t="n">
        <v>45656</v>
      </c>
      <c r="E158" t="n">
        <v>1815</v>
      </c>
      <c r="F158" t="n">
        <v>1891.3</v>
      </c>
      <c r="G158" t="n">
        <v>1791.25</v>
      </c>
      <c r="H158" t="n">
        <v>1857</v>
      </c>
      <c r="I158" t="n">
        <v>236943</v>
      </c>
      <c r="J158" t="n">
        <v>254834.1</v>
      </c>
      <c r="K158" t="inlineStr"/>
      <c r="L158" t="inlineStr">
        <is>
          <t>Bull</t>
        </is>
      </c>
      <c r="M158" t="n">
        <v>5</v>
      </c>
      <c r="N158" s="21" t="n">
        <v>45646</v>
      </c>
    </row>
    <row r="159">
      <c r="A159" t="inlineStr">
        <is>
          <t>JKCEMENT</t>
        </is>
      </c>
      <c r="B159" t="n">
        <v>-14.75583941076685</v>
      </c>
      <c r="C159" t="n">
        <v>0.005467528349134491</v>
      </c>
      <c r="D159" s="21" t="n">
        <v>45656</v>
      </c>
      <c r="E159" t="n">
        <v>4572.45</v>
      </c>
      <c r="F159" t="n">
        <v>4654.9</v>
      </c>
      <c r="G159" t="n">
        <v>4551.95</v>
      </c>
      <c r="H159" t="n">
        <v>4572.7</v>
      </c>
      <c r="I159" t="n">
        <v>94070</v>
      </c>
      <c r="J159" t="n">
        <v>110353.6</v>
      </c>
      <c r="K159" t="inlineStr"/>
      <c r="L159" t="inlineStr">
        <is>
          <t>Bull</t>
        </is>
      </c>
      <c r="M159" t="n">
        <v>16</v>
      </c>
      <c r="N159" s="21" t="n">
        <v>45631</v>
      </c>
    </row>
    <row r="160">
      <c r="A160" t="inlineStr">
        <is>
          <t>JKIL</t>
        </is>
      </c>
      <c r="B160" t="n">
        <v>-36.72807618922508</v>
      </c>
      <c r="C160" t="n">
        <v>-0.4399500952130832</v>
      </c>
      <c r="D160" s="21" t="n">
        <v>45656</v>
      </c>
      <c r="E160" t="n">
        <v>768</v>
      </c>
      <c r="F160" t="n">
        <v>769.95</v>
      </c>
      <c r="G160" t="n">
        <v>746.05</v>
      </c>
      <c r="H160" t="n">
        <v>758.1</v>
      </c>
      <c r="I160" t="n">
        <v>138713</v>
      </c>
      <c r="J160" t="n">
        <v>219233.1</v>
      </c>
      <c r="K160" t="inlineStr"/>
      <c r="L160" t="inlineStr">
        <is>
          <t>Bull</t>
        </is>
      </c>
      <c r="M160" t="n">
        <v>14</v>
      </c>
      <c r="N160" s="21" t="n">
        <v>45635</v>
      </c>
    </row>
    <row r="161">
      <c r="A161" t="inlineStr">
        <is>
          <t>JINDALSAW</t>
        </is>
      </c>
      <c r="B161" t="n">
        <v>14.93852426201139</v>
      </c>
      <c r="C161" t="n">
        <v>-3.672787979966611</v>
      </c>
      <c r="D161" s="21" t="n">
        <v>45656</v>
      </c>
      <c r="E161" t="n">
        <v>299.9</v>
      </c>
      <c r="F161" t="n">
        <v>301.95</v>
      </c>
      <c r="G161" t="n">
        <v>287.9</v>
      </c>
      <c r="H161" t="n">
        <v>288.5</v>
      </c>
      <c r="I161" t="n">
        <v>1467788</v>
      </c>
      <c r="J161" t="n">
        <v>1277020.05</v>
      </c>
      <c r="K161" t="inlineStr"/>
      <c r="L161" t="inlineStr">
        <is>
          <t>Bear</t>
        </is>
      </c>
      <c r="M161" t="n">
        <v>42</v>
      </c>
      <c r="N161" s="21" t="n">
        <v>45593</v>
      </c>
    </row>
    <row r="162">
      <c r="A162" t="inlineStr">
        <is>
          <t>JSL</t>
        </is>
      </c>
      <c r="B162" t="n">
        <v>175.6052730087942</v>
      </c>
      <c r="C162" t="n">
        <v>-6.671195652173916</v>
      </c>
      <c r="D162" s="21" t="n">
        <v>45656</v>
      </c>
      <c r="E162" t="n">
        <v>735.95</v>
      </c>
      <c r="F162" t="n">
        <v>739.7</v>
      </c>
      <c r="G162" t="n">
        <v>677.35</v>
      </c>
      <c r="H162" t="n">
        <v>686.9</v>
      </c>
      <c r="I162" t="n">
        <v>2206187</v>
      </c>
      <c r="J162" t="n">
        <v>800487.95</v>
      </c>
      <c r="K162" t="inlineStr"/>
      <c r="L162" t="inlineStr">
        <is>
          <t>Bull</t>
        </is>
      </c>
      <c r="M162" t="n">
        <v>12</v>
      </c>
      <c r="N162" s="21" t="n">
        <v>45637</v>
      </c>
    </row>
    <row r="163">
      <c r="A163" t="inlineStr">
        <is>
          <t>JINDALSTEL</t>
        </is>
      </c>
      <c r="B163" t="n">
        <v>108.3414133558457</v>
      </c>
      <c r="C163" t="n">
        <v>-0.5684586649342213</v>
      </c>
      <c r="D163" s="21" t="n">
        <v>45656</v>
      </c>
      <c r="E163" t="n">
        <v>920.7</v>
      </c>
      <c r="F163" t="n">
        <v>925.35</v>
      </c>
      <c r="G163" t="n">
        <v>909</v>
      </c>
      <c r="H163" t="n">
        <v>918.3</v>
      </c>
      <c r="I163" t="n">
        <v>3283259</v>
      </c>
      <c r="J163" t="n">
        <v>1575903.2</v>
      </c>
      <c r="K163" t="inlineStr"/>
      <c r="L163" t="inlineStr">
        <is>
          <t>Bull</t>
        </is>
      </c>
      <c r="M163" t="n">
        <v>11</v>
      </c>
      <c r="N163" s="21" t="n">
        <v>45638</v>
      </c>
    </row>
    <row r="164">
      <c r="A164" t="inlineStr">
        <is>
          <t>JKLAKSHMI</t>
        </is>
      </c>
      <c r="B164" t="n">
        <v>-56.96006618064534</v>
      </c>
      <c r="C164" t="n">
        <v>-0.7132667617689015</v>
      </c>
      <c r="D164" s="21" t="n">
        <v>45656</v>
      </c>
      <c r="E164" t="n">
        <v>839.45</v>
      </c>
      <c r="F164" t="n">
        <v>841.2</v>
      </c>
      <c r="G164" t="n">
        <v>824</v>
      </c>
      <c r="H164" t="n">
        <v>835.2</v>
      </c>
      <c r="I164" t="n">
        <v>74555</v>
      </c>
      <c r="J164" t="n">
        <v>173222.85</v>
      </c>
      <c r="K164" t="inlineStr"/>
      <c r="L164" t="inlineStr">
        <is>
          <t>Bull</t>
        </is>
      </c>
      <c r="M164" t="n">
        <v>16</v>
      </c>
      <c r="N164" s="21" t="n">
        <v>45631</v>
      </c>
    </row>
    <row r="165">
      <c r="A165" t="inlineStr">
        <is>
          <t>JKPAPER</t>
        </is>
      </c>
      <c r="B165" t="n">
        <v>27.63669344550915</v>
      </c>
      <c r="C165" t="n">
        <v>-4.856538099717775</v>
      </c>
      <c r="D165" s="21" t="n">
        <v>45656</v>
      </c>
      <c r="E165" t="n">
        <v>426.9</v>
      </c>
      <c r="F165" t="n">
        <v>431.2</v>
      </c>
      <c r="G165" t="n">
        <v>402.9</v>
      </c>
      <c r="H165" t="n">
        <v>404.55</v>
      </c>
      <c r="I165" t="n">
        <v>1026047</v>
      </c>
      <c r="J165" t="n">
        <v>803880.9</v>
      </c>
      <c r="K165" t="inlineStr"/>
      <c r="L165" t="inlineStr">
        <is>
          <t>Bear</t>
        </is>
      </c>
      <c r="M165" t="n">
        <v>2</v>
      </c>
      <c r="N165" s="21" t="n">
        <v>45652</v>
      </c>
    </row>
    <row r="166">
      <c r="A166" t="inlineStr">
        <is>
          <t>JKTYRE</t>
        </is>
      </c>
      <c r="B166" t="n">
        <v>-42.66365536937849</v>
      </c>
      <c r="C166" t="n">
        <v>1.900052056220721</v>
      </c>
      <c r="D166" s="21" t="n">
        <v>45656</v>
      </c>
      <c r="E166" t="n">
        <v>384.25</v>
      </c>
      <c r="F166" t="n">
        <v>394.9</v>
      </c>
      <c r="G166" t="n">
        <v>381</v>
      </c>
      <c r="H166" t="n">
        <v>391.5</v>
      </c>
      <c r="I166" t="n">
        <v>427013</v>
      </c>
      <c r="J166" t="n">
        <v>744751</v>
      </c>
      <c r="K166" t="inlineStr"/>
      <c r="L166" t="inlineStr">
        <is>
          <t>Bull</t>
        </is>
      </c>
      <c r="M166" t="n">
        <v>10</v>
      </c>
      <c r="N166" s="21" t="n">
        <v>45639</v>
      </c>
    </row>
    <row r="167">
      <c r="A167" t="inlineStr">
        <is>
          <t>JSWSTEEL</t>
        </is>
      </c>
      <c r="B167" t="n">
        <v>-38.91725131668029</v>
      </c>
      <c r="C167" t="n">
        <v>-1.571225227198063</v>
      </c>
      <c r="D167" s="21" t="n">
        <v>45656</v>
      </c>
      <c r="E167" t="n">
        <v>913.3</v>
      </c>
      <c r="F167" t="n">
        <v>916.7</v>
      </c>
      <c r="G167" t="n">
        <v>895.6</v>
      </c>
      <c r="H167" t="n">
        <v>898.95</v>
      </c>
      <c r="I167" t="n">
        <v>1959379</v>
      </c>
      <c r="J167" t="n">
        <v>3207745.3</v>
      </c>
      <c r="K167" t="inlineStr"/>
      <c r="L167" t="inlineStr">
        <is>
          <t>Bear</t>
        </is>
      </c>
      <c r="M167" t="n">
        <v>5</v>
      </c>
      <c r="N167" s="21" t="n">
        <v>45646</v>
      </c>
    </row>
    <row r="168">
      <c r="A168" t="inlineStr">
        <is>
          <t>JWL</t>
        </is>
      </c>
      <c r="B168" t="n">
        <v>-72.52436733951519</v>
      </c>
      <c r="C168" t="n">
        <v>-3.755077776676902</v>
      </c>
      <c r="D168" s="21" t="n">
        <v>45656</v>
      </c>
      <c r="E168" t="n">
        <v>505.4</v>
      </c>
      <c r="F168" t="n">
        <v>511.5</v>
      </c>
      <c r="G168" t="n">
        <v>482.1</v>
      </c>
      <c r="H168" t="n">
        <v>485.7</v>
      </c>
      <c r="I168" t="n">
        <v>1002629</v>
      </c>
      <c r="J168" t="n">
        <v>3649157.1</v>
      </c>
      <c r="K168" t="inlineStr"/>
      <c r="L168" t="inlineStr">
        <is>
          <t>Bull</t>
        </is>
      </c>
      <c r="M168" t="n">
        <v>11</v>
      </c>
      <c r="N168" s="21" t="n">
        <v>45638</v>
      </c>
    </row>
    <row r="169">
      <c r="A169" t="inlineStr">
        <is>
          <t>JYOTHYLAB</t>
        </is>
      </c>
      <c r="B169" t="n">
        <v>87.43625424973867</v>
      </c>
      <c r="C169" t="n">
        <v>2.860441251924058</v>
      </c>
      <c r="D169" s="21" t="n">
        <v>45656</v>
      </c>
      <c r="E169" t="n">
        <v>382</v>
      </c>
      <c r="F169" t="n">
        <v>405</v>
      </c>
      <c r="G169" t="n">
        <v>382</v>
      </c>
      <c r="H169" t="n">
        <v>400.95</v>
      </c>
      <c r="I169" t="n">
        <v>1776812</v>
      </c>
      <c r="J169" t="n">
        <v>947955.35</v>
      </c>
      <c r="K169" t="inlineStr"/>
      <c r="L169" t="inlineStr">
        <is>
          <t>Bear</t>
        </is>
      </c>
      <c r="M169" t="n">
        <v>49</v>
      </c>
      <c r="N169" s="21" t="n">
        <v>45582</v>
      </c>
    </row>
    <row r="170">
      <c r="A170" t="inlineStr">
        <is>
          <t>KCP</t>
        </is>
      </c>
      <c r="B170" t="n">
        <v>-51.95451865237369</v>
      </c>
      <c r="C170" t="n">
        <v>-2.552686257049574</v>
      </c>
      <c r="D170" s="21" t="n">
        <v>45656</v>
      </c>
      <c r="E170" t="n">
        <v>234</v>
      </c>
      <c r="F170" t="n">
        <v>235.96</v>
      </c>
      <c r="G170" t="n">
        <v>228.16</v>
      </c>
      <c r="H170" t="n">
        <v>229.81</v>
      </c>
      <c r="I170" t="n">
        <v>233282</v>
      </c>
      <c r="J170" t="n">
        <v>485544.1</v>
      </c>
      <c r="K170" t="inlineStr"/>
      <c r="L170" t="inlineStr">
        <is>
          <t>Bull</t>
        </is>
      </c>
      <c r="M170" t="n">
        <v>21</v>
      </c>
      <c r="N170" s="21" t="n">
        <v>45624</v>
      </c>
    </row>
    <row r="171">
      <c r="A171" t="inlineStr">
        <is>
          <t>KPRMILL</t>
        </is>
      </c>
      <c r="B171" t="n">
        <v>-63.67216169863909</v>
      </c>
      <c r="C171" t="n">
        <v>-1.615763546798027</v>
      </c>
      <c r="D171" s="21" t="n">
        <v>45656</v>
      </c>
      <c r="E171" t="n">
        <v>1010.1</v>
      </c>
      <c r="F171" t="n">
        <v>1013.75</v>
      </c>
      <c r="G171" t="n">
        <v>981.1</v>
      </c>
      <c r="H171" t="n">
        <v>998.6</v>
      </c>
      <c r="I171" t="n">
        <v>291930</v>
      </c>
      <c r="J171" t="n">
        <v>803598.6</v>
      </c>
      <c r="K171" t="inlineStr"/>
      <c r="L171" t="inlineStr">
        <is>
          <t>Bull</t>
        </is>
      </c>
      <c r="M171" t="n">
        <v>68</v>
      </c>
      <c r="N171" s="21" t="n">
        <v>45554</v>
      </c>
    </row>
    <row r="172">
      <c r="A172" t="inlineStr">
        <is>
          <t>KAJARIACER</t>
        </is>
      </c>
      <c r="B172" t="n">
        <v>263.9695751632557</v>
      </c>
      <c r="C172" t="n">
        <v>2.552753934191698</v>
      </c>
      <c r="D172" s="21" t="n">
        <v>45656</v>
      </c>
      <c r="E172" t="n">
        <v>1125</v>
      </c>
      <c r="F172" t="n">
        <v>1194.95</v>
      </c>
      <c r="G172" t="n">
        <v>1106.45</v>
      </c>
      <c r="H172" t="n">
        <v>1146.95</v>
      </c>
      <c r="I172" t="n">
        <v>790533</v>
      </c>
      <c r="J172" t="n">
        <v>217197.55</v>
      </c>
      <c r="K172" t="inlineStr"/>
      <c r="L172" t="inlineStr">
        <is>
          <t>Bear</t>
        </is>
      </c>
      <c r="M172" t="n">
        <v>48</v>
      </c>
      <c r="N172" s="21" t="n">
        <v>45583</v>
      </c>
    </row>
    <row r="173">
      <c r="A173" t="inlineStr">
        <is>
          <t>KSL</t>
        </is>
      </c>
      <c r="B173" t="n">
        <v>-80.77508469247523</v>
      </c>
      <c r="C173" t="n">
        <v>-0.6930218367258026</v>
      </c>
      <c r="D173" s="21" t="n">
        <v>45656</v>
      </c>
      <c r="E173" t="n">
        <v>1125.05</v>
      </c>
      <c r="F173" t="n">
        <v>1177.5</v>
      </c>
      <c r="G173" t="n">
        <v>1120</v>
      </c>
      <c r="H173" t="n">
        <v>1139.2</v>
      </c>
      <c r="I173" t="n">
        <v>53872</v>
      </c>
      <c r="J173" t="n">
        <v>280219.7</v>
      </c>
      <c r="K173" t="inlineStr"/>
      <c r="L173" t="inlineStr">
        <is>
          <t>Bull</t>
        </is>
      </c>
      <c r="M173" t="n">
        <v>19</v>
      </c>
      <c r="N173" s="21" t="n">
        <v>45628</v>
      </c>
    </row>
    <row r="174">
      <c r="A174" t="inlineStr">
        <is>
          <t>KANSAINER</t>
        </is>
      </c>
      <c r="B174" t="n">
        <v>69.35844663462657</v>
      </c>
      <c r="C174" t="n">
        <v>-1.224646000765399</v>
      </c>
      <c r="D174" s="21" t="n">
        <v>45656</v>
      </c>
      <c r="E174" t="n">
        <v>261.1</v>
      </c>
      <c r="F174" t="n">
        <v>269.8</v>
      </c>
      <c r="G174" t="n">
        <v>255.5</v>
      </c>
      <c r="H174" t="n">
        <v>258.1</v>
      </c>
      <c r="I174" t="n">
        <v>720388</v>
      </c>
      <c r="J174" t="n">
        <v>425362.9</v>
      </c>
      <c r="K174" t="inlineStr"/>
      <c r="L174" t="inlineStr">
        <is>
          <t>Bear</t>
        </is>
      </c>
      <c r="M174" t="n">
        <v>52</v>
      </c>
      <c r="N174" s="21" t="n">
        <v>45579</v>
      </c>
    </row>
    <row r="175">
      <c r="A175" t="inlineStr">
        <is>
          <t>KSCL</t>
        </is>
      </c>
      <c r="B175" t="n">
        <v>-69.06757576888675</v>
      </c>
      <c r="C175" t="n">
        <v>-2.09027219478581</v>
      </c>
      <c r="D175" s="21" t="n">
        <v>45656</v>
      </c>
      <c r="E175" t="n">
        <v>874.95</v>
      </c>
      <c r="F175" t="n">
        <v>874.95</v>
      </c>
      <c r="G175" t="n">
        <v>850</v>
      </c>
      <c r="H175" t="n">
        <v>852.5</v>
      </c>
      <c r="I175" t="n">
        <v>22375</v>
      </c>
      <c r="J175" t="n">
        <v>72335.10000000001</v>
      </c>
      <c r="K175" t="inlineStr"/>
      <c r="L175" t="inlineStr">
        <is>
          <t>Bear</t>
        </is>
      </c>
      <c r="M175" t="n">
        <v>59</v>
      </c>
      <c r="N175" s="21" t="n">
        <v>45568</v>
      </c>
    </row>
    <row r="176">
      <c r="A176" t="inlineStr">
        <is>
          <t>KAYNES</t>
        </is>
      </c>
      <c r="B176" t="n">
        <v>-31.37337627127687</v>
      </c>
      <c r="C176" t="n">
        <v>1.847646938154763</v>
      </c>
      <c r="D176" s="21" t="n">
        <v>45656</v>
      </c>
      <c r="E176" t="n">
        <v>7088</v>
      </c>
      <c r="F176" t="n">
        <v>7257.45</v>
      </c>
      <c r="G176" t="n">
        <v>6860.3</v>
      </c>
      <c r="H176" t="n">
        <v>7199.05</v>
      </c>
      <c r="I176" t="n">
        <v>473345</v>
      </c>
      <c r="J176" t="n">
        <v>689739.6</v>
      </c>
      <c r="K176" t="inlineStr"/>
      <c r="L176" t="inlineStr">
        <is>
          <t>Bull</t>
        </is>
      </c>
      <c r="M176" t="n">
        <v>152</v>
      </c>
      <c r="N176" s="21" t="n">
        <v>45433</v>
      </c>
    </row>
    <row r="177">
      <c r="A177" t="inlineStr">
        <is>
          <t>KDDL</t>
        </is>
      </c>
      <c r="B177" t="n">
        <v>-36.35927328981273</v>
      </c>
      <c r="C177" t="n">
        <v>-0.8809834857468322</v>
      </c>
      <c r="D177" s="21" t="n">
        <v>45656</v>
      </c>
      <c r="E177" t="n">
        <v>3020</v>
      </c>
      <c r="F177" t="n">
        <v>3020.95</v>
      </c>
      <c r="G177" t="n">
        <v>2940.05</v>
      </c>
      <c r="H177" t="n">
        <v>2959</v>
      </c>
      <c r="I177" t="n">
        <v>6829</v>
      </c>
      <c r="J177" t="n">
        <v>10730.55</v>
      </c>
      <c r="K177" t="inlineStr"/>
      <c r="L177" t="inlineStr">
        <is>
          <t>Bull</t>
        </is>
      </c>
      <c r="M177" t="n">
        <v>13</v>
      </c>
      <c r="N177" s="21" t="n">
        <v>45636</v>
      </c>
    </row>
    <row r="178">
      <c r="A178" t="inlineStr">
        <is>
          <t>KEI</t>
        </is>
      </c>
      <c r="B178" t="n">
        <v>-16.69942533193622</v>
      </c>
      <c r="C178" t="n">
        <v>0.2175689831815681</v>
      </c>
      <c r="D178" s="21" t="n">
        <v>45656</v>
      </c>
      <c r="E178" t="n">
        <v>4375.3</v>
      </c>
      <c r="F178" t="n">
        <v>4424.25</v>
      </c>
      <c r="G178" t="n">
        <v>4340</v>
      </c>
      <c r="H178" t="n">
        <v>4352.9</v>
      </c>
      <c r="I178" t="n">
        <v>253438</v>
      </c>
      <c r="J178" t="n">
        <v>304245.2</v>
      </c>
      <c r="K178" t="inlineStr"/>
      <c r="L178" t="inlineStr">
        <is>
          <t>Bull</t>
        </is>
      </c>
      <c r="M178" t="n">
        <v>17</v>
      </c>
      <c r="N178" s="21" t="n">
        <v>45630</v>
      </c>
    </row>
    <row r="179">
      <c r="A179" t="inlineStr">
        <is>
          <t>KKCL</t>
        </is>
      </c>
      <c r="B179" t="n">
        <v>-60.50026906519065</v>
      </c>
      <c r="C179" t="n">
        <v>-2.945619335347425</v>
      </c>
      <c r="D179" s="21" t="n">
        <v>45656</v>
      </c>
      <c r="E179" t="n">
        <v>595.8</v>
      </c>
      <c r="F179" t="n">
        <v>610</v>
      </c>
      <c r="G179" t="n">
        <v>575.15</v>
      </c>
      <c r="H179" t="n">
        <v>578.25</v>
      </c>
      <c r="I179" t="n">
        <v>24663</v>
      </c>
      <c r="J179" t="n">
        <v>62438.4</v>
      </c>
      <c r="K179" t="inlineStr"/>
      <c r="L179" t="inlineStr">
        <is>
          <t>Bear</t>
        </is>
      </c>
      <c r="M179" t="n">
        <v>45</v>
      </c>
      <c r="N179" s="21" t="n">
        <v>45588</v>
      </c>
    </row>
    <row r="180">
      <c r="A180" t="inlineStr">
        <is>
          <t>KFINTECH</t>
        </is>
      </c>
      <c r="B180" t="n">
        <v>-8.007288219023504</v>
      </c>
      <c r="C180" t="n">
        <v>4.720632505210222</v>
      </c>
      <c r="D180" s="21" t="n">
        <v>45656</v>
      </c>
      <c r="E180" t="n">
        <v>1511.45</v>
      </c>
      <c r="F180" t="n">
        <v>1641.35</v>
      </c>
      <c r="G180" t="n">
        <v>1423.05</v>
      </c>
      <c r="H180" t="n">
        <v>1582.8</v>
      </c>
      <c r="I180" t="n">
        <v>2038370</v>
      </c>
      <c r="J180" t="n">
        <v>2215795.1</v>
      </c>
      <c r="K180" t="inlineStr"/>
      <c r="L180" t="inlineStr">
        <is>
          <t>Bull</t>
        </is>
      </c>
      <c r="M180" t="n">
        <v>232</v>
      </c>
      <c r="N180" s="21" t="n">
        <v>45311</v>
      </c>
    </row>
    <row r="181">
      <c r="A181" t="inlineStr">
        <is>
          <t>KIRIINDUS</t>
        </is>
      </c>
      <c r="B181" t="n">
        <v>-38.73190554801</v>
      </c>
      <c r="C181" t="n">
        <v>0.7929297100850672</v>
      </c>
      <c r="D181" s="21" t="n">
        <v>45656</v>
      </c>
      <c r="E181" t="n">
        <v>605</v>
      </c>
      <c r="F181" t="n">
        <v>621</v>
      </c>
      <c r="G181" t="n">
        <v>600.2</v>
      </c>
      <c r="H181" t="n">
        <v>610.15</v>
      </c>
      <c r="I181" t="n">
        <v>431317</v>
      </c>
      <c r="J181" t="n">
        <v>703983.05</v>
      </c>
      <c r="K181" t="inlineStr"/>
      <c r="L181" t="inlineStr">
        <is>
          <t>Bull</t>
        </is>
      </c>
      <c r="M181" t="n">
        <v>49</v>
      </c>
      <c r="N181" s="21" t="n">
        <v>45582</v>
      </c>
    </row>
    <row r="182">
      <c r="A182" t="inlineStr">
        <is>
          <t>KIRLPNU</t>
        </is>
      </c>
      <c r="B182" t="n">
        <v>-63.22332874379968</v>
      </c>
      <c r="C182" t="n">
        <v>-2.570268074735984</v>
      </c>
      <c r="D182" s="21" t="n">
        <v>45656</v>
      </c>
      <c r="E182" t="n">
        <v>1516</v>
      </c>
      <c r="F182" t="n">
        <v>1546.4</v>
      </c>
      <c r="G182" t="n">
        <v>1490</v>
      </c>
      <c r="H182" t="n">
        <v>1499.2</v>
      </c>
      <c r="I182" t="n">
        <v>36126</v>
      </c>
      <c r="J182" t="n">
        <v>98230.75</v>
      </c>
      <c r="K182" t="inlineStr"/>
      <c r="L182" t="inlineStr">
        <is>
          <t>Bull</t>
        </is>
      </c>
      <c r="M182" t="n">
        <v>53</v>
      </c>
      <c r="N182" s="21" t="n">
        <v>45576</v>
      </c>
    </row>
    <row r="183">
      <c r="A183" t="inlineStr">
        <is>
          <t>KMEW</t>
        </is>
      </c>
      <c r="B183" t="n">
        <v>-46.21237754258961</v>
      </c>
      <c r="C183" t="n">
        <v>-2.998462327011781</v>
      </c>
      <c r="D183" s="21" t="n">
        <v>45656</v>
      </c>
      <c r="E183" t="n">
        <v>2352.95</v>
      </c>
      <c r="F183" t="n">
        <v>2375.95</v>
      </c>
      <c r="G183" t="n">
        <v>2260</v>
      </c>
      <c r="H183" t="n">
        <v>2271</v>
      </c>
      <c r="I183" t="n">
        <v>17089</v>
      </c>
      <c r="J183" t="n">
        <v>31771.25</v>
      </c>
      <c r="K183" t="inlineStr"/>
      <c r="L183" t="inlineStr">
        <is>
          <t>No Signal</t>
        </is>
      </c>
      <c r="M183" t="n">
        <v>0</v>
      </c>
      <c r="N183" s="21" t="n">
        <v>45656.87994977518</v>
      </c>
    </row>
    <row r="184">
      <c r="A184" t="inlineStr">
        <is>
          <t>KNRCON</t>
        </is>
      </c>
      <c r="B184" t="n">
        <v>318.5429391172443</v>
      </c>
      <c r="C184" t="n">
        <v>8.199841395717691</v>
      </c>
      <c r="D184" s="21" t="n">
        <v>45656</v>
      </c>
      <c r="E184" t="n">
        <v>317.4</v>
      </c>
      <c r="F184" t="n">
        <v>344.15</v>
      </c>
      <c r="G184" t="n">
        <v>313.3</v>
      </c>
      <c r="H184" t="n">
        <v>341.1</v>
      </c>
      <c r="I184" t="n">
        <v>3939034</v>
      </c>
      <c r="J184" t="n">
        <v>941130.2</v>
      </c>
      <c r="K184" t="inlineStr"/>
      <c r="L184" t="inlineStr">
        <is>
          <t>Bull</t>
        </is>
      </c>
      <c r="M184" t="n">
        <v>17</v>
      </c>
      <c r="N184" s="21" t="n">
        <v>45630</v>
      </c>
    </row>
    <row r="185">
      <c r="A185" t="inlineStr">
        <is>
          <t>KOTAKBANK</t>
        </is>
      </c>
      <c r="B185" t="n">
        <v>42.1150010832747</v>
      </c>
      <c r="C185" t="n">
        <v>-1.090971077902156</v>
      </c>
      <c r="D185" s="21" t="n">
        <v>45656</v>
      </c>
      <c r="E185" t="n">
        <v>1765</v>
      </c>
      <c r="F185" t="n">
        <v>1781</v>
      </c>
      <c r="G185" t="n">
        <v>1733.5</v>
      </c>
      <c r="H185" t="n">
        <v>1740.7</v>
      </c>
      <c r="I185" t="n">
        <v>5502772</v>
      </c>
      <c r="J185" t="n">
        <v>3872055.7</v>
      </c>
      <c r="K185" t="inlineStr"/>
      <c r="L185" t="inlineStr">
        <is>
          <t>Bear</t>
        </is>
      </c>
      <c r="M185" t="n">
        <v>43</v>
      </c>
      <c r="N185" s="21" t="n">
        <v>45590</v>
      </c>
    </row>
    <row r="186">
      <c r="A186" t="inlineStr">
        <is>
          <t>KRBL</t>
        </is>
      </c>
      <c r="B186" t="n">
        <v>-37.80708791372317</v>
      </c>
      <c r="C186" t="n">
        <v>-0.7007349171081905</v>
      </c>
      <c r="D186" s="21" t="n">
        <v>45656</v>
      </c>
      <c r="E186" t="n">
        <v>293.6</v>
      </c>
      <c r="F186" t="n">
        <v>296.8</v>
      </c>
      <c r="G186" t="n">
        <v>289.5</v>
      </c>
      <c r="H186" t="n">
        <v>290.5</v>
      </c>
      <c r="I186" t="n">
        <v>367785</v>
      </c>
      <c r="J186" t="n">
        <v>591361.6</v>
      </c>
      <c r="K186" t="inlineStr"/>
      <c r="L186" t="inlineStr">
        <is>
          <t>Bull</t>
        </is>
      </c>
      <c r="M186" t="n">
        <v>21</v>
      </c>
      <c r="N186" s="21" t="n">
        <v>45624</v>
      </c>
    </row>
    <row r="187">
      <c r="A187" t="inlineStr">
        <is>
          <t>KIMS</t>
        </is>
      </c>
      <c r="B187" t="n">
        <v>-53.99167720627373</v>
      </c>
      <c r="C187" t="n">
        <v>1.141418380193026</v>
      </c>
      <c r="D187" s="21" t="n">
        <v>45656</v>
      </c>
      <c r="E187" t="n">
        <v>595</v>
      </c>
      <c r="F187" t="n">
        <v>605.85</v>
      </c>
      <c r="G187" t="n">
        <v>589.75</v>
      </c>
      <c r="H187" t="n">
        <v>602.55</v>
      </c>
      <c r="I187" t="n">
        <v>231960</v>
      </c>
      <c r="J187" t="n">
        <v>504169.65</v>
      </c>
      <c r="K187" t="inlineStr"/>
      <c r="L187" t="inlineStr">
        <is>
          <t>Bull</t>
        </is>
      </c>
      <c r="M187" t="n">
        <v>130</v>
      </c>
      <c r="N187" s="21" t="n">
        <v>45464</v>
      </c>
    </row>
    <row r="188">
      <c r="A188" t="inlineStr">
        <is>
          <t>KSB</t>
        </is>
      </c>
      <c r="B188" t="n">
        <v>334.5174926495806</v>
      </c>
      <c r="C188" t="n">
        <v>-4.021853607161672</v>
      </c>
      <c r="D188" s="21" t="n">
        <v>45656</v>
      </c>
      <c r="E188" t="n">
        <v>759.6</v>
      </c>
      <c r="F188" t="n">
        <v>760.5</v>
      </c>
      <c r="G188" t="n">
        <v>715.5</v>
      </c>
      <c r="H188" t="n">
        <v>729.05</v>
      </c>
      <c r="I188" t="n">
        <v>563806</v>
      </c>
      <c r="J188" t="n">
        <v>129754.5</v>
      </c>
      <c r="K188" t="inlineStr"/>
      <c r="L188" t="inlineStr">
        <is>
          <t>Bear</t>
        </is>
      </c>
      <c r="M188" t="n">
        <v>93</v>
      </c>
      <c r="N188" s="21" t="n">
        <v>45518</v>
      </c>
    </row>
    <row r="189">
      <c r="A189" t="inlineStr">
        <is>
          <t>LTFOODS</t>
        </is>
      </c>
      <c r="B189" t="n">
        <v>40.7489117812747</v>
      </c>
      <c r="C189" t="n">
        <v>4.75481067659838</v>
      </c>
      <c r="D189" s="21" t="n">
        <v>45656</v>
      </c>
      <c r="E189" t="n">
        <v>403.45</v>
      </c>
      <c r="F189" t="n">
        <v>423.6</v>
      </c>
      <c r="G189" t="n">
        <v>403.45</v>
      </c>
      <c r="H189" t="n">
        <v>421.9</v>
      </c>
      <c r="I189" t="n">
        <v>886084</v>
      </c>
      <c r="J189" t="n">
        <v>629549.45</v>
      </c>
      <c r="K189" t="inlineStr"/>
      <c r="L189" t="inlineStr">
        <is>
          <t>Bull</t>
        </is>
      </c>
      <c r="M189" t="n">
        <v>17</v>
      </c>
      <c r="N189" s="21" t="n">
        <v>45630</v>
      </c>
    </row>
    <row r="190">
      <c r="A190" t="inlineStr">
        <is>
          <t>LTF</t>
        </is>
      </c>
      <c r="B190" t="n">
        <v>-63.15748649335487</v>
      </c>
      <c r="C190" t="n">
        <v>-1.210408059723119</v>
      </c>
      <c r="D190" s="21" t="n">
        <v>45656</v>
      </c>
      <c r="E190" t="n">
        <v>138</v>
      </c>
      <c r="F190" t="n">
        <v>138.38</v>
      </c>
      <c r="G190" t="n">
        <v>136</v>
      </c>
      <c r="H190" t="n">
        <v>136.3</v>
      </c>
      <c r="I190" t="n">
        <v>2117941</v>
      </c>
      <c r="J190" t="n">
        <v>5748633.3</v>
      </c>
      <c r="K190" t="inlineStr"/>
      <c r="L190" t="inlineStr">
        <is>
          <t>Bear</t>
        </is>
      </c>
      <c r="M190" t="n">
        <v>52</v>
      </c>
      <c r="N190" s="21" t="n">
        <v>45579</v>
      </c>
    </row>
    <row r="191">
      <c r="A191" t="inlineStr">
        <is>
          <t>LT</t>
        </is>
      </c>
      <c r="B191" t="n">
        <v>-14.22936130029472</v>
      </c>
      <c r="C191" t="n">
        <v>-0.8079044372384383</v>
      </c>
      <c r="D191" s="21" t="n">
        <v>45656</v>
      </c>
      <c r="E191" t="n">
        <v>3607.9</v>
      </c>
      <c r="F191" t="n">
        <v>3623</v>
      </c>
      <c r="G191" t="n">
        <v>3566</v>
      </c>
      <c r="H191" t="n">
        <v>3578.95</v>
      </c>
      <c r="I191" t="n">
        <v>1591690</v>
      </c>
      <c r="J191" t="n">
        <v>1855751.6</v>
      </c>
      <c r="K191" t="inlineStr"/>
      <c r="L191" t="inlineStr">
        <is>
          <t>Bull</t>
        </is>
      </c>
      <c r="M191" t="n">
        <v>23</v>
      </c>
      <c r="N191" s="21" t="n">
        <v>45622</v>
      </c>
    </row>
    <row r="192">
      <c r="A192" t="inlineStr">
        <is>
          <t>LATENTVIEW</t>
        </is>
      </c>
      <c r="B192" t="n">
        <v>-51.62337605594249</v>
      </c>
      <c r="C192" t="n">
        <v>-4.096834264432032</v>
      </c>
      <c r="D192" s="21" t="n">
        <v>45656</v>
      </c>
      <c r="E192" t="n">
        <v>479.1</v>
      </c>
      <c r="F192" t="n">
        <v>482.9</v>
      </c>
      <c r="G192" t="n">
        <v>452.9</v>
      </c>
      <c r="H192" t="n">
        <v>463.5</v>
      </c>
      <c r="I192" t="n">
        <v>262962</v>
      </c>
      <c r="J192" t="n">
        <v>543572.45</v>
      </c>
      <c r="K192" t="inlineStr"/>
      <c r="L192" t="inlineStr">
        <is>
          <t>Bull</t>
        </is>
      </c>
      <c r="M192" t="n">
        <v>13</v>
      </c>
      <c r="N192" s="21" t="n">
        <v>45636</v>
      </c>
    </row>
    <row r="193">
      <c r="A193" t="inlineStr">
        <is>
          <t>LEMONTREE</t>
        </is>
      </c>
      <c r="B193" t="n">
        <v>-43.33604307891903</v>
      </c>
      <c r="C193" t="n">
        <v>2.280936454849496</v>
      </c>
      <c r="D193" s="21" t="n">
        <v>45656</v>
      </c>
      <c r="E193" t="n">
        <v>148.98</v>
      </c>
      <c r="F193" t="n">
        <v>154.17</v>
      </c>
      <c r="G193" t="n">
        <v>147.54</v>
      </c>
      <c r="H193" t="n">
        <v>152.91</v>
      </c>
      <c r="I193" t="n">
        <v>3567446</v>
      </c>
      <c r="J193" t="n">
        <v>6295794</v>
      </c>
      <c r="K193" t="inlineStr"/>
      <c r="L193" t="inlineStr">
        <is>
          <t>Bull</t>
        </is>
      </c>
      <c r="M193" t="n">
        <v>21</v>
      </c>
      <c r="N193" s="21" t="n">
        <v>45624</v>
      </c>
    </row>
    <row r="194">
      <c r="A194" t="inlineStr">
        <is>
          <t>LICHSGFIN</t>
        </is>
      </c>
      <c r="B194" t="n">
        <v>-11.49895925578111</v>
      </c>
      <c r="C194" t="n">
        <v>-0.9721756620851606</v>
      </c>
      <c r="D194" s="21" t="n">
        <v>45656</v>
      </c>
      <c r="E194" t="n">
        <v>596.6</v>
      </c>
      <c r="F194" t="n">
        <v>602.85</v>
      </c>
      <c r="G194" t="n">
        <v>587.6</v>
      </c>
      <c r="H194" t="n">
        <v>590.8</v>
      </c>
      <c r="I194" t="n">
        <v>1115570</v>
      </c>
      <c r="J194" t="n">
        <v>1260516.25</v>
      </c>
      <c r="K194" t="inlineStr"/>
      <c r="L194" t="inlineStr">
        <is>
          <t>Bear</t>
        </is>
      </c>
      <c r="M194" t="n">
        <v>97</v>
      </c>
      <c r="N194" s="21" t="n">
        <v>45512</v>
      </c>
    </row>
    <row r="195">
      <c r="A195" t="inlineStr">
        <is>
          <t>LIKHITHA</t>
        </is>
      </c>
      <c r="B195" t="n">
        <v>-74.25017435605568</v>
      </c>
      <c r="C195" t="n">
        <v>-1.463963963963961</v>
      </c>
      <c r="D195" s="21" t="n">
        <v>45656</v>
      </c>
      <c r="E195" t="n">
        <v>356.1</v>
      </c>
      <c r="F195" t="n">
        <v>356.1</v>
      </c>
      <c r="G195" t="n">
        <v>350</v>
      </c>
      <c r="H195" t="n">
        <v>350</v>
      </c>
      <c r="I195" t="n">
        <v>34023</v>
      </c>
      <c r="J195" t="n">
        <v>132129.05</v>
      </c>
      <c r="K195" t="inlineStr"/>
      <c r="L195" t="inlineStr">
        <is>
          <t>Bear</t>
        </is>
      </c>
      <c r="M195" t="n">
        <v>2</v>
      </c>
      <c r="N195" s="21" t="n">
        <v>45652</v>
      </c>
    </row>
    <row r="196">
      <c r="A196" t="inlineStr">
        <is>
          <t>LINCOLN</t>
        </is>
      </c>
      <c r="B196" t="n">
        <v>-70.82890067234167</v>
      </c>
      <c r="C196" t="n">
        <v>2.364908643255151</v>
      </c>
      <c r="D196" s="21" t="n">
        <v>45656</v>
      </c>
      <c r="E196" t="n">
        <v>780</v>
      </c>
      <c r="F196" t="n">
        <v>845</v>
      </c>
      <c r="G196" t="n">
        <v>774.5</v>
      </c>
      <c r="H196" t="n">
        <v>789.95</v>
      </c>
      <c r="I196" t="n">
        <v>120966</v>
      </c>
      <c r="J196" t="n">
        <v>414677.55</v>
      </c>
      <c r="K196" t="inlineStr"/>
      <c r="L196" t="inlineStr">
        <is>
          <t>Bull</t>
        </is>
      </c>
      <c r="M196" t="n">
        <v>17</v>
      </c>
      <c r="N196" s="21" t="n">
        <v>45630</v>
      </c>
    </row>
    <row r="197">
      <c r="A197" t="inlineStr">
        <is>
          <t>LUPIN</t>
        </is>
      </c>
      <c r="B197" t="n">
        <v>221.1927421841763</v>
      </c>
      <c r="C197" t="n">
        <v>3.750336654995948</v>
      </c>
      <c r="D197" s="21" t="n">
        <v>45656</v>
      </c>
      <c r="E197" t="n">
        <v>2227.8</v>
      </c>
      <c r="F197" t="n">
        <v>2328.75</v>
      </c>
      <c r="G197" t="n">
        <v>2226.85</v>
      </c>
      <c r="H197" t="n">
        <v>2311.35</v>
      </c>
      <c r="I197" t="n">
        <v>3018421</v>
      </c>
      <c r="J197" t="n">
        <v>939753.8</v>
      </c>
      <c r="K197" t="inlineStr"/>
      <c r="L197" t="inlineStr">
        <is>
          <t>Bull</t>
        </is>
      </c>
      <c r="M197" t="n">
        <v>3</v>
      </c>
      <c r="N197" s="21" t="n">
        <v>45650</v>
      </c>
    </row>
    <row r="198">
      <c r="A198" t="inlineStr">
        <is>
          <t>M&amp;M</t>
        </is>
      </c>
      <c r="B198" t="n">
        <v>-12.40502866429231</v>
      </c>
      <c r="C198" t="n">
        <v>-1.526504779550402</v>
      </c>
      <c r="D198" s="21" t="n">
        <v>45656</v>
      </c>
      <c r="E198" t="n">
        <v>3028.05</v>
      </c>
      <c r="F198" t="n">
        <v>3044.6</v>
      </c>
      <c r="G198" t="n">
        <v>2991.05</v>
      </c>
      <c r="H198" t="n">
        <v>3002.9</v>
      </c>
      <c r="I198" t="n">
        <v>2336275</v>
      </c>
      <c r="J198" t="n">
        <v>2667133.7</v>
      </c>
      <c r="K198" t="inlineStr"/>
      <c r="L198" t="inlineStr">
        <is>
          <t>Bull</t>
        </is>
      </c>
      <c r="M198" t="n">
        <v>24</v>
      </c>
      <c r="N198" s="21" t="n">
        <v>45621</v>
      </c>
    </row>
    <row r="199">
      <c r="A199" t="inlineStr">
        <is>
          <t>MMFL</t>
        </is>
      </c>
      <c r="B199" t="n">
        <v>-47.15565697683873</v>
      </c>
      <c r="C199" t="n">
        <v>-2.802950474183353</v>
      </c>
      <c r="D199" s="21" t="n">
        <v>45656</v>
      </c>
      <c r="E199" t="n">
        <v>480.3</v>
      </c>
      <c r="F199" t="n">
        <v>485</v>
      </c>
      <c r="G199" t="n">
        <v>459</v>
      </c>
      <c r="H199" t="n">
        <v>461.2</v>
      </c>
      <c r="I199" t="n">
        <v>48746</v>
      </c>
      <c r="J199" t="n">
        <v>92244.5</v>
      </c>
      <c r="K199" t="inlineStr"/>
      <c r="L199" t="inlineStr">
        <is>
          <t>Bear</t>
        </is>
      </c>
      <c r="M199" t="n">
        <v>2</v>
      </c>
      <c r="N199" s="21" t="n">
        <v>45652</v>
      </c>
    </row>
    <row r="200">
      <c r="A200" t="inlineStr">
        <is>
          <t>MAHSEAMLES</t>
        </is>
      </c>
      <c r="B200" t="n">
        <v>-85.97457991478299</v>
      </c>
      <c r="C200" t="n">
        <v>0.589715929521758</v>
      </c>
      <c r="D200" s="21" t="n">
        <v>45656</v>
      </c>
      <c r="E200" t="n">
        <v>690</v>
      </c>
      <c r="F200" t="n">
        <v>707</v>
      </c>
      <c r="G200" t="n">
        <v>688.55</v>
      </c>
      <c r="H200" t="n">
        <v>699.35</v>
      </c>
      <c r="I200" t="n">
        <v>227861</v>
      </c>
      <c r="J200" t="n">
        <v>1624628.7</v>
      </c>
      <c r="K200" t="inlineStr"/>
      <c r="L200" t="inlineStr">
        <is>
          <t>Bull</t>
        </is>
      </c>
      <c r="M200" t="n">
        <v>22</v>
      </c>
      <c r="N200" s="21" t="n">
        <v>45623</v>
      </c>
    </row>
    <row r="201">
      <c r="A201" t="inlineStr">
        <is>
          <t>MAITHANALL</t>
        </is>
      </c>
      <c r="B201" t="n">
        <v>-63.97949153603821</v>
      </c>
      <c r="C201" t="n">
        <v>-0.5576542543622995</v>
      </c>
      <c r="D201" s="21" t="n">
        <v>45656</v>
      </c>
      <c r="E201" t="n">
        <v>1116.15</v>
      </c>
      <c r="F201" t="n">
        <v>1134</v>
      </c>
      <c r="G201" t="n">
        <v>1101</v>
      </c>
      <c r="H201" t="n">
        <v>1105.6</v>
      </c>
      <c r="I201" t="n">
        <v>26458</v>
      </c>
      <c r="J201" t="n">
        <v>73452.60000000001</v>
      </c>
      <c r="K201" t="inlineStr"/>
      <c r="L201" t="inlineStr">
        <is>
          <t>Bull</t>
        </is>
      </c>
      <c r="M201" t="n">
        <v>17</v>
      </c>
      <c r="N201" s="21" t="n">
        <v>45630</v>
      </c>
    </row>
    <row r="202">
      <c r="A202" t="inlineStr">
        <is>
          <t>MANINFRA</t>
        </is>
      </c>
      <c r="B202" t="n">
        <v>63.66639227695104</v>
      </c>
      <c r="C202" t="n">
        <v>-3.545404685418782</v>
      </c>
      <c r="D202" s="21" t="n">
        <v>45656</v>
      </c>
      <c r="E202" t="n">
        <v>255.9</v>
      </c>
      <c r="F202" t="n">
        <v>262.8</v>
      </c>
      <c r="G202" t="n">
        <v>243.7</v>
      </c>
      <c r="H202" t="n">
        <v>246.21</v>
      </c>
      <c r="I202" t="n">
        <v>4219061</v>
      </c>
      <c r="J202" t="n">
        <v>2577842</v>
      </c>
      <c r="K202" t="inlineStr"/>
      <c r="L202" t="inlineStr">
        <is>
          <t>Bull</t>
        </is>
      </c>
      <c r="M202" t="n">
        <v>21</v>
      </c>
      <c r="N202" s="21" t="n">
        <v>45624</v>
      </c>
    </row>
    <row r="203">
      <c r="A203" t="inlineStr">
        <is>
          <t>MANAPPURAM</t>
        </is>
      </c>
      <c r="B203" t="n">
        <v>58.94649008455506</v>
      </c>
      <c r="C203" t="n">
        <v>2.973532294956981</v>
      </c>
      <c r="D203" s="21" t="n">
        <v>45656</v>
      </c>
      <c r="E203" t="n">
        <v>184.4</v>
      </c>
      <c r="F203" t="n">
        <v>193.37</v>
      </c>
      <c r="G203" t="n">
        <v>183.54</v>
      </c>
      <c r="H203" t="n">
        <v>189.08</v>
      </c>
      <c r="I203" t="n">
        <v>21784242</v>
      </c>
      <c r="J203" t="n">
        <v>13705393.55</v>
      </c>
      <c r="K203" t="inlineStr"/>
      <c r="L203" t="inlineStr">
        <is>
          <t>Bull</t>
        </is>
      </c>
      <c r="M203" t="n">
        <v>8</v>
      </c>
      <c r="N203" s="21" t="n">
        <v>45643</v>
      </c>
    </row>
    <row r="204">
      <c r="A204" t="inlineStr">
        <is>
          <t>MARATHON</t>
        </is>
      </c>
      <c r="B204" t="n">
        <v>-36.40094890236096</v>
      </c>
      <c r="C204" t="n">
        <v>-2.301429046194734</v>
      </c>
      <c r="D204" s="21" t="n">
        <v>45656</v>
      </c>
      <c r="E204" t="n">
        <v>595</v>
      </c>
      <c r="F204" t="n">
        <v>604.95</v>
      </c>
      <c r="G204" t="n">
        <v>587</v>
      </c>
      <c r="H204" t="n">
        <v>587.95</v>
      </c>
      <c r="I204" t="n">
        <v>27024</v>
      </c>
      <c r="J204" t="n">
        <v>42491.2</v>
      </c>
      <c r="K204" t="inlineStr"/>
      <c r="L204" t="inlineStr">
        <is>
          <t>Bull</t>
        </is>
      </c>
      <c r="M204" t="n">
        <v>9</v>
      </c>
      <c r="N204" s="21" t="n">
        <v>45642</v>
      </c>
    </row>
    <row r="205">
      <c r="A205" t="inlineStr">
        <is>
          <t>MARICO</t>
        </is>
      </c>
      <c r="B205" t="n">
        <v>-19.21886036690894</v>
      </c>
      <c r="C205" t="n">
        <v>1.193487195700277</v>
      </c>
      <c r="D205" s="21" t="n">
        <v>45656</v>
      </c>
      <c r="E205" t="n">
        <v>632.6</v>
      </c>
      <c r="F205" t="n">
        <v>644.9</v>
      </c>
      <c r="G205" t="n">
        <v>628.2</v>
      </c>
      <c r="H205" t="n">
        <v>640.15</v>
      </c>
      <c r="I205" t="n">
        <v>1421436</v>
      </c>
      <c r="J205" t="n">
        <v>1759613.7</v>
      </c>
      <c r="K205" t="inlineStr"/>
      <c r="L205" t="inlineStr">
        <is>
          <t>Bear</t>
        </is>
      </c>
      <c r="M205" t="n">
        <v>44</v>
      </c>
      <c r="N205" s="21" t="n">
        <v>45589</v>
      </c>
    </row>
    <row r="206">
      <c r="A206" t="inlineStr">
        <is>
          <t>MATRIMONY</t>
        </is>
      </c>
      <c r="B206" t="n">
        <v>-51.79440428018835</v>
      </c>
      <c r="C206" t="n">
        <v>0.2853709822769737</v>
      </c>
      <c r="D206" s="21" t="n">
        <v>45656</v>
      </c>
      <c r="E206" t="n">
        <v>666.05</v>
      </c>
      <c r="F206" t="n">
        <v>673.4</v>
      </c>
      <c r="G206" t="n">
        <v>651.05</v>
      </c>
      <c r="H206" t="n">
        <v>667.7</v>
      </c>
      <c r="I206" t="n">
        <v>9465</v>
      </c>
      <c r="J206" t="n">
        <v>19634.65</v>
      </c>
      <c r="K206" t="inlineStr"/>
      <c r="L206" t="inlineStr">
        <is>
          <t>Bear</t>
        </is>
      </c>
      <c r="M206" t="n">
        <v>29</v>
      </c>
      <c r="N206" s="21" t="n">
        <v>45610</v>
      </c>
    </row>
    <row r="207">
      <c r="A207" t="inlineStr">
        <is>
          <t>MAXHEALTH</t>
        </is>
      </c>
      <c r="B207" t="n">
        <v>-5.576930126208239</v>
      </c>
      <c r="C207" t="n">
        <v>3.169389204545439</v>
      </c>
      <c r="D207" s="21" t="n">
        <v>45656</v>
      </c>
      <c r="E207" t="n">
        <v>1105</v>
      </c>
      <c r="F207" t="n">
        <v>1208</v>
      </c>
      <c r="G207" t="n">
        <v>1100.1</v>
      </c>
      <c r="H207" t="n">
        <v>1162.1</v>
      </c>
      <c r="I207" t="n">
        <v>2095498</v>
      </c>
      <c r="J207" t="n">
        <v>2219264.85</v>
      </c>
      <c r="K207" t="inlineStr"/>
      <c r="L207" t="inlineStr">
        <is>
          <t>Bull</t>
        </is>
      </c>
      <c r="M207" t="n">
        <v>72</v>
      </c>
      <c r="N207" s="21" t="n">
        <v>45548</v>
      </c>
    </row>
    <row r="208">
      <c r="A208" t="inlineStr">
        <is>
          <t>MAYURUNIQ</t>
        </is>
      </c>
      <c r="B208" t="n">
        <v>-73.27841083115081</v>
      </c>
      <c r="C208" t="n">
        <v>-0.6493506493506456</v>
      </c>
      <c r="D208" s="21" t="n">
        <v>45656</v>
      </c>
      <c r="E208" t="n">
        <v>600.7</v>
      </c>
      <c r="F208" t="n">
        <v>600.8</v>
      </c>
      <c r="G208" t="n">
        <v>591.5</v>
      </c>
      <c r="H208" t="n">
        <v>596.7</v>
      </c>
      <c r="I208" t="n">
        <v>25650</v>
      </c>
      <c r="J208" t="n">
        <v>95989.8</v>
      </c>
      <c r="K208" t="inlineStr"/>
      <c r="L208" t="inlineStr">
        <is>
          <t>Bull</t>
        </is>
      </c>
      <c r="M208" t="n">
        <v>8</v>
      </c>
      <c r="N208" s="21" t="n">
        <v>45643</v>
      </c>
    </row>
    <row r="209">
      <c r="A209" t="inlineStr">
        <is>
          <t>METROBRAND</t>
        </is>
      </c>
      <c r="B209" t="n">
        <v>-50.07370645930106</v>
      </c>
      <c r="C209" t="n">
        <v>-1.200144017282074</v>
      </c>
      <c r="D209" s="21" t="n">
        <v>45656</v>
      </c>
      <c r="E209" t="n">
        <v>1257.75</v>
      </c>
      <c r="F209" t="n">
        <v>1257.75</v>
      </c>
      <c r="G209" t="n">
        <v>1225.5</v>
      </c>
      <c r="H209" t="n">
        <v>1234.85</v>
      </c>
      <c r="I209" t="n">
        <v>73308</v>
      </c>
      <c r="J209" t="n">
        <v>146832.45</v>
      </c>
      <c r="K209" t="inlineStr"/>
      <c r="L209" t="inlineStr">
        <is>
          <t>Bull</t>
        </is>
      </c>
      <c r="M209" t="n">
        <v>15</v>
      </c>
      <c r="N209" s="21" t="n">
        <v>45632</v>
      </c>
    </row>
    <row r="210">
      <c r="A210" t="inlineStr">
        <is>
          <t>METROPOLIS</t>
        </is>
      </c>
      <c r="B210" t="n">
        <v>-36.72162765853703</v>
      </c>
      <c r="C210" t="n">
        <v>-0.2818064766902403</v>
      </c>
      <c r="D210" s="21" t="n">
        <v>45656</v>
      </c>
      <c r="E210" t="n">
        <v>2058.15</v>
      </c>
      <c r="F210" t="n">
        <v>2076.4</v>
      </c>
      <c r="G210" t="n">
        <v>2026.25</v>
      </c>
      <c r="H210" t="n">
        <v>2052.35</v>
      </c>
      <c r="I210" t="n">
        <v>143078</v>
      </c>
      <c r="J210" t="n">
        <v>226108.85</v>
      </c>
      <c r="K210" t="inlineStr"/>
      <c r="L210" t="inlineStr">
        <is>
          <t>Bear</t>
        </is>
      </c>
      <c r="M210" t="n">
        <v>4</v>
      </c>
      <c r="N210" s="21" t="n">
        <v>45649</v>
      </c>
    </row>
    <row r="211">
      <c r="A211" t="inlineStr">
        <is>
          <t>MOIL</t>
        </is>
      </c>
      <c r="B211" t="n">
        <v>-62.18099032723937</v>
      </c>
      <c r="C211" t="n">
        <v>-3.27294869843203</v>
      </c>
      <c r="D211" s="21" t="n">
        <v>45656</v>
      </c>
      <c r="E211" t="n">
        <v>329.6</v>
      </c>
      <c r="F211" t="n">
        <v>329.65</v>
      </c>
      <c r="G211" t="n">
        <v>316.15</v>
      </c>
      <c r="H211" t="n">
        <v>317.7</v>
      </c>
      <c r="I211" t="n">
        <v>488029</v>
      </c>
      <c r="J211" t="n">
        <v>1290433.05</v>
      </c>
      <c r="K211" t="inlineStr"/>
      <c r="L211" t="inlineStr">
        <is>
          <t>Bear</t>
        </is>
      </c>
      <c r="M211" t="n">
        <v>0</v>
      </c>
      <c r="N211" s="21" t="n">
        <v>45656</v>
      </c>
    </row>
    <row r="212">
      <c r="A212" t="inlineStr">
        <is>
          <t>MOLDTECH</t>
        </is>
      </c>
      <c r="B212" t="n">
        <v>-29.45659568986906</v>
      </c>
      <c r="C212" t="n">
        <v>-0.6452258290401742</v>
      </c>
      <c r="D212" s="21" t="n">
        <v>45656</v>
      </c>
      <c r="E212" t="n">
        <v>199.02</v>
      </c>
      <c r="F212" t="n">
        <v>201.72</v>
      </c>
      <c r="G212" t="n">
        <v>197.9</v>
      </c>
      <c r="H212" t="n">
        <v>198.64</v>
      </c>
      <c r="I212" t="n">
        <v>40801</v>
      </c>
      <c r="J212" t="n">
        <v>57838.15</v>
      </c>
      <c r="K212" t="inlineStr"/>
      <c r="L212" t="inlineStr">
        <is>
          <t>Bear</t>
        </is>
      </c>
      <c r="M212" t="n">
        <v>98</v>
      </c>
      <c r="N212" s="21" t="n">
        <v>45511</v>
      </c>
    </row>
    <row r="213">
      <c r="A213" t="inlineStr">
        <is>
          <t>MPSLTD</t>
        </is>
      </c>
      <c r="B213" t="n">
        <v>-61.65254177496691</v>
      </c>
      <c r="C213" t="n">
        <v>-1.193340863330548</v>
      </c>
      <c r="D213" s="21" t="n">
        <v>45656</v>
      </c>
      <c r="E213" t="n">
        <v>2042.4</v>
      </c>
      <c r="F213" t="n">
        <v>2047.5</v>
      </c>
      <c r="G213" t="n">
        <v>1990</v>
      </c>
      <c r="H213" t="n">
        <v>2012</v>
      </c>
      <c r="I213" t="n">
        <v>6794</v>
      </c>
      <c r="J213" t="n">
        <v>17716.95</v>
      </c>
      <c r="K213" t="inlineStr"/>
      <c r="L213" t="inlineStr">
        <is>
          <t>Bear</t>
        </is>
      </c>
      <c r="M213" t="n">
        <v>9</v>
      </c>
      <c r="N213" s="21" t="n">
        <v>45642</v>
      </c>
    </row>
    <row r="214">
      <c r="A214" t="inlineStr">
        <is>
          <t>MRF</t>
        </is>
      </c>
      <c r="B214" t="n">
        <v>74.53069507864029</v>
      </c>
      <c r="C214" t="n">
        <v>-0.3449539275946331</v>
      </c>
      <c r="D214" s="21" t="n">
        <v>45656</v>
      </c>
      <c r="E214" t="n">
        <v>130955</v>
      </c>
      <c r="F214" t="n">
        <v>131873.6</v>
      </c>
      <c r="G214" t="n">
        <v>129500</v>
      </c>
      <c r="H214" t="n">
        <v>131100</v>
      </c>
      <c r="I214" t="n">
        <v>10148</v>
      </c>
      <c r="J214" t="n">
        <v>5814.45</v>
      </c>
      <c r="K214" t="inlineStr"/>
      <c r="L214" t="inlineStr">
        <is>
          <t>Bull</t>
        </is>
      </c>
      <c r="M214" t="n">
        <v>11</v>
      </c>
      <c r="N214" s="21" t="n">
        <v>45638</v>
      </c>
    </row>
    <row r="215">
      <c r="A215" t="inlineStr">
        <is>
          <t>MSTCLTD</t>
        </is>
      </c>
      <c r="B215" t="n">
        <v>-67.28363175975454</v>
      </c>
      <c r="C215" t="n">
        <v>-2.019002375296915</v>
      </c>
      <c r="D215" s="21" t="n">
        <v>45656</v>
      </c>
      <c r="E215" t="n">
        <v>674.5</v>
      </c>
      <c r="F215" t="n">
        <v>678.25</v>
      </c>
      <c r="G215" t="n">
        <v>650</v>
      </c>
      <c r="H215" t="n">
        <v>660</v>
      </c>
      <c r="I215" t="n">
        <v>123791</v>
      </c>
      <c r="J215" t="n">
        <v>378376.35</v>
      </c>
      <c r="K215" t="inlineStr"/>
      <c r="L215" t="inlineStr">
        <is>
          <t>Bull</t>
        </is>
      </c>
      <c r="M215" t="n">
        <v>16</v>
      </c>
      <c r="N215" s="21" t="n">
        <v>45631</v>
      </c>
    </row>
    <row r="216">
      <c r="A216" t="inlineStr">
        <is>
          <t>MUTHOOTFIN</t>
        </is>
      </c>
      <c r="B216" t="n">
        <v>-1.161033382019838</v>
      </c>
      <c r="C216" t="n">
        <v>1.541360649400855</v>
      </c>
      <c r="D216" s="21" t="n">
        <v>45656</v>
      </c>
      <c r="E216" t="n">
        <v>2050</v>
      </c>
      <c r="F216" t="n">
        <v>2131</v>
      </c>
      <c r="G216" t="n">
        <v>2050</v>
      </c>
      <c r="H216" t="n">
        <v>2101.5</v>
      </c>
      <c r="I216" t="n">
        <v>489358</v>
      </c>
      <c r="J216" t="n">
        <v>495106.35</v>
      </c>
      <c r="K216" t="inlineStr"/>
      <c r="L216" t="inlineStr">
        <is>
          <t>Bull</t>
        </is>
      </c>
      <c r="M216" t="n">
        <v>15</v>
      </c>
      <c r="N216" s="21" t="n">
        <v>45632</v>
      </c>
    </row>
    <row r="217">
      <c r="A217" t="inlineStr">
        <is>
          <t>NH</t>
        </is>
      </c>
      <c r="B217" t="n">
        <v>-35.95974549794209</v>
      </c>
      <c r="C217" t="n">
        <v>-1.818882466281303</v>
      </c>
      <c r="D217" s="21" t="n">
        <v>45656</v>
      </c>
      <c r="E217" t="n">
        <v>1307</v>
      </c>
      <c r="F217" t="n">
        <v>1308</v>
      </c>
      <c r="G217" t="n">
        <v>1265</v>
      </c>
      <c r="H217" t="n">
        <v>1273.9</v>
      </c>
      <c r="I217" t="n">
        <v>209844</v>
      </c>
      <c r="J217" t="n">
        <v>327675.15</v>
      </c>
      <c r="K217" t="inlineStr"/>
      <c r="L217" t="inlineStr">
        <is>
          <t>Bull</t>
        </is>
      </c>
      <c r="M217" t="n">
        <v>32</v>
      </c>
      <c r="N217" s="21" t="n">
        <v>45607</v>
      </c>
    </row>
    <row r="218">
      <c r="A218" t="inlineStr">
        <is>
          <t>NATCOPHARM</t>
        </is>
      </c>
      <c r="B218" t="n">
        <v>-43.23956716778947</v>
      </c>
      <c r="C218" t="n">
        <v>0.3843390804597636</v>
      </c>
      <c r="D218" s="21" t="n">
        <v>45656</v>
      </c>
      <c r="E218" t="n">
        <v>1392.1</v>
      </c>
      <c r="F218" t="n">
        <v>1405.6</v>
      </c>
      <c r="G218" t="n">
        <v>1380.65</v>
      </c>
      <c r="H218" t="n">
        <v>1397.35</v>
      </c>
      <c r="I218" t="n">
        <v>371803</v>
      </c>
      <c r="J218" t="n">
        <v>655039.05</v>
      </c>
      <c r="K218" t="inlineStr"/>
      <c r="L218" t="inlineStr">
        <is>
          <t>Bull</t>
        </is>
      </c>
      <c r="M218" t="n">
        <v>14</v>
      </c>
      <c r="N218" s="21" t="n">
        <v>45635</v>
      </c>
    </row>
    <row r="219">
      <c r="A219" t="inlineStr">
        <is>
          <t>NATIONALUM</t>
        </is>
      </c>
      <c r="B219" t="n">
        <v>-27.11372682314208</v>
      </c>
      <c r="C219" t="n">
        <v>-1.839973781544083</v>
      </c>
      <c r="D219" s="21" t="n">
        <v>45656</v>
      </c>
      <c r="E219" t="n">
        <v>213.59</v>
      </c>
      <c r="F219" t="n">
        <v>213.89</v>
      </c>
      <c r="G219" t="n">
        <v>206.86</v>
      </c>
      <c r="H219" t="n">
        <v>209.66</v>
      </c>
      <c r="I219" t="n">
        <v>11393505</v>
      </c>
      <c r="J219" t="n">
        <v>15631894.05</v>
      </c>
      <c r="K219" t="inlineStr"/>
      <c r="L219" t="inlineStr">
        <is>
          <t>Bear</t>
        </is>
      </c>
      <c r="M219" t="n">
        <v>1</v>
      </c>
      <c r="N219" s="21" t="n">
        <v>45653</v>
      </c>
    </row>
    <row r="220">
      <c r="A220" t="inlineStr">
        <is>
          <t>NAVA</t>
        </is>
      </c>
      <c r="B220" t="n">
        <v>-26.07057270456058</v>
      </c>
      <c r="C220" t="n">
        <v>-1.083141109216735</v>
      </c>
      <c r="D220" s="21" t="n">
        <v>45656</v>
      </c>
      <c r="E220" t="n">
        <v>1007.4</v>
      </c>
      <c r="F220" t="n">
        <v>1007.5</v>
      </c>
      <c r="G220" t="n">
        <v>983.25</v>
      </c>
      <c r="H220" t="n">
        <v>986.3</v>
      </c>
      <c r="I220" t="n">
        <v>94308</v>
      </c>
      <c r="J220" t="n">
        <v>127564.9</v>
      </c>
      <c r="K220" t="inlineStr"/>
      <c r="L220" t="inlineStr">
        <is>
          <t>Bull</t>
        </is>
      </c>
      <c r="M220" t="n">
        <v>20</v>
      </c>
      <c r="N220" s="21" t="n">
        <v>45625</v>
      </c>
    </row>
    <row r="221">
      <c r="A221" t="inlineStr">
        <is>
          <t>NAVNETEDUL</t>
        </is>
      </c>
      <c r="B221" t="n">
        <v>26.82705154189426</v>
      </c>
      <c r="C221" t="n">
        <v>2.304602156600191</v>
      </c>
      <c r="D221" s="21" t="n">
        <v>45656</v>
      </c>
      <c r="E221" t="n">
        <v>139.4</v>
      </c>
      <c r="F221" t="n">
        <v>146.89</v>
      </c>
      <c r="G221" t="n">
        <v>139.01</v>
      </c>
      <c r="H221" t="n">
        <v>145.16</v>
      </c>
      <c r="I221" t="n">
        <v>174430</v>
      </c>
      <c r="J221" t="n">
        <v>137533.75</v>
      </c>
      <c r="K221" t="inlineStr"/>
      <c r="L221" t="inlineStr">
        <is>
          <t>Bear</t>
        </is>
      </c>
      <c r="M221" t="n">
        <v>76</v>
      </c>
      <c r="N221" s="21" t="n">
        <v>45544</v>
      </c>
    </row>
    <row r="222">
      <c r="A222" t="inlineStr">
        <is>
          <t>NCC</t>
        </is>
      </c>
      <c r="B222" t="n">
        <v>12.0193944986737</v>
      </c>
      <c r="C222" t="n">
        <v>-3.170338527673282</v>
      </c>
      <c r="D222" s="21" t="n">
        <v>45656</v>
      </c>
      <c r="E222" t="n">
        <v>279.1</v>
      </c>
      <c r="F222" t="n">
        <v>279.6</v>
      </c>
      <c r="G222" t="n">
        <v>268.5</v>
      </c>
      <c r="H222" t="n">
        <v>270.3</v>
      </c>
      <c r="I222" t="n">
        <v>3189138</v>
      </c>
      <c r="J222" t="n">
        <v>2846951.65</v>
      </c>
      <c r="K222" t="inlineStr"/>
      <c r="L222" t="inlineStr">
        <is>
          <t>Bear</t>
        </is>
      </c>
      <c r="M222" t="n">
        <v>4</v>
      </c>
      <c r="N222" s="21" t="n">
        <v>45649</v>
      </c>
    </row>
    <row r="223">
      <c r="A223" t="inlineStr">
        <is>
          <t>NELCO</t>
        </is>
      </c>
      <c r="B223" t="n">
        <v>-61.22462310261921</v>
      </c>
      <c r="C223" t="n">
        <v>-1.496112463677056</v>
      </c>
      <c r="D223" s="21" t="n">
        <v>45656</v>
      </c>
      <c r="E223" t="n">
        <v>1279.7</v>
      </c>
      <c r="F223" t="n">
        <v>1287</v>
      </c>
      <c r="G223" t="n">
        <v>1224</v>
      </c>
      <c r="H223" t="n">
        <v>1254.25</v>
      </c>
      <c r="I223" t="n">
        <v>148108</v>
      </c>
      <c r="J223" t="n">
        <v>381964.05</v>
      </c>
      <c r="K223" t="inlineStr"/>
      <c r="L223" t="inlineStr">
        <is>
          <t>Bull</t>
        </is>
      </c>
      <c r="M223" t="n">
        <v>19</v>
      </c>
      <c r="N223" s="21" t="n">
        <v>45628</v>
      </c>
    </row>
    <row r="224">
      <c r="A224" t="inlineStr">
        <is>
          <t>NESCO</t>
        </is>
      </c>
      <c r="B224" t="n">
        <v>-51.29683066397314</v>
      </c>
      <c r="C224" t="n">
        <v>-0.3723906430294718</v>
      </c>
      <c r="D224" s="21" t="n">
        <v>45656</v>
      </c>
      <c r="E224" t="n">
        <v>956.95</v>
      </c>
      <c r="F224" t="n">
        <v>960.8</v>
      </c>
      <c r="G224" t="n">
        <v>940.4</v>
      </c>
      <c r="H224" t="n">
        <v>949.75</v>
      </c>
      <c r="I224" t="n">
        <v>30389</v>
      </c>
      <c r="J224" t="n">
        <v>62396.35</v>
      </c>
      <c r="K224" t="inlineStr"/>
      <c r="L224" t="inlineStr">
        <is>
          <t>Bear</t>
        </is>
      </c>
      <c r="M224" t="n">
        <v>1</v>
      </c>
      <c r="N224" s="21" t="n">
        <v>45653</v>
      </c>
    </row>
    <row r="225">
      <c r="A225" t="inlineStr">
        <is>
          <t>NEULANDLAB</t>
        </is>
      </c>
      <c r="B225" t="n">
        <v>-77.58796226198371</v>
      </c>
      <c r="C225" t="n">
        <v>1.045441110466453</v>
      </c>
      <c r="D225" s="21" t="n">
        <v>45656</v>
      </c>
      <c r="E225" t="n">
        <v>13802</v>
      </c>
      <c r="F225" t="n">
        <v>14019.7</v>
      </c>
      <c r="G225" t="n">
        <v>13700</v>
      </c>
      <c r="H225" t="n">
        <v>13845.6</v>
      </c>
      <c r="I225" t="n">
        <v>21463</v>
      </c>
      <c r="J225" t="n">
        <v>95765.5</v>
      </c>
      <c r="K225" t="inlineStr"/>
      <c r="L225" t="inlineStr">
        <is>
          <t>Bull</t>
        </is>
      </c>
      <c r="M225" t="n">
        <v>128</v>
      </c>
      <c r="N225" s="21" t="n">
        <v>45468</v>
      </c>
    </row>
    <row r="226">
      <c r="A226" t="inlineStr">
        <is>
          <t>NGLFINE</t>
        </is>
      </c>
      <c r="B226" t="n">
        <v>13.12283441510907</v>
      </c>
      <c r="C226" t="n">
        <v>-2.413402261355159</v>
      </c>
      <c r="D226" s="21" t="n">
        <v>45656</v>
      </c>
      <c r="E226" t="n">
        <v>1814.5</v>
      </c>
      <c r="F226" t="n">
        <v>1819.5</v>
      </c>
      <c r="G226" t="n">
        <v>1742.35</v>
      </c>
      <c r="H226" t="n">
        <v>1765</v>
      </c>
      <c r="I226" t="n">
        <v>3477</v>
      </c>
      <c r="J226" t="n">
        <v>3073.65</v>
      </c>
      <c r="K226" t="inlineStr"/>
      <c r="L226" t="inlineStr">
        <is>
          <t>Bear</t>
        </is>
      </c>
      <c r="M226" t="n">
        <v>88</v>
      </c>
      <c r="N226" s="21" t="n">
        <v>45526</v>
      </c>
    </row>
    <row r="227">
      <c r="A227" t="inlineStr">
        <is>
          <t>NHPC</t>
        </is>
      </c>
      <c r="B227" t="n">
        <v>145.5348863510287</v>
      </c>
      <c r="C227" t="n">
        <v>-0.7220216606498173</v>
      </c>
      <c r="D227" s="21" t="n">
        <v>45656</v>
      </c>
      <c r="E227" t="n">
        <v>80.67</v>
      </c>
      <c r="F227" t="n">
        <v>81.40000000000001</v>
      </c>
      <c r="G227" t="n">
        <v>78.78</v>
      </c>
      <c r="H227" t="n">
        <v>79.75</v>
      </c>
      <c r="I227" t="n">
        <v>58030384</v>
      </c>
      <c r="J227" t="n">
        <v>23634272.45</v>
      </c>
      <c r="K227" t="inlineStr"/>
      <c r="L227" t="inlineStr">
        <is>
          <t>Bear</t>
        </is>
      </c>
      <c r="M227" t="n">
        <v>95</v>
      </c>
      <c r="N227" s="21" t="n">
        <v>45516</v>
      </c>
    </row>
    <row r="228">
      <c r="A228" t="inlineStr">
        <is>
          <t>NAM-INDIA</t>
        </is>
      </c>
      <c r="B228" t="n">
        <v>-4.411973125811848</v>
      </c>
      <c r="C228" t="n">
        <v>-1.955555555555549</v>
      </c>
      <c r="D228" s="21" t="n">
        <v>45656</v>
      </c>
      <c r="E228" t="n">
        <v>735</v>
      </c>
      <c r="F228" t="n">
        <v>748.1</v>
      </c>
      <c r="G228" t="n">
        <v>709.05</v>
      </c>
      <c r="H228" t="n">
        <v>716.95</v>
      </c>
      <c r="I228" t="n">
        <v>1391071</v>
      </c>
      <c r="J228" t="n">
        <v>1455277.45</v>
      </c>
      <c r="K228" t="inlineStr"/>
      <c r="L228" t="inlineStr">
        <is>
          <t>Bull</t>
        </is>
      </c>
      <c r="M228" t="n">
        <v>51</v>
      </c>
      <c r="N228" s="21" t="n">
        <v>45580</v>
      </c>
    </row>
    <row r="229">
      <c r="A229" t="inlineStr">
        <is>
          <t>NMDC</t>
        </is>
      </c>
      <c r="B229" t="n">
        <v>8.928754747731183</v>
      </c>
      <c r="C229" t="n">
        <v>-3.519907674552795</v>
      </c>
      <c r="D229" s="21" t="n">
        <v>45656</v>
      </c>
      <c r="E229" t="n">
        <v>69.45</v>
      </c>
      <c r="F229" t="n">
        <v>69.65000000000001</v>
      </c>
      <c r="G229" t="n">
        <v>66.51000000000001</v>
      </c>
      <c r="H229" t="n">
        <v>66.88</v>
      </c>
      <c r="I229" t="n">
        <v>39389278</v>
      </c>
      <c r="J229" t="n">
        <v>36160587.8</v>
      </c>
      <c r="K229" t="inlineStr"/>
      <c r="L229" t="inlineStr">
        <is>
          <t>Bear</t>
        </is>
      </c>
      <c r="M229" t="n">
        <v>5</v>
      </c>
      <c r="N229" s="21" t="n">
        <v>45646</v>
      </c>
    </row>
    <row r="230">
      <c r="A230" t="inlineStr">
        <is>
          <t>NRBBEARING</t>
        </is>
      </c>
      <c r="B230" t="n">
        <v>-67.43198809002665</v>
      </c>
      <c r="C230" t="n">
        <v>-0.7679942846936871</v>
      </c>
      <c r="D230" s="21" t="n">
        <v>45656</v>
      </c>
      <c r="E230" t="n">
        <v>279.95</v>
      </c>
      <c r="F230" t="n">
        <v>282</v>
      </c>
      <c r="G230" t="n">
        <v>277</v>
      </c>
      <c r="H230" t="n">
        <v>277.8</v>
      </c>
      <c r="I230" t="n">
        <v>90950</v>
      </c>
      <c r="J230" t="n">
        <v>279261.75</v>
      </c>
      <c r="K230" t="inlineStr"/>
      <c r="L230" t="inlineStr">
        <is>
          <t>Bear</t>
        </is>
      </c>
      <c r="M230" t="n">
        <v>1</v>
      </c>
      <c r="N230" s="21" t="n">
        <v>45653</v>
      </c>
    </row>
    <row r="231">
      <c r="A231" t="inlineStr">
        <is>
          <t>NTPC</t>
        </is>
      </c>
      <c r="B231" t="n">
        <v>151.3902420714893</v>
      </c>
      <c r="C231" t="n">
        <v>-1.074626865671649</v>
      </c>
      <c r="D231" s="21" t="n">
        <v>45656</v>
      </c>
      <c r="E231" t="n">
        <v>335</v>
      </c>
      <c r="F231" t="n">
        <v>336.8</v>
      </c>
      <c r="G231" t="n">
        <v>327.4</v>
      </c>
      <c r="H231" t="n">
        <v>331.4</v>
      </c>
      <c r="I231" t="n">
        <v>36657549</v>
      </c>
      <c r="J231" t="n">
        <v>14581929.95</v>
      </c>
      <c r="K231" t="inlineStr"/>
      <c r="L231" t="inlineStr">
        <is>
          <t>Bear</t>
        </is>
      </c>
      <c r="M231" t="n">
        <v>36</v>
      </c>
      <c r="N231" s="21" t="n">
        <v>45601</v>
      </c>
    </row>
    <row r="232">
      <c r="A232" t="inlineStr">
        <is>
          <t>ONGC</t>
        </is>
      </c>
      <c r="B232" t="n">
        <v>96.43414500028578</v>
      </c>
      <c r="C232" t="n">
        <v>-1.794005909666526</v>
      </c>
      <c r="D232" s="21" t="n">
        <v>45656</v>
      </c>
      <c r="E232" t="n">
        <v>236.05</v>
      </c>
      <c r="F232" t="n">
        <v>237</v>
      </c>
      <c r="G232" t="n">
        <v>231.15</v>
      </c>
      <c r="H232" t="n">
        <v>232.65</v>
      </c>
      <c r="I232" t="n">
        <v>19401112</v>
      </c>
      <c r="J232" t="n">
        <v>9876649.5</v>
      </c>
      <c r="K232" t="inlineStr"/>
      <c r="L232" t="inlineStr">
        <is>
          <t>Bear</t>
        </is>
      </c>
      <c r="M232" t="n">
        <v>72</v>
      </c>
      <c r="N232" s="21" t="n">
        <v>45548</v>
      </c>
    </row>
    <row r="233">
      <c r="A233" t="inlineStr">
        <is>
          <t>OBEROIRLTY</t>
        </is>
      </c>
      <c r="B233" t="n">
        <v>26.4020222952275</v>
      </c>
      <c r="C233" t="n">
        <v>-2.174194662751549</v>
      </c>
      <c r="D233" s="21" t="n">
        <v>45656</v>
      </c>
      <c r="E233" t="n">
        <v>2335</v>
      </c>
      <c r="F233" t="n">
        <v>2337.7</v>
      </c>
      <c r="G233" t="n">
        <v>2255.7</v>
      </c>
      <c r="H233" t="n">
        <v>2265.45</v>
      </c>
      <c r="I233" t="n">
        <v>1401095</v>
      </c>
      <c r="J233" t="n">
        <v>1108443.5</v>
      </c>
      <c r="K233" t="inlineStr"/>
      <c r="L233" t="inlineStr">
        <is>
          <t>Bull</t>
        </is>
      </c>
      <c r="M233" t="n">
        <v>72</v>
      </c>
      <c r="N233" s="21" t="n">
        <v>45548</v>
      </c>
    </row>
    <row r="234">
      <c r="A234" t="inlineStr">
        <is>
          <t>OIL</t>
        </is>
      </c>
      <c r="B234" t="n">
        <v>158.2437901730219</v>
      </c>
      <c r="C234" t="n">
        <v>-0.9055627425614409</v>
      </c>
      <c r="D234" s="21" t="n">
        <v>45656</v>
      </c>
      <c r="E234" t="n">
        <v>425.8</v>
      </c>
      <c r="F234" t="n">
        <v>433.95</v>
      </c>
      <c r="G234" t="n">
        <v>415.2</v>
      </c>
      <c r="H234" t="n">
        <v>421.3</v>
      </c>
      <c r="I234" t="n">
        <v>6466718</v>
      </c>
      <c r="J234" t="n">
        <v>2504113.65</v>
      </c>
      <c r="K234" t="inlineStr"/>
      <c r="L234" t="inlineStr">
        <is>
          <t>Bear</t>
        </is>
      </c>
      <c r="M234" t="n">
        <v>63</v>
      </c>
      <c r="N234" s="21" t="n">
        <v>45561</v>
      </c>
    </row>
    <row r="235">
      <c r="A235" t="inlineStr">
        <is>
          <t>PIIND</t>
        </is>
      </c>
      <c r="B235" t="n">
        <v>63.79231633217181</v>
      </c>
      <c r="C235" t="n">
        <v>-0.2163317086198814</v>
      </c>
      <c r="D235" s="21" t="n">
        <v>45656</v>
      </c>
      <c r="E235" t="n">
        <v>3744.9</v>
      </c>
      <c r="F235" t="n">
        <v>3767.8</v>
      </c>
      <c r="G235" t="n">
        <v>3675.6</v>
      </c>
      <c r="H235" t="n">
        <v>3736.15</v>
      </c>
      <c r="I235" t="n">
        <v>523817</v>
      </c>
      <c r="J235" t="n">
        <v>319805.6</v>
      </c>
      <c r="K235" t="inlineStr"/>
      <c r="L235" t="inlineStr">
        <is>
          <t>Bear</t>
        </is>
      </c>
      <c r="M235" t="n">
        <v>28</v>
      </c>
      <c r="N235" s="21" t="n">
        <v>45614</v>
      </c>
    </row>
    <row r="236">
      <c r="A236" t="inlineStr">
        <is>
          <t>PAISALO</t>
        </is>
      </c>
      <c r="B236" t="n">
        <v>-56.42092825610888</v>
      </c>
      <c r="C236" t="n">
        <v>-3.459605720912252</v>
      </c>
      <c r="D236" s="21" t="n">
        <v>45656</v>
      </c>
      <c r="E236" t="n">
        <v>51.73</v>
      </c>
      <c r="F236" t="n">
        <v>51.95</v>
      </c>
      <c r="G236" t="n">
        <v>48.85</v>
      </c>
      <c r="H236" t="n">
        <v>49.95</v>
      </c>
      <c r="I236" t="n">
        <v>1182451</v>
      </c>
      <c r="J236" t="n">
        <v>2713346</v>
      </c>
      <c r="K236" t="inlineStr"/>
      <c r="L236" t="inlineStr">
        <is>
          <t>Bull</t>
        </is>
      </c>
      <c r="M236" t="n">
        <v>16</v>
      </c>
      <c r="N236" s="21" t="n">
        <v>45631</v>
      </c>
    </row>
    <row r="237">
      <c r="A237" t="inlineStr">
        <is>
          <t>PANAMAPET</t>
        </is>
      </c>
      <c r="B237" t="n">
        <v>-71.98187118770622</v>
      </c>
      <c r="C237" t="n">
        <v>-2.144772117962467</v>
      </c>
      <c r="D237" s="21" t="n">
        <v>45656</v>
      </c>
      <c r="E237" t="n">
        <v>373.85</v>
      </c>
      <c r="F237" t="n">
        <v>374.8</v>
      </c>
      <c r="G237" t="n">
        <v>363.2</v>
      </c>
      <c r="H237" t="n">
        <v>365</v>
      </c>
      <c r="I237" t="n">
        <v>20413</v>
      </c>
      <c r="J237" t="n">
        <v>72856.39999999999</v>
      </c>
      <c r="K237" t="inlineStr"/>
      <c r="L237" t="inlineStr">
        <is>
          <t>Bull</t>
        </is>
      </c>
      <c r="M237" t="n">
        <v>11</v>
      </c>
      <c r="N237" s="21" t="n">
        <v>45638</v>
      </c>
    </row>
    <row r="238">
      <c r="A238" t="inlineStr">
        <is>
          <t>PETRONET</t>
        </is>
      </c>
      <c r="B238" t="n">
        <v>24.26670146418271</v>
      </c>
      <c r="C238" t="n">
        <v>1.130192279465734</v>
      </c>
      <c r="D238" s="21" t="n">
        <v>45656</v>
      </c>
      <c r="E238" t="n">
        <v>340</v>
      </c>
      <c r="F238" t="n">
        <v>349.5</v>
      </c>
      <c r="G238" t="n">
        <v>337.2</v>
      </c>
      <c r="H238" t="n">
        <v>344.5</v>
      </c>
      <c r="I238" t="n">
        <v>3121650</v>
      </c>
      <c r="J238" t="n">
        <v>2512056.7</v>
      </c>
      <c r="K238" t="inlineStr"/>
      <c r="L238" t="inlineStr">
        <is>
          <t>Bull</t>
        </is>
      </c>
      <c r="M238" t="n">
        <v>2</v>
      </c>
      <c r="N238" s="21" t="n">
        <v>45652</v>
      </c>
    </row>
    <row r="239">
      <c r="A239" t="inlineStr">
        <is>
          <t>PFIZER</t>
        </is>
      </c>
      <c r="B239" t="n">
        <v>480.8711736920833</v>
      </c>
      <c r="C239" t="n">
        <v>10.09037844048462</v>
      </c>
      <c r="D239" s="21" t="n">
        <v>45656</v>
      </c>
      <c r="E239" t="n">
        <v>4830</v>
      </c>
      <c r="F239" t="n">
        <v>5469</v>
      </c>
      <c r="G239" t="n">
        <v>4780</v>
      </c>
      <c r="H239" t="n">
        <v>5365.75</v>
      </c>
      <c r="I239" t="n">
        <v>307747</v>
      </c>
      <c r="J239" t="n">
        <v>52980.25</v>
      </c>
      <c r="K239" t="inlineStr"/>
      <c r="L239" t="inlineStr">
        <is>
          <t>Bear</t>
        </is>
      </c>
      <c r="M239" t="n">
        <v>45</v>
      </c>
      <c r="N239" s="21" t="n">
        <v>45588</v>
      </c>
    </row>
    <row r="240">
      <c r="A240" t="inlineStr">
        <is>
          <t>PGEL</t>
        </is>
      </c>
      <c r="B240" t="n">
        <v>-18.8763332731933</v>
      </c>
      <c r="C240" t="n">
        <v>1.525295746287438</v>
      </c>
      <c r="D240" s="21" t="n">
        <v>45656</v>
      </c>
      <c r="E240" t="n">
        <v>1003</v>
      </c>
      <c r="F240" t="n">
        <v>1015</v>
      </c>
      <c r="G240" t="n">
        <v>967</v>
      </c>
      <c r="H240" t="n">
        <v>1008.4</v>
      </c>
      <c r="I240" t="n">
        <v>1649046</v>
      </c>
      <c r="J240" t="n">
        <v>2032755.75</v>
      </c>
      <c r="K240" t="inlineStr"/>
      <c r="L240" t="inlineStr">
        <is>
          <t>Bull</t>
        </is>
      </c>
      <c r="M240" t="n">
        <v>171</v>
      </c>
      <c r="N240" s="21" t="n">
        <v>45405</v>
      </c>
    </row>
    <row r="241">
      <c r="A241" t="inlineStr">
        <is>
          <t>PHOENIXLTD</t>
        </is>
      </c>
      <c r="B241" t="n">
        <v>61.06165603726301</v>
      </c>
      <c r="C241" t="n">
        <v>-1.597547675892352</v>
      </c>
      <c r="D241" s="21" t="n">
        <v>45656</v>
      </c>
      <c r="E241" t="n">
        <v>1696.25</v>
      </c>
      <c r="F241" t="n">
        <v>1758.75</v>
      </c>
      <c r="G241" t="n">
        <v>1650</v>
      </c>
      <c r="H241" t="n">
        <v>1669.25</v>
      </c>
      <c r="I241" t="n">
        <v>1035431</v>
      </c>
      <c r="J241" t="n">
        <v>642878.65</v>
      </c>
      <c r="K241" t="inlineStr"/>
      <c r="L241" t="inlineStr">
        <is>
          <t>Bull</t>
        </is>
      </c>
      <c r="M241" t="n">
        <v>17</v>
      </c>
      <c r="N241" s="21" t="n">
        <v>45630</v>
      </c>
    </row>
    <row r="242">
      <c r="A242" t="inlineStr">
        <is>
          <t>PIXTRANS</t>
        </is>
      </c>
      <c r="B242" t="n">
        <v>-75.27480563900046</v>
      </c>
      <c r="C242" t="n">
        <v>-2.468702951306532</v>
      </c>
      <c r="D242" s="21" t="n">
        <v>45656</v>
      </c>
      <c r="E242" t="n">
        <v>2448</v>
      </c>
      <c r="F242" t="n">
        <v>2448.3</v>
      </c>
      <c r="G242" t="n">
        <v>2349.9</v>
      </c>
      <c r="H242" t="n">
        <v>2364.5</v>
      </c>
      <c r="I242" t="n">
        <v>16482</v>
      </c>
      <c r="J242" t="n">
        <v>66660.75</v>
      </c>
      <c r="K242" t="inlineStr"/>
      <c r="L242" t="inlineStr">
        <is>
          <t>Bull</t>
        </is>
      </c>
      <c r="M242" t="n">
        <v>37</v>
      </c>
      <c r="N242" s="21" t="n">
        <v>45600</v>
      </c>
    </row>
    <row r="243">
      <c r="A243" t="inlineStr">
        <is>
          <t>PNBHOUSING</t>
        </is>
      </c>
      <c r="B243" t="n">
        <v>-19.44957617292707</v>
      </c>
      <c r="C243" t="n">
        <v>2.197414806110464</v>
      </c>
      <c r="D243" s="21" t="n">
        <v>45656</v>
      </c>
      <c r="E243" t="n">
        <v>850</v>
      </c>
      <c r="F243" t="n">
        <v>880.95</v>
      </c>
      <c r="G243" t="n">
        <v>835.6</v>
      </c>
      <c r="H243" t="n">
        <v>869.7</v>
      </c>
      <c r="I243" t="n">
        <v>887509</v>
      </c>
      <c r="J243" t="n">
        <v>1101805.5</v>
      </c>
      <c r="K243" t="inlineStr"/>
      <c r="L243" t="inlineStr">
        <is>
          <t>Bear</t>
        </is>
      </c>
      <c r="M243" t="n">
        <v>28</v>
      </c>
      <c r="N243" s="21" t="n">
        <v>45614</v>
      </c>
    </row>
    <row r="244">
      <c r="A244" t="inlineStr">
        <is>
          <t>POKARNA</t>
        </is>
      </c>
      <c r="B244" t="n">
        <v>-59.80403918932253</v>
      </c>
      <c r="C244" t="n">
        <v>0.5051644039511196</v>
      </c>
      <c r="D244" s="21" t="n">
        <v>45656</v>
      </c>
      <c r="E244" t="n">
        <v>1108.55</v>
      </c>
      <c r="F244" t="n">
        <v>1133.85</v>
      </c>
      <c r="G244" t="n">
        <v>1096.55</v>
      </c>
      <c r="H244" t="n">
        <v>1114.15</v>
      </c>
      <c r="I244" t="n">
        <v>56622</v>
      </c>
      <c r="J244" t="n">
        <v>140864.9</v>
      </c>
      <c r="K244" t="inlineStr"/>
      <c r="L244" t="inlineStr">
        <is>
          <t>Bull</t>
        </is>
      </c>
      <c r="M244" t="n">
        <v>155</v>
      </c>
      <c r="N244" s="21" t="n">
        <v>45428</v>
      </c>
    </row>
    <row r="245">
      <c r="A245" t="inlineStr">
        <is>
          <t>POLYMED</t>
        </is>
      </c>
      <c r="B245" t="n">
        <v>54.97646095750476</v>
      </c>
      <c r="C245" t="n">
        <v>3.641578478884391</v>
      </c>
      <c r="D245" s="21" t="n">
        <v>45656</v>
      </c>
      <c r="E245" t="n">
        <v>2527.75</v>
      </c>
      <c r="F245" t="n">
        <v>2755</v>
      </c>
      <c r="G245" t="n">
        <v>2519.4</v>
      </c>
      <c r="H245" t="n">
        <v>2619.8</v>
      </c>
      <c r="I245" t="n">
        <v>245543</v>
      </c>
      <c r="J245" t="n">
        <v>158438.9</v>
      </c>
      <c r="K245" t="inlineStr"/>
      <c r="L245" t="inlineStr">
        <is>
          <t>Bull</t>
        </is>
      </c>
      <c r="M245" t="n">
        <v>186</v>
      </c>
      <c r="N245" s="21" t="n">
        <v>45379</v>
      </c>
    </row>
    <row r="246">
      <c r="A246" t="inlineStr">
        <is>
          <t>POLYCAB</t>
        </is>
      </c>
      <c r="B246" t="n">
        <v>73.86737905039354</v>
      </c>
      <c r="C246" t="n">
        <v>1.879917473860889</v>
      </c>
      <c r="D246" s="21" t="n">
        <v>45656</v>
      </c>
      <c r="E246" t="n">
        <v>7185</v>
      </c>
      <c r="F246" t="n">
        <v>7328</v>
      </c>
      <c r="G246" t="n">
        <v>7145.2</v>
      </c>
      <c r="H246" t="n">
        <v>7283.65</v>
      </c>
      <c r="I246" t="n">
        <v>378267</v>
      </c>
      <c r="J246" t="n">
        <v>217560.65</v>
      </c>
      <c r="K246" t="inlineStr"/>
      <c r="L246" t="inlineStr">
        <is>
          <t>Bull</t>
        </is>
      </c>
      <c r="M246" t="n">
        <v>20</v>
      </c>
      <c r="N246" s="21" t="n">
        <v>45625</v>
      </c>
    </row>
    <row r="247">
      <c r="A247" t="inlineStr">
        <is>
          <t>POWERGRID</t>
        </is>
      </c>
      <c r="B247" t="n">
        <v>3.738399003365156</v>
      </c>
      <c r="C247" t="n">
        <v>-0.5979314802844105</v>
      </c>
      <c r="D247" s="21" t="n">
        <v>45656</v>
      </c>
      <c r="E247" t="n">
        <v>309</v>
      </c>
      <c r="F247" t="n">
        <v>312</v>
      </c>
      <c r="G247" t="n">
        <v>306.3</v>
      </c>
      <c r="H247" t="n">
        <v>307.55</v>
      </c>
      <c r="I247" t="n">
        <v>12489142</v>
      </c>
      <c r="J247" t="n">
        <v>12039073.4</v>
      </c>
      <c r="K247" t="inlineStr"/>
      <c r="L247" t="inlineStr">
        <is>
          <t>Bear</t>
        </is>
      </c>
      <c r="M247" t="n">
        <v>5</v>
      </c>
      <c r="N247" s="21" t="n">
        <v>45646</v>
      </c>
    </row>
    <row r="248">
      <c r="A248" t="inlineStr">
        <is>
          <t>PRAKASH</t>
        </is>
      </c>
      <c r="B248" t="n">
        <v>-44.8293889958036</v>
      </c>
      <c r="C248" t="n">
        <v>-3.384148269972797</v>
      </c>
      <c r="D248" s="21" t="n">
        <v>45656</v>
      </c>
      <c r="E248" t="n">
        <v>158.9</v>
      </c>
      <c r="F248" t="n">
        <v>158.9</v>
      </c>
      <c r="G248" t="n">
        <v>151.88</v>
      </c>
      <c r="H248" t="n">
        <v>152.74</v>
      </c>
      <c r="I248" t="n">
        <v>463476</v>
      </c>
      <c r="J248" t="n">
        <v>840077.7</v>
      </c>
      <c r="K248" t="inlineStr"/>
      <c r="L248" t="inlineStr">
        <is>
          <t>Bear</t>
        </is>
      </c>
      <c r="M248" t="n">
        <v>66</v>
      </c>
      <c r="N248" s="21" t="n">
        <v>45558</v>
      </c>
    </row>
    <row r="249">
      <c r="A249" t="inlineStr">
        <is>
          <t>PSPPROJECT</t>
        </is>
      </c>
      <c r="B249" t="n">
        <v>-39.5360489002455</v>
      </c>
      <c r="C249" t="n">
        <v>-1.909928656361461</v>
      </c>
      <c r="D249" s="21" t="n">
        <v>45656</v>
      </c>
      <c r="E249" t="n">
        <v>670</v>
      </c>
      <c r="F249" t="n">
        <v>681</v>
      </c>
      <c r="G249" t="n">
        <v>652</v>
      </c>
      <c r="H249" t="n">
        <v>659.95</v>
      </c>
      <c r="I249" t="n">
        <v>117663</v>
      </c>
      <c r="J249" t="n">
        <v>194600.25</v>
      </c>
      <c r="K249" t="inlineStr"/>
      <c r="L249" t="inlineStr">
        <is>
          <t>Bull</t>
        </is>
      </c>
      <c r="M249" t="n">
        <v>15</v>
      </c>
      <c r="N249" s="21" t="n">
        <v>45632</v>
      </c>
    </row>
    <row r="250">
      <c r="A250" t="inlineStr">
        <is>
          <t>PUNJABCHEM</t>
        </is>
      </c>
      <c r="B250" t="n">
        <v>-72.09239173007327</v>
      </c>
      <c r="C250" t="n">
        <v>-0.8139885438649405</v>
      </c>
      <c r="D250" s="21" t="n">
        <v>45656</v>
      </c>
      <c r="E250" t="n">
        <v>993.65</v>
      </c>
      <c r="F250" t="n">
        <v>1004</v>
      </c>
      <c r="G250" t="n">
        <v>987</v>
      </c>
      <c r="H250" t="n">
        <v>987</v>
      </c>
      <c r="I250" t="n">
        <v>2672</v>
      </c>
      <c r="J250" t="n">
        <v>9574.450000000001</v>
      </c>
      <c r="K250" t="inlineStr"/>
      <c r="L250" t="inlineStr">
        <is>
          <t>Bear</t>
        </is>
      </c>
      <c r="M250" t="n">
        <v>73</v>
      </c>
      <c r="N250" s="21" t="n">
        <v>45547</v>
      </c>
    </row>
    <row r="251">
      <c r="A251" t="inlineStr">
        <is>
          <t>RPEL</t>
        </is>
      </c>
      <c r="B251" t="n">
        <v>-65.53128391903276</v>
      </c>
      <c r="C251" t="n">
        <v>-2.142348754448392</v>
      </c>
      <c r="D251" s="21" t="n">
        <v>45656</v>
      </c>
      <c r="E251" t="n">
        <v>701.6</v>
      </c>
      <c r="F251" t="n">
        <v>701.6</v>
      </c>
      <c r="G251" t="n">
        <v>672.8</v>
      </c>
      <c r="H251" t="n">
        <v>687.45</v>
      </c>
      <c r="I251" t="n">
        <v>20991</v>
      </c>
      <c r="J251" t="n">
        <v>60898.7</v>
      </c>
      <c r="K251" t="inlineStr"/>
      <c r="L251" t="inlineStr">
        <is>
          <t>No Signal</t>
        </is>
      </c>
      <c r="M251" t="n">
        <v>0</v>
      </c>
      <c r="N251" s="21" t="n">
        <v>45656.8807119268</v>
      </c>
    </row>
    <row r="252">
      <c r="A252" t="inlineStr">
        <is>
          <t>RAILTEL</t>
        </is>
      </c>
      <c r="B252" t="n">
        <v>-53.02538815870008</v>
      </c>
      <c r="C252" t="n">
        <v>-1.491788893067581</v>
      </c>
      <c r="D252" s="21" t="n">
        <v>45656</v>
      </c>
      <c r="E252" t="n">
        <v>398</v>
      </c>
      <c r="F252" t="n">
        <v>403.75</v>
      </c>
      <c r="G252" t="n">
        <v>392</v>
      </c>
      <c r="H252" t="n">
        <v>392.9</v>
      </c>
      <c r="I252" t="n">
        <v>945150</v>
      </c>
      <c r="J252" t="n">
        <v>2012044.3</v>
      </c>
      <c r="K252" t="inlineStr"/>
      <c r="L252" t="inlineStr">
        <is>
          <t>Bear</t>
        </is>
      </c>
      <c r="M252" t="n">
        <v>1</v>
      </c>
      <c r="N252" s="21" t="n">
        <v>45653</v>
      </c>
    </row>
    <row r="253">
      <c r="A253" t="inlineStr">
        <is>
          <t>RAINBOW</t>
        </is>
      </c>
      <c r="B253" t="n">
        <v>-55.19449082180687</v>
      </c>
      <c r="C253" t="n">
        <v>-1.073303648567827</v>
      </c>
      <c r="D253" s="21" t="n">
        <v>45656</v>
      </c>
      <c r="E253" t="n">
        <v>1490</v>
      </c>
      <c r="F253" t="n">
        <v>1510.15</v>
      </c>
      <c r="G253" t="n">
        <v>1475.5</v>
      </c>
      <c r="H253" t="n">
        <v>1488.55</v>
      </c>
      <c r="I253" t="n">
        <v>49513</v>
      </c>
      <c r="J253" t="n">
        <v>110506.5</v>
      </c>
      <c r="K253" t="inlineStr"/>
      <c r="L253" t="inlineStr">
        <is>
          <t>Bull</t>
        </is>
      </c>
      <c r="M253" t="n">
        <v>80</v>
      </c>
      <c r="N253" s="21" t="n">
        <v>45538</v>
      </c>
    </row>
    <row r="254">
      <c r="A254" t="inlineStr">
        <is>
          <t>RKFORGE</t>
        </is>
      </c>
      <c r="B254" t="n">
        <v>-33.40272816452903</v>
      </c>
      <c r="C254" t="n">
        <v>-1.081288764476648</v>
      </c>
      <c r="D254" s="21" t="n">
        <v>45656</v>
      </c>
      <c r="E254" t="n">
        <v>929.5</v>
      </c>
      <c r="F254" t="n">
        <v>929.5</v>
      </c>
      <c r="G254" t="n">
        <v>895.5</v>
      </c>
      <c r="H254" t="n">
        <v>901.1</v>
      </c>
      <c r="I254" t="n">
        <v>198879</v>
      </c>
      <c r="J254" t="n">
        <v>298629.35</v>
      </c>
      <c r="K254" t="inlineStr"/>
      <c r="L254" t="inlineStr">
        <is>
          <t>Bear</t>
        </is>
      </c>
      <c r="M254" t="n">
        <v>7</v>
      </c>
      <c r="N254" s="21" t="n">
        <v>45644</v>
      </c>
    </row>
    <row r="255">
      <c r="A255" t="inlineStr">
        <is>
          <t>RAMKY</t>
        </is>
      </c>
      <c r="B255" t="n">
        <v>-58.34868118236724</v>
      </c>
      <c r="C255" t="n">
        <v>-1.349058890055743</v>
      </c>
      <c r="D255" s="21" t="n">
        <v>45656</v>
      </c>
      <c r="E255" t="n">
        <v>625</v>
      </c>
      <c r="F255" t="n">
        <v>625</v>
      </c>
      <c r="G255" t="n">
        <v>610</v>
      </c>
      <c r="H255" t="n">
        <v>610.6</v>
      </c>
      <c r="I255" t="n">
        <v>33527</v>
      </c>
      <c r="J255" t="n">
        <v>80494.45</v>
      </c>
      <c r="K255" t="inlineStr"/>
      <c r="L255" t="inlineStr">
        <is>
          <t>Bull</t>
        </is>
      </c>
      <c r="M255" t="n">
        <v>13</v>
      </c>
      <c r="N255" s="21" t="n">
        <v>45636</v>
      </c>
    </row>
    <row r="256">
      <c r="A256" t="inlineStr">
        <is>
          <t>RATNAMANI</t>
        </is>
      </c>
      <c r="B256" t="n">
        <v>216.3532967781804</v>
      </c>
      <c r="C256" t="n">
        <v>-3.033241416926757</v>
      </c>
      <c r="D256" s="21" t="n">
        <v>45656</v>
      </c>
      <c r="E256" t="n">
        <v>3310</v>
      </c>
      <c r="F256" t="n">
        <v>3329.85</v>
      </c>
      <c r="G256" t="n">
        <v>3107</v>
      </c>
      <c r="H256" t="n">
        <v>3200</v>
      </c>
      <c r="I256" t="n">
        <v>169448</v>
      </c>
      <c r="J256" t="n">
        <v>53562.9</v>
      </c>
      <c r="K256" t="inlineStr"/>
      <c r="L256" t="inlineStr">
        <is>
          <t>Bear</t>
        </is>
      </c>
      <c r="M256" t="n">
        <v>30</v>
      </c>
      <c r="N256" s="21" t="n">
        <v>45609</v>
      </c>
    </row>
    <row r="257">
      <c r="A257" t="inlineStr">
        <is>
          <t>RELIANCE</t>
        </is>
      </c>
      <c r="B257" t="n">
        <v>-37.48968205057656</v>
      </c>
      <c r="C257" t="n">
        <v>-0.8476311371360641</v>
      </c>
      <c r="D257" s="21" t="n">
        <v>45656</v>
      </c>
      <c r="E257" t="n">
        <v>1216.4</v>
      </c>
      <c r="F257" t="n">
        <v>1223.2</v>
      </c>
      <c r="G257" t="n">
        <v>1208.1</v>
      </c>
      <c r="H257" t="n">
        <v>1210.7</v>
      </c>
      <c r="I257" t="n">
        <v>8818766</v>
      </c>
      <c r="J257" t="n">
        <v>14107696.6</v>
      </c>
      <c r="K257" t="inlineStr"/>
      <c r="L257" t="inlineStr">
        <is>
          <t>Bear</t>
        </is>
      </c>
      <c r="M257" t="n">
        <v>77</v>
      </c>
      <c r="N257" s="21" t="n">
        <v>45541</v>
      </c>
    </row>
    <row r="258">
      <c r="A258" t="inlineStr">
        <is>
          <t>REPCOHOME</t>
        </is>
      </c>
      <c r="B258" t="n">
        <v>-35.29772083630793</v>
      </c>
      <c r="C258" t="n">
        <v>-0.194221898519047</v>
      </c>
      <c r="D258" s="21" t="n">
        <v>45656</v>
      </c>
      <c r="E258" t="n">
        <v>408.3</v>
      </c>
      <c r="F258" t="n">
        <v>418.8</v>
      </c>
      <c r="G258" t="n">
        <v>408.25</v>
      </c>
      <c r="H258" t="n">
        <v>411.1</v>
      </c>
      <c r="I258" t="n">
        <v>111069</v>
      </c>
      <c r="J258" t="n">
        <v>171661.65</v>
      </c>
      <c r="K258" t="inlineStr"/>
      <c r="L258" t="inlineStr">
        <is>
          <t>Bear</t>
        </is>
      </c>
      <c r="M258" t="n">
        <v>54</v>
      </c>
      <c r="N258" s="21" t="n">
        <v>45575</v>
      </c>
    </row>
    <row r="259">
      <c r="A259" t="inlineStr">
        <is>
          <t>RESPONIND</t>
        </is>
      </c>
      <c r="B259" t="n">
        <v>-82.88567766148641</v>
      </c>
      <c r="C259" t="n">
        <v>0.3428110506150525</v>
      </c>
      <c r="D259" s="21" t="n">
        <v>45656</v>
      </c>
      <c r="E259" t="n">
        <v>246.2</v>
      </c>
      <c r="F259" t="n">
        <v>252.15</v>
      </c>
      <c r="G259" t="n">
        <v>244.35</v>
      </c>
      <c r="H259" t="n">
        <v>248.8</v>
      </c>
      <c r="I259" t="n">
        <v>155409</v>
      </c>
      <c r="J259" t="n">
        <v>908064</v>
      </c>
      <c r="K259" t="inlineStr"/>
      <c r="L259" t="inlineStr">
        <is>
          <t>Bear</t>
        </is>
      </c>
      <c r="M259" t="n">
        <v>5</v>
      </c>
      <c r="N259" s="21" t="n">
        <v>45646</v>
      </c>
    </row>
    <row r="260">
      <c r="A260" t="inlineStr">
        <is>
          <t>RITES</t>
        </is>
      </c>
      <c r="B260" t="n">
        <v>20.0966615978631</v>
      </c>
      <c r="C260" t="n">
        <v>-4.53814543505451</v>
      </c>
      <c r="D260" s="21" t="n">
        <v>45656</v>
      </c>
      <c r="E260" t="n">
        <v>278.75</v>
      </c>
      <c r="F260" t="n">
        <v>281.05</v>
      </c>
      <c r="G260" t="n">
        <v>265.2</v>
      </c>
      <c r="H260" t="n">
        <v>267.15</v>
      </c>
      <c r="I260" t="n">
        <v>2042678</v>
      </c>
      <c r="J260" t="n">
        <v>1700861.6</v>
      </c>
      <c r="K260" t="inlineStr"/>
      <c r="L260" t="inlineStr">
        <is>
          <t>Bear</t>
        </is>
      </c>
      <c r="M260" t="n">
        <v>58</v>
      </c>
      <c r="N260" s="21" t="n">
        <v>45569</v>
      </c>
    </row>
    <row r="261">
      <c r="A261" t="inlineStr">
        <is>
          <t>ROSSARI</t>
        </is>
      </c>
      <c r="B261" t="n">
        <v>-52.56152231560581</v>
      </c>
      <c r="C261" t="n">
        <v>-2.133132567915176</v>
      </c>
      <c r="D261" s="21" t="n">
        <v>45656</v>
      </c>
      <c r="E261" t="n">
        <v>800</v>
      </c>
      <c r="F261" t="n">
        <v>806.75</v>
      </c>
      <c r="G261" t="n">
        <v>777</v>
      </c>
      <c r="H261" t="n">
        <v>779.95</v>
      </c>
      <c r="I261" t="n">
        <v>21968</v>
      </c>
      <c r="J261" t="n">
        <v>46308.4</v>
      </c>
      <c r="K261" t="inlineStr"/>
      <c r="L261" t="inlineStr">
        <is>
          <t>Bear</t>
        </is>
      </c>
      <c r="M261" t="n">
        <v>51</v>
      </c>
      <c r="N261" s="21" t="n">
        <v>45580</v>
      </c>
    </row>
    <row r="262">
      <c r="A262" t="inlineStr">
        <is>
          <t>ROTO</t>
        </is>
      </c>
      <c r="B262" t="n">
        <v>-74.98088806862276</v>
      </c>
      <c r="C262" t="n">
        <v>-3.14324974235659</v>
      </c>
      <c r="D262" s="21" t="n">
        <v>45656</v>
      </c>
      <c r="E262" t="n">
        <v>291.7</v>
      </c>
      <c r="F262" t="n">
        <v>293.95</v>
      </c>
      <c r="G262" t="n">
        <v>281</v>
      </c>
      <c r="H262" t="n">
        <v>281.95</v>
      </c>
      <c r="I262" t="n">
        <v>94974</v>
      </c>
      <c r="J262" t="n">
        <v>379605.8</v>
      </c>
      <c r="K262" t="inlineStr"/>
      <c r="L262" t="inlineStr">
        <is>
          <t>Bull</t>
        </is>
      </c>
      <c r="M262" t="n">
        <v>13</v>
      </c>
      <c r="N262" s="21" t="n">
        <v>45636</v>
      </c>
    </row>
    <row r="263">
      <c r="A263" t="inlineStr">
        <is>
          <t>ROHLTD</t>
        </is>
      </c>
      <c r="B263" t="n">
        <v>-68.60557551130113</v>
      </c>
      <c r="C263" t="n">
        <v>-1.310287148034566</v>
      </c>
      <c r="D263" s="21" t="n">
        <v>45656</v>
      </c>
      <c r="E263" t="n">
        <v>358.35</v>
      </c>
      <c r="F263" t="n">
        <v>359.25</v>
      </c>
      <c r="G263" t="n">
        <v>351.15</v>
      </c>
      <c r="H263" t="n">
        <v>354</v>
      </c>
      <c r="I263" t="n">
        <v>27566</v>
      </c>
      <c r="J263" t="n">
        <v>87805.39999999999</v>
      </c>
      <c r="K263" t="inlineStr"/>
      <c r="L263" t="inlineStr">
        <is>
          <t>Bull</t>
        </is>
      </c>
      <c r="M263" t="n">
        <v>11</v>
      </c>
      <c r="N263" s="21" t="n">
        <v>45638</v>
      </c>
    </row>
    <row r="264">
      <c r="A264" t="inlineStr">
        <is>
          <t>SCI</t>
        </is>
      </c>
      <c r="B264" t="n">
        <v>-24.95309806211305</v>
      </c>
      <c r="C264" t="n">
        <v>-1.991192801072179</v>
      </c>
      <c r="D264" s="21" t="n">
        <v>45656</v>
      </c>
      <c r="E264" t="n">
        <v>209</v>
      </c>
      <c r="F264" t="n">
        <v>209.78</v>
      </c>
      <c r="G264" t="n">
        <v>204.05</v>
      </c>
      <c r="H264" t="n">
        <v>204.76</v>
      </c>
      <c r="I264" t="n">
        <v>1184540</v>
      </c>
      <c r="J264" t="n">
        <v>1578399.6</v>
      </c>
      <c r="K264" t="inlineStr"/>
      <c r="L264" t="inlineStr">
        <is>
          <t>Bear</t>
        </is>
      </c>
      <c r="M264" t="n">
        <v>78</v>
      </c>
      <c r="N264" s="21" t="n">
        <v>45540</v>
      </c>
    </row>
    <row r="265">
      <c r="A265" t="inlineStr">
        <is>
          <t>SPAL</t>
        </is>
      </c>
      <c r="B265" t="n">
        <v>-63.71149524722937</v>
      </c>
      <c r="C265" t="n">
        <v>-2.614448266737237</v>
      </c>
      <c r="D265" s="21" t="n">
        <v>45656</v>
      </c>
      <c r="E265" t="n">
        <v>948.5</v>
      </c>
      <c r="F265" t="n">
        <v>948.55</v>
      </c>
      <c r="G265" t="n">
        <v>905.55</v>
      </c>
      <c r="H265" t="n">
        <v>920.05</v>
      </c>
      <c r="I265" t="n">
        <v>20848</v>
      </c>
      <c r="J265" t="n">
        <v>57450.7</v>
      </c>
      <c r="K265" t="inlineStr"/>
      <c r="L265" t="inlineStr">
        <is>
          <t>Bull</t>
        </is>
      </c>
      <c r="M265" t="n">
        <v>15</v>
      </c>
      <c r="N265" s="21" t="n">
        <v>45632</v>
      </c>
    </row>
    <row r="266">
      <c r="A266" t="inlineStr">
        <is>
          <t>SAFARI</t>
        </is>
      </c>
      <c r="B266" t="n">
        <v>-38.06310960489337</v>
      </c>
      <c r="C266" t="n">
        <v>1.20462830876526</v>
      </c>
      <c r="D266" s="21" t="n">
        <v>45656</v>
      </c>
      <c r="E266" t="n">
        <v>2505.2</v>
      </c>
      <c r="F266" t="n">
        <v>2555.55</v>
      </c>
      <c r="G266" t="n">
        <v>2480</v>
      </c>
      <c r="H266" t="n">
        <v>2554</v>
      </c>
      <c r="I266" t="n">
        <v>23978</v>
      </c>
      <c r="J266" t="n">
        <v>38713.6</v>
      </c>
      <c r="K266" t="inlineStr"/>
      <c r="L266" t="inlineStr">
        <is>
          <t>Bull</t>
        </is>
      </c>
      <c r="M266" t="n">
        <v>24</v>
      </c>
      <c r="N266" s="21" t="n">
        <v>45621</v>
      </c>
    </row>
    <row r="267">
      <c r="A267" t="inlineStr">
        <is>
          <t>SAMMAANCAP</t>
        </is>
      </c>
      <c r="B267" t="n">
        <v>-55.15123060292352</v>
      </c>
      <c r="C267" t="n">
        <v>-2.728512960436573</v>
      </c>
      <c r="D267" s="21" t="n">
        <v>45656</v>
      </c>
      <c r="E267" t="n">
        <v>154.48</v>
      </c>
      <c r="F267" t="n">
        <v>154.56</v>
      </c>
      <c r="G267" t="n">
        <v>148.42</v>
      </c>
      <c r="H267" t="n">
        <v>149.73</v>
      </c>
      <c r="I267" t="n">
        <v>2947186</v>
      </c>
      <c r="J267" t="n">
        <v>6571386.55</v>
      </c>
      <c r="K267" t="inlineStr"/>
      <c r="L267" t="inlineStr">
        <is>
          <t>Bull</t>
        </is>
      </c>
      <c r="M267" t="n">
        <v>21</v>
      </c>
      <c r="N267" s="21" t="n">
        <v>45624</v>
      </c>
    </row>
    <row r="268">
      <c r="A268" t="inlineStr">
        <is>
          <t>SANDUMA</t>
        </is>
      </c>
      <c r="B268" t="n">
        <v>-58.87200155753393</v>
      </c>
      <c r="C268" t="n">
        <v>-1.204375076809643</v>
      </c>
      <c r="D268" s="21" t="n">
        <v>45656</v>
      </c>
      <c r="E268" t="n">
        <v>405</v>
      </c>
      <c r="F268" t="n">
        <v>408.95</v>
      </c>
      <c r="G268" t="n">
        <v>400.75</v>
      </c>
      <c r="H268" t="n">
        <v>401.95</v>
      </c>
      <c r="I268" t="n">
        <v>89463</v>
      </c>
      <c r="J268" t="n">
        <v>217523.35</v>
      </c>
      <c r="K268" t="inlineStr"/>
      <c r="L268" t="inlineStr">
        <is>
          <t>Bear</t>
        </is>
      </c>
      <c r="M268" t="n">
        <v>5</v>
      </c>
      <c r="N268" s="21" t="n">
        <v>45646</v>
      </c>
    </row>
    <row r="269">
      <c r="A269" t="inlineStr">
        <is>
          <t>SANGHVIMOV</t>
        </is>
      </c>
      <c r="B269" t="n">
        <v>-19.10507973053759</v>
      </c>
      <c r="C269" t="n">
        <v>-3.152933528360146</v>
      </c>
      <c r="D269" s="21" t="n">
        <v>45656</v>
      </c>
      <c r="E269" t="n">
        <v>310.5</v>
      </c>
      <c r="F269" t="n">
        <v>310.5</v>
      </c>
      <c r="G269" t="n">
        <v>296.55</v>
      </c>
      <c r="H269" t="n">
        <v>297.95</v>
      </c>
      <c r="I269" t="n">
        <v>282136</v>
      </c>
      <c r="J269" t="n">
        <v>348768.5</v>
      </c>
      <c r="K269" t="inlineStr"/>
      <c r="L269" t="inlineStr">
        <is>
          <t>Bear</t>
        </is>
      </c>
      <c r="M269" t="n">
        <v>147</v>
      </c>
      <c r="N269" s="21" t="n">
        <v>45440</v>
      </c>
    </row>
    <row r="270">
      <c r="A270" t="inlineStr">
        <is>
          <t>SANOFI</t>
        </is>
      </c>
      <c r="B270" t="n">
        <v>-20.32620493414298</v>
      </c>
      <c r="C270" t="n">
        <v>0.4180164261640683</v>
      </c>
      <c r="D270" s="21" t="n">
        <v>45656</v>
      </c>
      <c r="E270" t="n">
        <v>6113.1</v>
      </c>
      <c r="F270" t="n">
        <v>6172.2</v>
      </c>
      <c r="G270" t="n">
        <v>6099.05</v>
      </c>
      <c r="H270" t="n">
        <v>6137.75</v>
      </c>
      <c r="I270" t="n">
        <v>9506</v>
      </c>
      <c r="J270" t="n">
        <v>11931.15</v>
      </c>
      <c r="K270" t="inlineStr"/>
      <c r="L270" t="inlineStr">
        <is>
          <t>Bear</t>
        </is>
      </c>
      <c r="M270" t="n">
        <v>56</v>
      </c>
      <c r="N270" s="21" t="n">
        <v>45573</v>
      </c>
    </row>
    <row r="271">
      <c r="A271" t="inlineStr">
        <is>
          <t>SARDAEN</t>
        </is>
      </c>
      <c r="B271" t="n">
        <v>-42.02056049643676</v>
      </c>
      <c r="C271" t="n">
        <v>1.285803888772732</v>
      </c>
      <c r="D271" s="21" t="n">
        <v>45656</v>
      </c>
      <c r="E271" t="n">
        <v>480.45</v>
      </c>
      <c r="F271" t="n">
        <v>488.85</v>
      </c>
      <c r="G271" t="n">
        <v>474.05</v>
      </c>
      <c r="H271" t="n">
        <v>484.45</v>
      </c>
      <c r="I271" t="n">
        <v>315766</v>
      </c>
      <c r="J271" t="n">
        <v>544617.2</v>
      </c>
      <c r="K271" t="inlineStr"/>
      <c r="L271" t="inlineStr">
        <is>
          <t>Bull</t>
        </is>
      </c>
      <c r="M271" t="n">
        <v>118</v>
      </c>
      <c r="N271" s="21" t="n">
        <v>45482</v>
      </c>
    </row>
    <row r="272">
      <c r="A272" t="inlineStr">
        <is>
          <t>SATINDLTD</t>
        </is>
      </c>
      <c r="B272" t="n">
        <v>-41.07551502868827</v>
      </c>
      <c r="C272" t="n">
        <v>-1.066037735849052</v>
      </c>
      <c r="D272" s="21" t="n">
        <v>45656</v>
      </c>
      <c r="E272" t="n">
        <v>105</v>
      </c>
      <c r="F272" t="n">
        <v>107.31</v>
      </c>
      <c r="G272" t="n">
        <v>104.02</v>
      </c>
      <c r="H272" t="n">
        <v>104.87</v>
      </c>
      <c r="I272" t="n">
        <v>218120</v>
      </c>
      <c r="J272" t="n">
        <v>370168.7</v>
      </c>
      <c r="K272" t="inlineStr"/>
      <c r="L272" t="inlineStr">
        <is>
          <t>Bear</t>
        </is>
      </c>
      <c r="M272" t="n">
        <v>31</v>
      </c>
      <c r="N272" s="21" t="n">
        <v>45608</v>
      </c>
    </row>
    <row r="273">
      <c r="A273" t="inlineStr">
        <is>
          <t>SEAMECLTD</t>
        </is>
      </c>
      <c r="B273" t="n">
        <v>17.12386372800902</v>
      </c>
      <c r="C273" t="n">
        <v>1.838267023388276</v>
      </c>
      <c r="D273" s="21" t="n">
        <v>45656</v>
      </c>
      <c r="E273" t="n">
        <v>1141.3</v>
      </c>
      <c r="F273" t="n">
        <v>1185</v>
      </c>
      <c r="G273" t="n">
        <v>1132.2</v>
      </c>
      <c r="H273" t="n">
        <v>1180</v>
      </c>
      <c r="I273" t="n">
        <v>20332</v>
      </c>
      <c r="J273" t="n">
        <v>17359.4</v>
      </c>
      <c r="K273" t="inlineStr"/>
      <c r="L273" t="inlineStr">
        <is>
          <t>Bear</t>
        </is>
      </c>
      <c r="M273" t="n">
        <v>67</v>
      </c>
      <c r="N273" s="21" t="n">
        <v>45555</v>
      </c>
    </row>
    <row r="274">
      <c r="A274" t="inlineStr">
        <is>
          <t>SESHAPAPER</t>
        </is>
      </c>
      <c r="B274" t="n">
        <v>-39.67342021317076</v>
      </c>
      <c r="C274" t="n">
        <v>-4.294284812125029</v>
      </c>
      <c r="D274" s="21" t="n">
        <v>45656</v>
      </c>
      <c r="E274" t="n">
        <v>319.85</v>
      </c>
      <c r="F274" t="n">
        <v>319.85</v>
      </c>
      <c r="G274" t="n">
        <v>301.15</v>
      </c>
      <c r="H274" t="n">
        <v>303.1</v>
      </c>
      <c r="I274" t="n">
        <v>23384</v>
      </c>
      <c r="J274" t="n">
        <v>38762.35</v>
      </c>
      <c r="K274" t="inlineStr"/>
      <c r="L274" t="inlineStr">
        <is>
          <t>Bear</t>
        </is>
      </c>
      <c r="M274" t="n">
        <v>60</v>
      </c>
      <c r="N274" s="21" t="n">
        <v>45566</v>
      </c>
    </row>
    <row r="275">
      <c r="A275" t="inlineStr">
        <is>
          <t>SHREDIGCEM</t>
        </is>
      </c>
      <c r="B275" t="n">
        <v>-33.80950398497703</v>
      </c>
      <c r="C275" t="n">
        <v>-0.7284690400658026</v>
      </c>
      <c r="D275" s="21" t="n">
        <v>45656</v>
      </c>
      <c r="E275" t="n">
        <v>85.04000000000001</v>
      </c>
      <c r="F275" t="n">
        <v>85.5</v>
      </c>
      <c r="G275" t="n">
        <v>84.25</v>
      </c>
      <c r="H275" t="n">
        <v>84.48999999999999</v>
      </c>
      <c r="I275" t="n">
        <v>126398</v>
      </c>
      <c r="J275" t="n">
        <v>190960.95</v>
      </c>
      <c r="K275" t="inlineStr"/>
      <c r="L275" t="inlineStr">
        <is>
          <t>Bear</t>
        </is>
      </c>
      <c r="M275" t="n">
        <v>105</v>
      </c>
      <c r="N275" s="21" t="n">
        <v>45502</v>
      </c>
    </row>
    <row r="276">
      <c r="A276" t="inlineStr">
        <is>
          <t>SBCL</t>
        </is>
      </c>
      <c r="B276" t="n">
        <v>43.19795112205227</v>
      </c>
      <c r="C276" t="n">
        <v>-2.898425333102613</v>
      </c>
      <c r="D276" s="21" t="n">
        <v>45656</v>
      </c>
      <c r="E276" t="n">
        <v>586.55</v>
      </c>
      <c r="F276" t="n">
        <v>591.45</v>
      </c>
      <c r="G276" t="n">
        <v>550</v>
      </c>
      <c r="H276" t="n">
        <v>561.15</v>
      </c>
      <c r="I276" t="n">
        <v>178753</v>
      </c>
      <c r="J276" t="n">
        <v>124829.3</v>
      </c>
      <c r="K276" t="inlineStr"/>
      <c r="L276" t="inlineStr">
        <is>
          <t>Bear</t>
        </is>
      </c>
      <c r="M276" t="n">
        <v>28</v>
      </c>
      <c r="N276" s="21" t="n">
        <v>45614</v>
      </c>
    </row>
    <row r="277">
      <c r="A277" t="inlineStr">
        <is>
          <t>SHREECEM</t>
        </is>
      </c>
      <c r="B277" t="n">
        <v>185.3212526808542</v>
      </c>
      <c r="C277" t="n">
        <v>-0.9558908211447656</v>
      </c>
      <c r="D277" s="21" t="n">
        <v>45656</v>
      </c>
      <c r="E277" t="n">
        <v>25990</v>
      </c>
      <c r="F277" t="n">
        <v>26449</v>
      </c>
      <c r="G277" t="n">
        <v>25545.4</v>
      </c>
      <c r="H277" t="n">
        <v>25800</v>
      </c>
      <c r="I277" t="n">
        <v>98314</v>
      </c>
      <c r="J277" t="n">
        <v>34457.3</v>
      </c>
      <c r="K277" t="inlineStr"/>
      <c r="L277" t="inlineStr">
        <is>
          <t>Bull</t>
        </is>
      </c>
      <c r="M277" t="n">
        <v>19</v>
      </c>
      <c r="N277" s="21" t="n">
        <v>45628</v>
      </c>
    </row>
    <row r="278">
      <c r="A278" t="inlineStr">
        <is>
          <t>SHRIRAMFIN</t>
        </is>
      </c>
      <c r="B278" t="n">
        <v>-40.58657234543545</v>
      </c>
      <c r="C278" t="n">
        <v>0.6933664493428511</v>
      </c>
      <c r="D278" s="21" t="n">
        <v>45656</v>
      </c>
      <c r="E278" t="n">
        <v>2912.8</v>
      </c>
      <c r="F278" t="n">
        <v>2968.85</v>
      </c>
      <c r="G278" t="n">
        <v>2895.3</v>
      </c>
      <c r="H278" t="n">
        <v>2919</v>
      </c>
      <c r="I278" t="n">
        <v>690544</v>
      </c>
      <c r="J278" t="n">
        <v>1162269.25</v>
      </c>
      <c r="K278" t="inlineStr"/>
      <c r="L278" t="inlineStr">
        <is>
          <t>Bear</t>
        </is>
      </c>
      <c r="M278" t="n">
        <v>38</v>
      </c>
      <c r="N278" s="21" t="n">
        <v>45597</v>
      </c>
    </row>
    <row r="279">
      <c r="A279" t="inlineStr">
        <is>
          <t>SHYAMMETL</t>
        </is>
      </c>
      <c r="B279" t="n">
        <v>-24.49572304388623</v>
      </c>
      <c r="C279" t="n">
        <v>-3.898975011723725</v>
      </c>
      <c r="D279" s="21" t="n">
        <v>45656</v>
      </c>
      <c r="E279" t="n">
        <v>737</v>
      </c>
      <c r="F279" t="n">
        <v>742.4</v>
      </c>
      <c r="G279" t="n">
        <v>711.1</v>
      </c>
      <c r="H279" t="n">
        <v>717.25</v>
      </c>
      <c r="I279" t="n">
        <v>134420</v>
      </c>
      <c r="J279" t="n">
        <v>178029.65</v>
      </c>
      <c r="K279" t="inlineStr"/>
      <c r="L279" t="inlineStr">
        <is>
          <t>Bear</t>
        </is>
      </c>
      <c r="M279" t="n">
        <v>31</v>
      </c>
      <c r="N279" s="21" t="n">
        <v>45608</v>
      </c>
    </row>
    <row r="280">
      <c r="A280" t="inlineStr">
        <is>
          <t>SIGACHI</t>
        </is>
      </c>
      <c r="B280" t="n">
        <v>-13.90704894827313</v>
      </c>
      <c r="C280" t="n">
        <v>2.85248573757131</v>
      </c>
      <c r="D280" s="21" t="n">
        <v>45656</v>
      </c>
      <c r="E280" t="n">
        <v>49.19</v>
      </c>
      <c r="F280" t="n">
        <v>51.5</v>
      </c>
      <c r="G280" t="n">
        <v>49.03</v>
      </c>
      <c r="H280" t="n">
        <v>50.48</v>
      </c>
      <c r="I280" t="n">
        <v>1156890</v>
      </c>
      <c r="J280" t="n">
        <v>1343768.55</v>
      </c>
      <c r="K280" t="inlineStr"/>
      <c r="L280" t="inlineStr">
        <is>
          <t>Bear</t>
        </is>
      </c>
      <c r="M280" t="n">
        <v>1</v>
      </c>
      <c r="N280" s="21" t="n">
        <v>45653</v>
      </c>
    </row>
    <row r="281">
      <c r="A281" t="inlineStr">
        <is>
          <t>SIRCA</t>
        </is>
      </c>
      <c r="B281" t="n">
        <v>-63.59494377744498</v>
      </c>
      <c r="C281" t="n">
        <v>-1.90434012400354</v>
      </c>
      <c r="D281" s="21" t="n">
        <v>45656</v>
      </c>
      <c r="E281" t="n">
        <v>340.45</v>
      </c>
      <c r="F281" t="n">
        <v>340.45</v>
      </c>
      <c r="G281" t="n">
        <v>330</v>
      </c>
      <c r="H281" t="n">
        <v>332.25</v>
      </c>
      <c r="I281" t="n">
        <v>45896</v>
      </c>
      <c r="J281" t="n">
        <v>126070.4</v>
      </c>
      <c r="K281" t="inlineStr"/>
      <c r="L281" t="inlineStr">
        <is>
          <t>Bear</t>
        </is>
      </c>
      <c r="M281" t="n">
        <v>6</v>
      </c>
      <c r="N281" s="21" t="n">
        <v>45645</v>
      </c>
    </row>
    <row r="282">
      <c r="A282" t="inlineStr">
        <is>
          <t>SIYSIL</t>
        </is>
      </c>
      <c r="B282" t="n">
        <v>-84.46250610298975</v>
      </c>
      <c r="C282" t="n">
        <v>-2.233293248582718</v>
      </c>
      <c r="D282" s="21" t="n">
        <v>45656</v>
      </c>
      <c r="E282" t="n">
        <v>874.9</v>
      </c>
      <c r="F282" t="n">
        <v>886</v>
      </c>
      <c r="G282" t="n">
        <v>851</v>
      </c>
      <c r="H282" t="n">
        <v>853.65</v>
      </c>
      <c r="I282" t="n">
        <v>155267</v>
      </c>
      <c r="J282" t="n">
        <v>999305.3</v>
      </c>
      <c r="K282" t="inlineStr"/>
      <c r="L282" t="inlineStr">
        <is>
          <t>Bull</t>
        </is>
      </c>
      <c r="M282" t="n">
        <v>54</v>
      </c>
      <c r="N282" s="21" t="n">
        <v>45575</v>
      </c>
    </row>
    <row r="283">
      <c r="A283" t="inlineStr">
        <is>
          <t>SKFINDIA</t>
        </is>
      </c>
      <c r="B283" t="n">
        <v>-29.11861645279183</v>
      </c>
      <c r="C283" t="n">
        <v>-2.202556538839729</v>
      </c>
      <c r="D283" s="21" t="n">
        <v>45656</v>
      </c>
      <c r="E283" t="n">
        <v>4567.95</v>
      </c>
      <c r="F283" t="n">
        <v>4580.1</v>
      </c>
      <c r="G283" t="n">
        <v>4460</v>
      </c>
      <c r="H283" t="n">
        <v>4475.7</v>
      </c>
      <c r="I283" t="n">
        <v>18968</v>
      </c>
      <c r="J283" t="n">
        <v>26760.2</v>
      </c>
      <c r="K283" t="inlineStr"/>
      <c r="L283" t="inlineStr">
        <is>
          <t>Bear</t>
        </is>
      </c>
      <c r="M283" t="n">
        <v>106</v>
      </c>
      <c r="N283" s="21" t="n">
        <v>45499</v>
      </c>
    </row>
    <row r="284">
      <c r="A284" t="inlineStr">
        <is>
          <t>SOMANYCERA</t>
        </is>
      </c>
      <c r="B284" t="n">
        <v>-34.87849386400151</v>
      </c>
      <c r="C284" t="n">
        <v>0.6054960409874207</v>
      </c>
      <c r="D284" s="21" t="n">
        <v>45656</v>
      </c>
      <c r="E284" t="n">
        <v>640</v>
      </c>
      <c r="F284" t="n">
        <v>649.2</v>
      </c>
      <c r="G284" t="n">
        <v>635</v>
      </c>
      <c r="H284" t="n">
        <v>648</v>
      </c>
      <c r="I284" t="n">
        <v>11937</v>
      </c>
      <c r="J284" t="n">
        <v>18330.35</v>
      </c>
      <c r="K284" t="inlineStr"/>
      <c r="L284" t="inlineStr">
        <is>
          <t>Bear</t>
        </is>
      </c>
      <c r="M284" t="n">
        <v>6</v>
      </c>
      <c r="N284" s="21" t="n">
        <v>45645</v>
      </c>
    </row>
    <row r="285">
      <c r="A285" t="inlineStr">
        <is>
          <t>SRF</t>
        </is>
      </c>
      <c r="B285" t="n">
        <v>129.7403272882977</v>
      </c>
      <c r="C285" t="n">
        <v>-0.4106957539358222</v>
      </c>
      <c r="D285" s="21" t="n">
        <v>45656</v>
      </c>
      <c r="E285" t="n">
        <v>2265</v>
      </c>
      <c r="F285" t="n">
        <v>2270</v>
      </c>
      <c r="G285" t="n">
        <v>2196.85</v>
      </c>
      <c r="H285" t="n">
        <v>2255.15</v>
      </c>
      <c r="I285" t="n">
        <v>824666</v>
      </c>
      <c r="J285" t="n">
        <v>358955.7</v>
      </c>
      <c r="K285" t="inlineStr"/>
      <c r="L285" t="inlineStr">
        <is>
          <t>Bear</t>
        </is>
      </c>
      <c r="M285" t="n">
        <v>67</v>
      </c>
      <c r="N285" s="21" t="n">
        <v>45555</v>
      </c>
    </row>
    <row r="286">
      <c r="A286" t="inlineStr">
        <is>
          <t>SBIN</t>
        </is>
      </c>
      <c r="B286" t="n">
        <v>114.8299352386053</v>
      </c>
      <c r="C286" t="n">
        <v>-1.419370974801479</v>
      </c>
      <c r="D286" s="21" t="n">
        <v>45656</v>
      </c>
      <c r="E286" t="n">
        <v>802</v>
      </c>
      <c r="F286" t="n">
        <v>807.95</v>
      </c>
      <c r="G286" t="n">
        <v>785</v>
      </c>
      <c r="H286" t="n">
        <v>788.3</v>
      </c>
      <c r="I286" t="n">
        <v>21515438</v>
      </c>
      <c r="J286" t="n">
        <v>10015102.4</v>
      </c>
      <c r="K286" t="inlineStr"/>
      <c r="L286" t="inlineStr">
        <is>
          <t>Bear</t>
        </is>
      </c>
      <c r="M286" t="n">
        <v>0</v>
      </c>
      <c r="N286" s="21" t="n">
        <v>45656</v>
      </c>
    </row>
    <row r="287">
      <c r="A287" t="inlineStr">
        <is>
          <t>STARCEMENT</t>
        </is>
      </c>
      <c r="B287" t="n">
        <v>-54.37246634522804</v>
      </c>
      <c r="C287" t="n">
        <v>-3.243173399948316</v>
      </c>
      <c r="D287" s="21" t="n">
        <v>45656</v>
      </c>
      <c r="E287" t="n">
        <v>233.5</v>
      </c>
      <c r="F287" t="n">
        <v>234.4</v>
      </c>
      <c r="G287" t="n">
        <v>223.25</v>
      </c>
      <c r="H287" t="n">
        <v>224.65</v>
      </c>
      <c r="I287" t="n">
        <v>2377859</v>
      </c>
      <c r="J287" t="n">
        <v>5211456.35</v>
      </c>
      <c r="K287" t="inlineStr"/>
      <c r="L287" t="inlineStr">
        <is>
          <t>Bull</t>
        </is>
      </c>
      <c r="M287" t="n">
        <v>10</v>
      </c>
      <c r="N287" s="21" t="n">
        <v>45639</v>
      </c>
    </row>
    <row r="288">
      <c r="A288" t="inlineStr">
        <is>
          <t>STERTOOLS</t>
        </is>
      </c>
      <c r="B288" t="n">
        <v>-56.13840693137833</v>
      </c>
      <c r="C288" t="n">
        <v>-1.699213796601584</v>
      </c>
      <c r="D288" s="21" t="n">
        <v>45656</v>
      </c>
      <c r="E288" t="n">
        <v>593.95</v>
      </c>
      <c r="F288" t="n">
        <v>597.7</v>
      </c>
      <c r="G288" t="n">
        <v>578</v>
      </c>
      <c r="H288" t="n">
        <v>581.4</v>
      </c>
      <c r="I288" t="n">
        <v>112519</v>
      </c>
      <c r="J288" t="n">
        <v>256531.95</v>
      </c>
      <c r="K288" t="inlineStr"/>
      <c r="L288" t="inlineStr">
        <is>
          <t>Bull</t>
        </is>
      </c>
      <c r="M288" t="n">
        <v>162</v>
      </c>
      <c r="N288" s="21" t="n">
        <v>45419</v>
      </c>
    </row>
    <row r="289">
      <c r="A289" t="inlineStr">
        <is>
          <t>STYLAMIND</t>
        </is>
      </c>
      <c r="B289" t="n">
        <v>-36.42745852809092</v>
      </c>
      <c r="C289" t="n">
        <v>-2.956703137638906</v>
      </c>
      <c r="D289" s="21" t="n">
        <v>45656</v>
      </c>
      <c r="E289" t="n">
        <v>2352</v>
      </c>
      <c r="F289" t="n">
        <v>2387</v>
      </c>
      <c r="G289" t="n">
        <v>2265.65</v>
      </c>
      <c r="H289" t="n">
        <v>2279.45</v>
      </c>
      <c r="I289" t="n">
        <v>34682</v>
      </c>
      <c r="J289" t="n">
        <v>54555</v>
      </c>
      <c r="K289" t="inlineStr"/>
      <c r="L289" t="inlineStr">
        <is>
          <t>Bull</t>
        </is>
      </c>
      <c r="M289" t="n">
        <v>132</v>
      </c>
      <c r="N289" s="21" t="n">
        <v>45462</v>
      </c>
    </row>
    <row r="290">
      <c r="A290" t="inlineStr">
        <is>
          <t>STYRENIX</t>
        </is>
      </c>
      <c r="B290" t="n">
        <v>-57.37639042685382</v>
      </c>
      <c r="C290" t="n">
        <v>-0.2064106719435077</v>
      </c>
      <c r="D290" s="21" t="n">
        <v>45656</v>
      </c>
      <c r="E290" t="n">
        <v>2940</v>
      </c>
      <c r="F290" t="n">
        <v>2945</v>
      </c>
      <c r="G290" t="n">
        <v>2853.6</v>
      </c>
      <c r="H290" t="n">
        <v>2925</v>
      </c>
      <c r="I290" t="n">
        <v>32776</v>
      </c>
      <c r="J290" t="n">
        <v>76896.35000000001</v>
      </c>
      <c r="K290" t="inlineStr"/>
      <c r="L290" t="inlineStr">
        <is>
          <t>Bull</t>
        </is>
      </c>
      <c r="M290" t="n">
        <v>16</v>
      </c>
      <c r="N290" s="21" t="n">
        <v>45631</v>
      </c>
    </row>
    <row r="291">
      <c r="A291" t="inlineStr">
        <is>
          <t>SUDARSCHEM</t>
        </is>
      </c>
      <c r="B291" t="n">
        <v>-66.83765314204793</v>
      </c>
      <c r="C291" t="n">
        <v>-0.7387092493475392</v>
      </c>
      <c r="D291" s="21" t="n">
        <v>45656</v>
      </c>
      <c r="E291" t="n">
        <v>1127.6</v>
      </c>
      <c r="F291" t="n">
        <v>1142.9</v>
      </c>
      <c r="G291" t="n">
        <v>1115</v>
      </c>
      <c r="H291" t="n">
        <v>1122</v>
      </c>
      <c r="I291" t="n">
        <v>58029</v>
      </c>
      <c r="J291" t="n">
        <v>174984.6</v>
      </c>
      <c r="K291" t="inlineStr"/>
      <c r="L291" t="inlineStr">
        <is>
          <t>Bull</t>
        </is>
      </c>
      <c r="M291" t="n">
        <v>18</v>
      </c>
      <c r="N291" s="21" t="n">
        <v>45629</v>
      </c>
    </row>
    <row r="292">
      <c r="A292" t="inlineStr">
        <is>
          <t>SULA</t>
        </is>
      </c>
      <c r="B292" t="n">
        <v>-11.48033333408267</v>
      </c>
      <c r="C292" t="n">
        <v>0.1223540927444023</v>
      </c>
      <c r="D292" s="21" t="n">
        <v>45656</v>
      </c>
      <c r="E292" t="n">
        <v>408</v>
      </c>
      <c r="F292" t="n">
        <v>411.5</v>
      </c>
      <c r="G292" t="n">
        <v>403.8</v>
      </c>
      <c r="H292" t="n">
        <v>409.15</v>
      </c>
      <c r="I292" t="n">
        <v>196885</v>
      </c>
      <c r="J292" t="n">
        <v>222419.5</v>
      </c>
      <c r="K292" t="inlineStr"/>
      <c r="L292" t="inlineStr">
        <is>
          <t>Bear</t>
        </is>
      </c>
      <c r="M292" t="n">
        <v>218</v>
      </c>
      <c r="N292" s="21" t="n">
        <v>45334</v>
      </c>
    </row>
    <row r="293">
      <c r="A293" t="inlineStr">
        <is>
          <t>SUMICHEM</t>
        </is>
      </c>
      <c r="B293" t="n">
        <v>351.3788390388985</v>
      </c>
      <c r="C293" t="n">
        <v>3.267154973014658</v>
      </c>
      <c r="D293" s="21" t="n">
        <v>45656</v>
      </c>
      <c r="E293" t="n">
        <v>519.1</v>
      </c>
      <c r="F293" t="n">
        <v>552.7</v>
      </c>
      <c r="G293" t="n">
        <v>512</v>
      </c>
      <c r="H293" t="n">
        <v>535.75</v>
      </c>
      <c r="I293" t="n">
        <v>1650745</v>
      </c>
      <c r="J293" t="n">
        <v>365711.65</v>
      </c>
      <c r="K293" t="inlineStr"/>
      <c r="L293" t="inlineStr">
        <is>
          <t>Bear</t>
        </is>
      </c>
      <c r="M293" t="n">
        <v>11</v>
      </c>
      <c r="N293" s="21" t="n">
        <v>45638</v>
      </c>
    </row>
    <row r="294">
      <c r="A294" t="inlineStr">
        <is>
          <t>SUNPHARMA</t>
        </is>
      </c>
      <c r="B294" t="n">
        <v>211.0996289903595</v>
      </c>
      <c r="C294" t="n">
        <v>1.216924110141039</v>
      </c>
      <c r="D294" s="21" t="n">
        <v>45656</v>
      </c>
      <c r="E294" t="n">
        <v>1862.05</v>
      </c>
      <c r="F294" t="n">
        <v>1895.75</v>
      </c>
      <c r="G294" t="n">
        <v>1855</v>
      </c>
      <c r="H294" t="n">
        <v>1883.9</v>
      </c>
      <c r="I294" t="n">
        <v>6021550</v>
      </c>
      <c r="J294" t="n">
        <v>1935569.65</v>
      </c>
      <c r="K294" t="inlineStr"/>
      <c r="L294" t="inlineStr">
        <is>
          <t>Bull</t>
        </is>
      </c>
      <c r="M294" t="n">
        <v>1</v>
      </c>
      <c r="N294" s="21" t="n">
        <v>45653</v>
      </c>
    </row>
    <row r="295">
      <c r="A295" t="inlineStr">
        <is>
          <t>SUNTV</t>
        </is>
      </c>
      <c r="B295" t="n">
        <v>41.83054537740966</v>
      </c>
      <c r="C295" t="n">
        <v>-0.1748124408187115</v>
      </c>
      <c r="D295" s="21" t="n">
        <v>45656</v>
      </c>
      <c r="E295" t="n">
        <v>684.05</v>
      </c>
      <c r="F295" t="n">
        <v>688.8</v>
      </c>
      <c r="G295" t="n">
        <v>676.05</v>
      </c>
      <c r="H295" t="n">
        <v>685.25</v>
      </c>
      <c r="I295" t="n">
        <v>460681</v>
      </c>
      <c r="J295" t="n">
        <v>324810.85</v>
      </c>
      <c r="K295" t="inlineStr"/>
      <c r="L295" t="inlineStr">
        <is>
          <t>Bear</t>
        </is>
      </c>
      <c r="M295" t="n">
        <v>52</v>
      </c>
      <c r="N295" s="21" t="n">
        <v>45579</v>
      </c>
    </row>
    <row r="296">
      <c r="A296" t="inlineStr">
        <is>
          <t>SUNDARMFIN</t>
        </is>
      </c>
      <c r="B296" t="n">
        <v>33.74818955033974</v>
      </c>
      <c r="C296" t="n">
        <v>-4.950132674535651</v>
      </c>
      <c r="D296" s="21" t="n">
        <v>45656</v>
      </c>
      <c r="E296" t="n">
        <v>4403</v>
      </c>
      <c r="F296" t="n">
        <v>4422.6</v>
      </c>
      <c r="G296" t="n">
        <v>4068.05</v>
      </c>
      <c r="H296" t="n">
        <v>4155.2</v>
      </c>
      <c r="I296" t="n">
        <v>189999</v>
      </c>
      <c r="J296" t="n">
        <v>142057.25</v>
      </c>
      <c r="K296" t="inlineStr"/>
      <c r="L296" t="inlineStr">
        <is>
          <t>Bear</t>
        </is>
      </c>
      <c r="M296" t="n">
        <v>33</v>
      </c>
      <c r="N296" s="21" t="n">
        <v>45604</v>
      </c>
    </row>
    <row r="297">
      <c r="A297" t="inlineStr">
        <is>
          <t>SUNDRMFAST</t>
        </is>
      </c>
      <c r="B297" t="n">
        <v>131.2592123021977</v>
      </c>
      <c r="C297" t="n">
        <v>-0.9824005959586722</v>
      </c>
      <c r="D297" s="21" t="n">
        <v>45656</v>
      </c>
      <c r="E297" t="n">
        <v>1073.9</v>
      </c>
      <c r="F297" t="n">
        <v>1078</v>
      </c>
      <c r="G297" t="n">
        <v>1053.15</v>
      </c>
      <c r="H297" t="n">
        <v>1063.35</v>
      </c>
      <c r="I297" t="n">
        <v>446525</v>
      </c>
      <c r="J297" t="n">
        <v>193084.2</v>
      </c>
      <c r="K297" t="inlineStr"/>
      <c r="L297" t="inlineStr">
        <is>
          <t>Bear</t>
        </is>
      </c>
      <c r="M297" t="n">
        <v>40</v>
      </c>
      <c r="N297" s="21" t="n">
        <v>45595</v>
      </c>
    </row>
    <row r="298">
      <c r="A298" t="inlineStr">
        <is>
          <t>SUPREMEIND</t>
        </is>
      </c>
      <c r="B298" t="n">
        <v>-11.9232062811175</v>
      </c>
      <c r="C298" t="n">
        <v>-2.81118193140549</v>
      </c>
      <c r="D298" s="21" t="n">
        <v>45656</v>
      </c>
      <c r="E298" t="n">
        <v>4733.9</v>
      </c>
      <c r="F298" t="n">
        <v>4763.8</v>
      </c>
      <c r="G298" t="n">
        <v>4576.55</v>
      </c>
      <c r="H298" t="n">
        <v>4643.05</v>
      </c>
      <c r="I298" t="n">
        <v>239616</v>
      </c>
      <c r="J298" t="n">
        <v>272053.5</v>
      </c>
      <c r="K298" t="inlineStr"/>
      <c r="L298" t="inlineStr">
        <is>
          <t>Bull</t>
        </is>
      </c>
      <c r="M298" t="n">
        <v>7</v>
      </c>
      <c r="N298" s="21" t="n">
        <v>45644</v>
      </c>
    </row>
    <row r="299">
      <c r="A299" t="inlineStr">
        <is>
          <t>SYMPHONY</t>
        </is>
      </c>
      <c r="B299" t="n">
        <v>-27.92506436203627</v>
      </c>
      <c r="C299" t="n">
        <v>-1.092260340815251</v>
      </c>
      <c r="D299" s="21" t="n">
        <v>45656</v>
      </c>
      <c r="E299" t="n">
        <v>1352.1</v>
      </c>
      <c r="F299" t="n">
        <v>1352.1</v>
      </c>
      <c r="G299" t="n">
        <v>1304.85</v>
      </c>
      <c r="H299" t="n">
        <v>1317.55</v>
      </c>
      <c r="I299" t="n">
        <v>47845</v>
      </c>
      <c r="J299" t="n">
        <v>66382.3</v>
      </c>
      <c r="K299" t="inlineStr"/>
      <c r="L299" t="inlineStr">
        <is>
          <t>Bear</t>
        </is>
      </c>
      <c r="M299" t="n">
        <v>31</v>
      </c>
      <c r="N299" s="21" t="n">
        <v>45608</v>
      </c>
    </row>
    <row r="300">
      <c r="A300" t="inlineStr">
        <is>
          <t>SYNGENE</t>
        </is>
      </c>
      <c r="B300" t="n">
        <v>-11.71910888687546</v>
      </c>
      <c r="C300" t="n">
        <v>1.01134826836009</v>
      </c>
      <c r="D300" s="21" t="n">
        <v>45656</v>
      </c>
      <c r="E300" t="n">
        <v>850.5</v>
      </c>
      <c r="F300" t="n">
        <v>869.9</v>
      </c>
      <c r="G300" t="n">
        <v>846.4</v>
      </c>
      <c r="H300" t="n">
        <v>858.95</v>
      </c>
      <c r="I300" t="n">
        <v>826549</v>
      </c>
      <c r="J300" t="n">
        <v>936271.7</v>
      </c>
      <c r="K300" t="inlineStr"/>
      <c r="L300" t="inlineStr">
        <is>
          <t>Bear</t>
        </is>
      </c>
      <c r="M300" t="n">
        <v>5</v>
      </c>
      <c r="N300" s="21" t="n">
        <v>45646</v>
      </c>
    </row>
    <row r="301">
      <c r="A301" t="inlineStr">
        <is>
          <t>TAJGVK</t>
        </is>
      </c>
      <c r="B301" t="n">
        <v>-12.24460691243052</v>
      </c>
      <c r="C301" t="n">
        <v>-0.6113423517169526</v>
      </c>
      <c r="D301" s="21" t="n">
        <v>45656</v>
      </c>
      <c r="E301" t="n">
        <v>384</v>
      </c>
      <c r="F301" t="n">
        <v>390.05</v>
      </c>
      <c r="G301" t="n">
        <v>376</v>
      </c>
      <c r="H301" t="n">
        <v>382.05</v>
      </c>
      <c r="I301" t="n">
        <v>510732</v>
      </c>
      <c r="J301" t="n">
        <v>581995</v>
      </c>
      <c r="K301" t="inlineStr"/>
      <c r="L301" t="inlineStr">
        <is>
          <t>Bull</t>
        </is>
      </c>
      <c r="M301" t="n">
        <v>33</v>
      </c>
      <c r="N301" s="21" t="n">
        <v>45604</v>
      </c>
    </row>
    <row r="302">
      <c r="A302" t="inlineStr">
        <is>
          <t>TARSONS</t>
        </is>
      </c>
      <c r="B302" t="n">
        <v>35.87437488054404</v>
      </c>
      <c r="C302" t="n">
        <v>-5.238375515008829</v>
      </c>
      <c r="D302" s="21" t="n">
        <v>45656</v>
      </c>
      <c r="E302" t="n">
        <v>420.05</v>
      </c>
      <c r="F302" t="n">
        <v>424.75</v>
      </c>
      <c r="G302" t="n">
        <v>400.2</v>
      </c>
      <c r="H302" t="n">
        <v>402.5</v>
      </c>
      <c r="I302" t="n">
        <v>126896</v>
      </c>
      <c r="J302" t="n">
        <v>93392.14999999999</v>
      </c>
      <c r="K302" t="inlineStr"/>
      <c r="L302" t="inlineStr">
        <is>
          <t>Bear</t>
        </is>
      </c>
      <c r="M302" t="n">
        <v>5</v>
      </c>
      <c r="N302" s="21" t="n">
        <v>45646</v>
      </c>
    </row>
    <row r="303">
      <c r="A303" t="inlineStr">
        <is>
          <t>TATASTEEL</t>
        </is>
      </c>
      <c r="B303" t="n">
        <v>8.73703425251734</v>
      </c>
      <c r="C303" t="n">
        <v>-1.461377870563675</v>
      </c>
      <c r="D303" s="21" t="n">
        <v>45656</v>
      </c>
      <c r="E303" t="n">
        <v>138.91</v>
      </c>
      <c r="F303" t="n">
        <v>139.25</v>
      </c>
      <c r="G303" t="n">
        <v>136.09</v>
      </c>
      <c r="H303" t="n">
        <v>136.88</v>
      </c>
      <c r="I303" t="n">
        <v>32555723</v>
      </c>
      <c r="J303" t="n">
        <v>29939866.6</v>
      </c>
      <c r="K303" t="inlineStr"/>
      <c r="L303" t="inlineStr">
        <is>
          <t>Bear</t>
        </is>
      </c>
      <c r="M303" t="n">
        <v>46</v>
      </c>
      <c r="N303" s="21" t="n">
        <v>45587</v>
      </c>
    </row>
    <row r="304">
      <c r="A304" t="inlineStr">
        <is>
          <t>TCIEXP</t>
        </is>
      </c>
      <c r="B304" t="n">
        <v>-58.56869074036716</v>
      </c>
      <c r="C304" t="n">
        <v>-1.138828633405632</v>
      </c>
      <c r="D304" s="21" t="n">
        <v>45656</v>
      </c>
      <c r="E304" t="n">
        <v>829.75</v>
      </c>
      <c r="F304" t="n">
        <v>829.75</v>
      </c>
      <c r="G304" t="n">
        <v>818</v>
      </c>
      <c r="H304" t="n">
        <v>820.35</v>
      </c>
      <c r="I304" t="n">
        <v>19716</v>
      </c>
      <c r="J304" t="n">
        <v>47587.2</v>
      </c>
      <c r="K304" t="inlineStr"/>
      <c r="L304" t="inlineStr">
        <is>
          <t>Bear</t>
        </is>
      </c>
      <c r="M304" t="n">
        <v>93</v>
      </c>
      <c r="N304" s="21" t="n">
        <v>45518</v>
      </c>
    </row>
    <row r="305">
      <c r="A305" t="inlineStr">
        <is>
          <t>TCPLPACK</t>
        </is>
      </c>
      <c r="B305" t="n">
        <v>-5.968150502589582</v>
      </c>
      <c r="C305" t="n">
        <v>1.777376826044983</v>
      </c>
      <c r="D305" s="21" t="n">
        <v>45656</v>
      </c>
      <c r="E305" t="n">
        <v>3158.1</v>
      </c>
      <c r="F305" t="n">
        <v>3243.95</v>
      </c>
      <c r="G305" t="n">
        <v>3113</v>
      </c>
      <c r="H305" t="n">
        <v>3215.3</v>
      </c>
      <c r="I305" t="n">
        <v>2914</v>
      </c>
      <c r="J305" t="n">
        <v>3098.95</v>
      </c>
      <c r="K305" t="inlineStr"/>
      <c r="L305" t="inlineStr">
        <is>
          <t>Bear</t>
        </is>
      </c>
      <c r="M305" t="n">
        <v>2</v>
      </c>
      <c r="N305" s="21" t="n">
        <v>45652</v>
      </c>
    </row>
    <row r="306">
      <c r="A306" t="inlineStr">
        <is>
          <t>TDPOWERSYS</t>
        </is>
      </c>
      <c r="B306" t="n">
        <v>-63.40749503267792</v>
      </c>
      <c r="C306" t="n">
        <v>-0.3542566146352188</v>
      </c>
      <c r="D306" s="21" t="n">
        <v>45656</v>
      </c>
      <c r="E306" t="n">
        <v>452</v>
      </c>
      <c r="F306" t="n">
        <v>457.25</v>
      </c>
      <c r="G306" t="n">
        <v>448.1</v>
      </c>
      <c r="H306" t="n">
        <v>450.05</v>
      </c>
      <c r="I306" t="n">
        <v>241405</v>
      </c>
      <c r="J306" t="n">
        <v>659711.6</v>
      </c>
      <c r="K306" t="inlineStr"/>
      <c r="L306" t="inlineStr">
        <is>
          <t>Bull</t>
        </is>
      </c>
      <c r="M306" t="n">
        <v>36</v>
      </c>
      <c r="N306" s="21" t="n">
        <v>45601</v>
      </c>
    </row>
    <row r="307">
      <c r="A307" t="inlineStr">
        <is>
          <t>TECHNOE</t>
        </is>
      </c>
      <c r="B307" t="n">
        <v>-53.99618437638402</v>
      </c>
      <c r="C307" t="n">
        <v>1.609232248757808</v>
      </c>
      <c r="D307" s="21" t="n">
        <v>45656</v>
      </c>
      <c r="E307" t="n">
        <v>1568.3</v>
      </c>
      <c r="F307" t="n">
        <v>1609.45</v>
      </c>
      <c r="G307" t="n">
        <v>1550.9</v>
      </c>
      <c r="H307" t="n">
        <v>1584.85</v>
      </c>
      <c r="I307" t="n">
        <v>135035</v>
      </c>
      <c r="J307" t="n">
        <v>293530</v>
      </c>
      <c r="K307" t="inlineStr"/>
      <c r="L307" t="inlineStr">
        <is>
          <t>Bull</t>
        </is>
      </c>
      <c r="M307" t="n">
        <v>0</v>
      </c>
      <c r="N307" s="21" t="n">
        <v>45656</v>
      </c>
    </row>
    <row r="308">
      <c r="A308" t="inlineStr">
        <is>
          <t>TIIL</t>
        </is>
      </c>
      <c r="B308" t="n">
        <v>-29.80281568164718</v>
      </c>
      <c r="C308" t="n">
        <v>-2.713220192411637</v>
      </c>
      <c r="D308" s="21" t="n">
        <v>45656</v>
      </c>
      <c r="E308" t="n">
        <v>2750</v>
      </c>
      <c r="F308" t="n">
        <v>2793.85</v>
      </c>
      <c r="G308" t="n">
        <v>2680.15</v>
      </c>
      <c r="H308" t="n">
        <v>2700</v>
      </c>
      <c r="I308" t="n">
        <v>12969</v>
      </c>
      <c r="J308" t="n">
        <v>18475.1</v>
      </c>
      <c r="K308" t="inlineStr"/>
      <c r="L308" t="inlineStr">
        <is>
          <t>Bull</t>
        </is>
      </c>
      <c r="M308" t="n">
        <v>6</v>
      </c>
      <c r="N308" s="21" t="n">
        <v>45645</v>
      </c>
    </row>
    <row r="309">
      <c r="A309" t="inlineStr">
        <is>
          <t>TEGA</t>
        </is>
      </c>
      <c r="B309" t="n">
        <v>-78.00500818403142</v>
      </c>
      <c r="C309" t="n">
        <v>-0.1224858174316717</v>
      </c>
      <c r="D309" s="21" t="n">
        <v>45656</v>
      </c>
      <c r="E309" t="n">
        <v>1564</v>
      </c>
      <c r="F309" t="n">
        <v>1568.95</v>
      </c>
      <c r="G309" t="n">
        <v>1543.9</v>
      </c>
      <c r="H309" t="n">
        <v>1549.3</v>
      </c>
      <c r="I309" t="n">
        <v>25310</v>
      </c>
      <c r="J309" t="n">
        <v>115071.65</v>
      </c>
      <c r="K309" t="inlineStr"/>
      <c r="L309" t="inlineStr">
        <is>
          <t>Bear</t>
        </is>
      </c>
      <c r="M309" t="n">
        <v>22</v>
      </c>
      <c r="N309" s="21" t="n">
        <v>45623</v>
      </c>
    </row>
    <row r="310">
      <c r="A310" t="inlineStr">
        <is>
          <t>THEMISMED</t>
        </is>
      </c>
      <c r="B310" t="n">
        <v>-52.24328759470689</v>
      </c>
      <c r="C310" t="n">
        <v>-3.101361573373672</v>
      </c>
      <c r="D310" s="21" t="n">
        <v>45656</v>
      </c>
      <c r="E310" t="n">
        <v>262</v>
      </c>
      <c r="F310" t="n">
        <v>264</v>
      </c>
      <c r="G310" t="n">
        <v>253.05</v>
      </c>
      <c r="H310" t="n">
        <v>256.2</v>
      </c>
      <c r="I310" t="n">
        <v>68390</v>
      </c>
      <c r="J310" t="n">
        <v>143205</v>
      </c>
      <c r="K310" t="inlineStr"/>
      <c r="L310" t="inlineStr">
        <is>
          <t>Bear</t>
        </is>
      </c>
      <c r="M310" t="n">
        <v>1</v>
      </c>
      <c r="N310" s="21" t="n">
        <v>45653</v>
      </c>
    </row>
    <row r="311">
      <c r="A311" t="inlineStr">
        <is>
          <t>THYROCARE</t>
        </is>
      </c>
      <c r="B311" t="n">
        <v>-37.38000698761916</v>
      </c>
      <c r="C311" t="n">
        <v>-1.728235039965435</v>
      </c>
      <c r="D311" s="21" t="n">
        <v>45656</v>
      </c>
      <c r="E311" t="n">
        <v>918.05</v>
      </c>
      <c r="F311" t="n">
        <v>925.75</v>
      </c>
      <c r="G311" t="n">
        <v>897.05</v>
      </c>
      <c r="H311" t="n">
        <v>909.8</v>
      </c>
      <c r="I311" t="n">
        <v>27512</v>
      </c>
      <c r="J311" t="n">
        <v>43934.85</v>
      </c>
      <c r="K311" t="inlineStr"/>
      <c r="L311" t="inlineStr">
        <is>
          <t>Bull</t>
        </is>
      </c>
      <c r="M311" t="n">
        <v>135</v>
      </c>
      <c r="N311" s="21" t="n">
        <v>45456</v>
      </c>
    </row>
    <row r="312">
      <c r="A312" t="inlineStr">
        <is>
          <t>TI</t>
        </is>
      </c>
      <c r="B312" t="n">
        <v>-41.17308396678161</v>
      </c>
      <c r="C312" t="n">
        <v>0.5010387388488358</v>
      </c>
      <c r="D312" s="21" t="n">
        <v>45656</v>
      </c>
      <c r="E312" t="n">
        <v>410</v>
      </c>
      <c r="F312" t="n">
        <v>414.8</v>
      </c>
      <c r="G312" t="n">
        <v>403.3</v>
      </c>
      <c r="H312" t="n">
        <v>411.2</v>
      </c>
      <c r="I312" t="n">
        <v>571690</v>
      </c>
      <c r="J312" t="n">
        <v>971817.05</v>
      </c>
      <c r="K312" t="inlineStr"/>
      <c r="L312" t="inlineStr">
        <is>
          <t>Bull</t>
        </is>
      </c>
      <c r="M312" t="n">
        <v>85</v>
      </c>
      <c r="N312" s="21" t="n">
        <v>45531</v>
      </c>
    </row>
    <row r="313">
      <c r="A313" t="inlineStr">
        <is>
          <t>TIMETECHNO</t>
        </is>
      </c>
      <c r="B313" t="n">
        <v>-11.64348454722908</v>
      </c>
      <c r="C313" t="n">
        <v>-2.139582272032603</v>
      </c>
      <c r="D313" s="21" t="n">
        <v>45656</v>
      </c>
      <c r="E313" t="n">
        <v>489.5</v>
      </c>
      <c r="F313" t="n">
        <v>504.6</v>
      </c>
      <c r="G313" t="n">
        <v>478.1</v>
      </c>
      <c r="H313" t="n">
        <v>480.25</v>
      </c>
      <c r="I313" t="n">
        <v>1071012</v>
      </c>
      <c r="J313" t="n">
        <v>1212148.3</v>
      </c>
      <c r="K313" t="inlineStr"/>
      <c r="L313" t="inlineStr">
        <is>
          <t>Bull</t>
        </is>
      </c>
      <c r="M313" t="n">
        <v>21</v>
      </c>
      <c r="N313" s="21" t="n">
        <v>45624</v>
      </c>
    </row>
    <row r="314">
      <c r="A314" t="inlineStr">
        <is>
          <t>TORNTPHARM</t>
        </is>
      </c>
      <c r="B314" t="n">
        <v>198.1417173717227</v>
      </c>
      <c r="C314" t="n">
        <v>-1.045490587647937</v>
      </c>
      <c r="D314" s="21" t="n">
        <v>45656</v>
      </c>
      <c r="E314" t="n">
        <v>3405</v>
      </c>
      <c r="F314" t="n">
        <v>3422.3</v>
      </c>
      <c r="G314" t="n">
        <v>3348.05</v>
      </c>
      <c r="H314" t="n">
        <v>3369.5</v>
      </c>
      <c r="I314" t="n">
        <v>1040305</v>
      </c>
      <c r="J314" t="n">
        <v>348929.7</v>
      </c>
      <c r="K314" t="inlineStr"/>
      <c r="L314" t="inlineStr">
        <is>
          <t>Bull</t>
        </is>
      </c>
      <c r="M314" t="n">
        <v>12</v>
      </c>
      <c r="N314" s="21" t="n">
        <v>45637</v>
      </c>
    </row>
    <row r="315">
      <c r="A315" t="inlineStr">
        <is>
          <t>TORNTPOWER</t>
        </is>
      </c>
      <c r="B315" t="n">
        <v>-2.021777287345141</v>
      </c>
      <c r="C315" t="n">
        <v>-2.903992559164979</v>
      </c>
      <c r="D315" s="21" t="n">
        <v>45656</v>
      </c>
      <c r="E315" t="n">
        <v>1451.45</v>
      </c>
      <c r="F315" t="n">
        <v>1458.95</v>
      </c>
      <c r="G315" t="n">
        <v>1400</v>
      </c>
      <c r="H315" t="n">
        <v>1409.3</v>
      </c>
      <c r="I315" t="n">
        <v>1033835</v>
      </c>
      <c r="J315" t="n">
        <v>1055168.15</v>
      </c>
      <c r="K315" t="inlineStr"/>
      <c r="L315" t="inlineStr">
        <is>
          <t>Bear</t>
        </is>
      </c>
      <c r="M315" t="n">
        <v>32</v>
      </c>
      <c r="N315" s="21" t="n">
        <v>45607</v>
      </c>
    </row>
    <row r="316">
      <c r="A316" t="inlineStr">
        <is>
          <t>TRIVENI</t>
        </is>
      </c>
      <c r="B316" t="n">
        <v>471.092321533292</v>
      </c>
      <c r="C316" t="n">
        <v>-10.26821457165733</v>
      </c>
      <c r="D316" s="21" t="n">
        <v>45656</v>
      </c>
      <c r="E316" t="n">
        <v>503.9</v>
      </c>
      <c r="F316" t="n">
        <v>536</v>
      </c>
      <c r="G316" t="n">
        <v>442.5</v>
      </c>
      <c r="H316" t="n">
        <v>448.3</v>
      </c>
      <c r="I316" t="n">
        <v>12977842</v>
      </c>
      <c r="J316" t="n">
        <v>2272459.55</v>
      </c>
      <c r="K316" t="inlineStr"/>
      <c r="L316" t="inlineStr">
        <is>
          <t>Bull</t>
        </is>
      </c>
      <c r="M316" t="n">
        <v>12</v>
      </c>
      <c r="N316" s="21" t="n">
        <v>45637</v>
      </c>
    </row>
    <row r="317">
      <c r="A317" t="inlineStr">
        <is>
          <t>TTKPRESTIG</t>
        </is>
      </c>
      <c r="B317" t="n">
        <v>-71.01230432201943</v>
      </c>
      <c r="C317" t="n">
        <v>-0.08027168879283449</v>
      </c>
      <c r="D317" s="21" t="n">
        <v>45656</v>
      </c>
      <c r="E317" t="n">
        <v>815</v>
      </c>
      <c r="F317" t="n">
        <v>826</v>
      </c>
      <c r="G317" t="n">
        <v>801.1</v>
      </c>
      <c r="H317" t="n">
        <v>809.1</v>
      </c>
      <c r="I317" t="n">
        <v>12478</v>
      </c>
      <c r="J317" t="n">
        <v>43045.85</v>
      </c>
      <c r="K317" t="inlineStr"/>
      <c r="L317" t="inlineStr">
        <is>
          <t>Bear</t>
        </is>
      </c>
      <c r="M317" t="n">
        <v>64</v>
      </c>
      <c r="N317" s="21" t="n">
        <v>45560</v>
      </c>
    </row>
    <row r="318">
      <c r="A318" t="inlineStr">
        <is>
          <t>TIINDIA</t>
        </is>
      </c>
      <c r="B318" t="n">
        <v>-41.188544109177</v>
      </c>
      <c r="C318" t="n">
        <v>-1.36091377629196</v>
      </c>
      <c r="D318" s="21" t="n">
        <v>45656</v>
      </c>
      <c r="E318" t="n">
        <v>3575</v>
      </c>
      <c r="F318" t="n">
        <v>3611.3</v>
      </c>
      <c r="G318" t="n">
        <v>3521.05</v>
      </c>
      <c r="H318" t="n">
        <v>3540.65</v>
      </c>
      <c r="I318" t="n">
        <v>125646</v>
      </c>
      <c r="J318" t="n">
        <v>213642.05</v>
      </c>
      <c r="K318" t="inlineStr"/>
      <c r="L318" t="inlineStr">
        <is>
          <t>Bear</t>
        </is>
      </c>
      <c r="M318" t="n">
        <v>32</v>
      </c>
      <c r="N318" s="21" t="n">
        <v>45607</v>
      </c>
    </row>
    <row r="319">
      <c r="A319" t="inlineStr">
        <is>
          <t>ULTRACEMCO</t>
        </is>
      </c>
      <c r="B319" t="n">
        <v>-41.02108011417262</v>
      </c>
      <c r="C319" t="n">
        <v>-1.036246717894534</v>
      </c>
      <c r="D319" s="21" t="n">
        <v>45656</v>
      </c>
      <c r="E319" t="n">
        <v>11419.45</v>
      </c>
      <c r="F319" t="n">
        <v>11507.65</v>
      </c>
      <c r="G319" t="n">
        <v>11239.7</v>
      </c>
      <c r="H319" t="n">
        <v>11288.35</v>
      </c>
      <c r="I319" t="n">
        <v>164726</v>
      </c>
      <c r="J319" t="n">
        <v>279296.4</v>
      </c>
      <c r="K319" t="inlineStr"/>
      <c r="L319" t="inlineStr">
        <is>
          <t>Bull</t>
        </is>
      </c>
      <c r="M319" t="n">
        <v>17</v>
      </c>
      <c r="N319" s="21" t="n">
        <v>45630</v>
      </c>
    </row>
    <row r="320">
      <c r="A320" t="inlineStr">
        <is>
          <t>UNIPARTS</t>
        </is>
      </c>
      <c r="B320" t="n">
        <v>-18.83092478592488</v>
      </c>
      <c r="C320" t="n">
        <v>-1.417053505985832</v>
      </c>
      <c r="D320" s="21" t="n">
        <v>45656</v>
      </c>
      <c r="E320" t="n">
        <v>410</v>
      </c>
      <c r="F320" t="n">
        <v>412.1</v>
      </c>
      <c r="G320" t="n">
        <v>402.1</v>
      </c>
      <c r="H320" t="n">
        <v>403.5</v>
      </c>
      <c r="I320" t="n">
        <v>48054</v>
      </c>
      <c r="J320" t="n">
        <v>59202.35</v>
      </c>
      <c r="K320" t="inlineStr"/>
      <c r="L320" t="inlineStr">
        <is>
          <t>Bear</t>
        </is>
      </c>
      <c r="M320" t="n">
        <v>229</v>
      </c>
      <c r="N320" s="21" t="n">
        <v>45316</v>
      </c>
    </row>
    <row r="321">
      <c r="A321" t="inlineStr">
        <is>
          <t>UNITDSPR</t>
        </is>
      </c>
      <c r="B321" t="n">
        <v>368.4432363092147</v>
      </c>
      <c r="C321" t="n">
        <v>2.542104596682276</v>
      </c>
      <c r="D321" s="21" t="n">
        <v>45656</v>
      </c>
      <c r="E321" t="n">
        <v>1584.15</v>
      </c>
      <c r="F321" t="n">
        <v>1665.35</v>
      </c>
      <c r="G321" t="n">
        <v>1567.2</v>
      </c>
      <c r="H321" t="n">
        <v>1619.55</v>
      </c>
      <c r="I321" t="n">
        <v>3987698</v>
      </c>
      <c r="J321" t="n">
        <v>851266</v>
      </c>
      <c r="K321" t="inlineStr"/>
      <c r="L321" t="inlineStr">
        <is>
          <t>Bull</t>
        </is>
      </c>
      <c r="M321" t="n">
        <v>20</v>
      </c>
      <c r="N321" s="21" t="n">
        <v>45625</v>
      </c>
    </row>
    <row r="322">
      <c r="A322" t="inlineStr">
        <is>
          <t>USHAMART</t>
        </is>
      </c>
      <c r="B322" t="n">
        <v>32.71660825504851</v>
      </c>
      <c r="C322" t="n">
        <v>-1.498761892349798</v>
      </c>
      <c r="D322" s="21" t="n">
        <v>45656</v>
      </c>
      <c r="E322" t="n">
        <v>385.95</v>
      </c>
      <c r="F322" t="n">
        <v>387.8</v>
      </c>
      <c r="G322" t="n">
        <v>371.4</v>
      </c>
      <c r="H322" t="n">
        <v>377.9</v>
      </c>
      <c r="I322" t="n">
        <v>1201653</v>
      </c>
      <c r="J322" t="n">
        <v>905427.75</v>
      </c>
      <c r="K322" t="inlineStr"/>
      <c r="L322" t="inlineStr">
        <is>
          <t>Bear</t>
        </is>
      </c>
      <c r="M322" t="n">
        <v>4</v>
      </c>
      <c r="N322" s="21" t="n">
        <v>45649</v>
      </c>
    </row>
    <row r="323">
      <c r="A323" t="inlineStr">
        <is>
          <t>UTIAMC</t>
        </is>
      </c>
      <c r="B323" t="n">
        <v>128.4415811619027</v>
      </c>
      <c r="C323" t="n">
        <v>8.172980757690931</v>
      </c>
      <c r="D323" s="21" t="n">
        <v>45656</v>
      </c>
      <c r="E323" t="n">
        <v>1256.65</v>
      </c>
      <c r="F323" t="n">
        <v>1365.7</v>
      </c>
      <c r="G323" t="n">
        <v>1233.25</v>
      </c>
      <c r="H323" t="n">
        <v>1352</v>
      </c>
      <c r="I323" t="n">
        <v>577807</v>
      </c>
      <c r="J323" t="n">
        <v>252934.25</v>
      </c>
      <c r="K323" t="inlineStr"/>
      <c r="L323" t="inlineStr">
        <is>
          <t>Bull</t>
        </is>
      </c>
      <c r="M323" t="n">
        <v>177</v>
      </c>
      <c r="N323" s="21" t="n">
        <v>45394</v>
      </c>
    </row>
    <row r="324">
      <c r="A324" t="inlineStr">
        <is>
          <t>VADILALIND</t>
        </is>
      </c>
      <c r="B324" t="n">
        <v>-18.92862845281814</v>
      </c>
      <c r="C324" t="n">
        <v>-1.469126256489559</v>
      </c>
      <c r="D324" s="21" t="n">
        <v>45656</v>
      </c>
      <c r="E324" t="n">
        <v>4094.25</v>
      </c>
      <c r="F324" t="n">
        <v>4116.05</v>
      </c>
      <c r="G324" t="n">
        <v>3970</v>
      </c>
      <c r="H324" t="n">
        <v>4014</v>
      </c>
      <c r="I324" t="n">
        <v>10155</v>
      </c>
      <c r="J324" t="n">
        <v>12526</v>
      </c>
      <c r="K324" t="inlineStr"/>
      <c r="L324" t="inlineStr">
        <is>
          <t>Bull</t>
        </is>
      </c>
      <c r="M324" t="n">
        <v>14</v>
      </c>
      <c r="N324" s="21" t="n">
        <v>45635</v>
      </c>
    </row>
    <row r="325">
      <c r="A325" t="inlineStr">
        <is>
          <t>VBL</t>
        </is>
      </c>
      <c r="B325" t="n">
        <v>196.5260697661033</v>
      </c>
      <c r="C325" t="n">
        <v>3.067435527791141</v>
      </c>
      <c r="D325" s="21" t="n">
        <v>45656</v>
      </c>
      <c r="E325" t="n">
        <v>621.15</v>
      </c>
      <c r="F325" t="n">
        <v>662</v>
      </c>
      <c r="G325" t="n">
        <v>621</v>
      </c>
      <c r="H325" t="n">
        <v>643.45</v>
      </c>
      <c r="I325" t="n">
        <v>17624561</v>
      </c>
      <c r="J325" t="n">
        <v>5943680.1</v>
      </c>
      <c r="K325" t="inlineStr"/>
      <c r="L325" t="inlineStr">
        <is>
          <t>Bull</t>
        </is>
      </c>
      <c r="M325" t="n">
        <v>21</v>
      </c>
      <c r="N325" s="21" t="n">
        <v>45624</v>
      </c>
    </row>
    <row r="326">
      <c r="A326" t="inlineStr">
        <is>
          <t>VEDL</t>
        </is>
      </c>
      <c r="B326" t="n">
        <v>53.10239744606021</v>
      </c>
      <c r="C326" t="n">
        <v>-2.538239858124594</v>
      </c>
      <c r="D326" s="21" t="n">
        <v>45656</v>
      </c>
      <c r="E326" t="n">
        <v>451.15</v>
      </c>
      <c r="F326" t="n">
        <v>452.9</v>
      </c>
      <c r="G326" t="n">
        <v>437.25</v>
      </c>
      <c r="H326" t="n">
        <v>439.65</v>
      </c>
      <c r="I326" t="n">
        <v>18171489</v>
      </c>
      <c r="J326" t="n">
        <v>11868846.8</v>
      </c>
      <c r="K326" t="inlineStr"/>
      <c r="L326" t="inlineStr">
        <is>
          <t>Bull</t>
        </is>
      </c>
      <c r="M326" t="n">
        <v>14</v>
      </c>
      <c r="N326" s="21" t="n">
        <v>45635</v>
      </c>
    </row>
    <row r="327">
      <c r="A327" t="inlineStr">
        <is>
          <t>VIDHIING</t>
        </is>
      </c>
      <c r="B327" t="n">
        <v>-71.24541602947517</v>
      </c>
      <c r="C327" t="n">
        <v>-4.591603402542765</v>
      </c>
      <c r="D327" s="21" t="n">
        <v>45656</v>
      </c>
      <c r="E327" t="n">
        <v>552</v>
      </c>
      <c r="F327" t="n">
        <v>560</v>
      </c>
      <c r="G327" t="n">
        <v>517.75</v>
      </c>
      <c r="H327" t="n">
        <v>521.55</v>
      </c>
      <c r="I327" t="n">
        <v>21708</v>
      </c>
      <c r="J327" t="n">
        <v>75494.05</v>
      </c>
      <c r="K327" t="inlineStr"/>
      <c r="L327" t="inlineStr">
        <is>
          <t>Bull</t>
        </is>
      </c>
      <c r="M327" t="n">
        <v>65</v>
      </c>
      <c r="N327" s="21" t="n">
        <v>45559</v>
      </c>
    </row>
    <row r="328">
      <c r="A328" t="inlineStr">
        <is>
          <t>VIJAYA</t>
        </is>
      </c>
      <c r="B328" t="n">
        <v>-33.30827263067467</v>
      </c>
      <c r="C328" t="n">
        <v>-2.256128762152859</v>
      </c>
      <c r="D328" s="21" t="n">
        <v>45656</v>
      </c>
      <c r="E328" t="n">
        <v>1068</v>
      </c>
      <c r="F328" t="n">
        <v>1075</v>
      </c>
      <c r="G328" t="n">
        <v>1042</v>
      </c>
      <c r="H328" t="n">
        <v>1050.6</v>
      </c>
      <c r="I328" t="n">
        <v>182204</v>
      </c>
      <c r="J328" t="n">
        <v>273203.3</v>
      </c>
      <c r="K328" t="inlineStr"/>
      <c r="L328" t="inlineStr">
        <is>
          <t>Bull</t>
        </is>
      </c>
      <c r="M328" t="n">
        <v>180</v>
      </c>
      <c r="N328" s="21" t="n">
        <v>45390</v>
      </c>
    </row>
    <row r="329">
      <c r="A329" t="inlineStr">
        <is>
          <t>VIMTALABS</t>
        </is>
      </c>
      <c r="B329" t="n">
        <v>53.17007636011722</v>
      </c>
      <c r="C329" t="n">
        <v>1.458865994886445</v>
      </c>
      <c r="D329" s="21" t="n">
        <v>45656</v>
      </c>
      <c r="E329" t="n">
        <v>1005</v>
      </c>
      <c r="F329" t="n">
        <v>1046</v>
      </c>
      <c r="G329" t="n">
        <v>970</v>
      </c>
      <c r="H329" t="n">
        <v>1011.9</v>
      </c>
      <c r="I329" t="n">
        <v>277846</v>
      </c>
      <c r="J329" t="n">
        <v>181397.05</v>
      </c>
      <c r="K329" t="inlineStr"/>
      <c r="L329" t="inlineStr">
        <is>
          <t>Bull</t>
        </is>
      </c>
      <c r="M329" t="n">
        <v>35</v>
      </c>
      <c r="N329" s="21" t="n">
        <v>45602</v>
      </c>
    </row>
    <row r="330">
      <c r="A330" t="inlineStr">
        <is>
          <t>VINATIORGA</t>
        </is>
      </c>
      <c r="B330" t="n">
        <v>-50.08403105340923</v>
      </c>
      <c r="C330" t="n">
        <v>-1.849793358985324</v>
      </c>
      <c r="D330" s="21" t="n">
        <v>45656</v>
      </c>
      <c r="E330" t="n">
        <v>1767.6</v>
      </c>
      <c r="F330" t="n">
        <v>1769</v>
      </c>
      <c r="G330" t="n">
        <v>1715</v>
      </c>
      <c r="H330" t="n">
        <v>1721.8</v>
      </c>
      <c r="I330" t="n">
        <v>29493</v>
      </c>
      <c r="J330" t="n">
        <v>59085.3</v>
      </c>
      <c r="K330" t="inlineStr"/>
      <c r="L330" t="inlineStr">
        <is>
          <t>Bear</t>
        </is>
      </c>
      <c r="M330" t="n">
        <v>47</v>
      </c>
      <c r="N330" s="21" t="n">
        <v>45586</v>
      </c>
    </row>
    <row r="331">
      <c r="A331" t="inlineStr">
        <is>
          <t>VISHNU</t>
        </is>
      </c>
      <c r="B331" t="n">
        <v>-33.44355337754637</v>
      </c>
      <c r="C331" t="n">
        <v>-0.55603608056345</v>
      </c>
      <c r="D331" s="21" t="n">
        <v>45656</v>
      </c>
      <c r="E331" t="n">
        <v>404.95</v>
      </c>
      <c r="F331" t="n">
        <v>408.95</v>
      </c>
      <c r="G331" t="n">
        <v>396</v>
      </c>
      <c r="H331" t="n">
        <v>402.4</v>
      </c>
      <c r="I331" t="n">
        <v>106479</v>
      </c>
      <c r="J331" t="n">
        <v>159983</v>
      </c>
      <c r="K331" t="inlineStr"/>
      <c r="L331" t="inlineStr">
        <is>
          <t>Bear</t>
        </is>
      </c>
      <c r="M331" t="n">
        <v>23</v>
      </c>
      <c r="N331" s="21" t="n">
        <v>45622</v>
      </c>
    </row>
    <row r="332">
      <c r="A332" t="inlineStr">
        <is>
          <t>VOLTAS</t>
        </is>
      </c>
      <c r="B332" t="n">
        <v>293.0512816949822</v>
      </c>
      <c r="C332" t="n">
        <v>3.852694540550053</v>
      </c>
      <c r="D332" s="21" t="n">
        <v>45656</v>
      </c>
      <c r="E332" t="n">
        <v>1690.05</v>
      </c>
      <c r="F332" t="n">
        <v>1800</v>
      </c>
      <c r="G332" t="n">
        <v>1675</v>
      </c>
      <c r="H332" t="n">
        <v>1771</v>
      </c>
      <c r="I332" t="n">
        <v>3974159</v>
      </c>
      <c r="J332" t="n">
        <v>1011104.45</v>
      </c>
      <c r="K332" t="inlineStr"/>
      <c r="L332" t="inlineStr">
        <is>
          <t>Bear</t>
        </is>
      </c>
      <c r="M332" t="n">
        <v>3</v>
      </c>
      <c r="N332" s="21" t="n">
        <v>45650</v>
      </c>
    </row>
    <row r="333">
      <c r="A333" t="inlineStr">
        <is>
          <t>VSTIND</t>
        </is>
      </c>
      <c r="B333" t="n">
        <v>-53.97798927950384</v>
      </c>
      <c r="C333" t="n">
        <v>-0.7341923883727866</v>
      </c>
      <c r="D333" s="21" t="n">
        <v>45656</v>
      </c>
      <c r="E333" t="n">
        <v>335.45</v>
      </c>
      <c r="F333" t="n">
        <v>337.95</v>
      </c>
      <c r="G333" t="n">
        <v>328.8</v>
      </c>
      <c r="H333" t="n">
        <v>331.25</v>
      </c>
      <c r="I333" t="n">
        <v>144675</v>
      </c>
      <c r="J333" t="n">
        <v>314360.45</v>
      </c>
      <c r="K333" t="inlineStr"/>
      <c r="L333" t="inlineStr">
        <is>
          <t>Bear</t>
        </is>
      </c>
      <c r="M333" t="n">
        <v>59</v>
      </c>
      <c r="N333" s="21" t="n">
        <v>45568</v>
      </c>
    </row>
    <row r="334">
      <c r="A334" t="inlineStr">
        <is>
          <t>WELSPUNLIV</t>
        </is>
      </c>
      <c r="B334" t="n">
        <v>-68.05247130355387</v>
      </c>
      <c r="C334" t="n">
        <v>-0.544348382965094</v>
      </c>
      <c r="D334" s="21" t="n">
        <v>45656</v>
      </c>
      <c r="E334" t="n">
        <v>156.15</v>
      </c>
      <c r="F334" t="n">
        <v>156.98</v>
      </c>
      <c r="G334" t="n">
        <v>154</v>
      </c>
      <c r="H334" t="n">
        <v>155.3</v>
      </c>
      <c r="I334" t="n">
        <v>1146215</v>
      </c>
      <c r="J334" t="n">
        <v>3587804.9</v>
      </c>
      <c r="K334" t="inlineStr"/>
      <c r="L334" t="inlineStr">
        <is>
          <t>Bull</t>
        </is>
      </c>
      <c r="M334" t="n">
        <v>12</v>
      </c>
      <c r="N334" s="21" t="n">
        <v>45637</v>
      </c>
    </row>
    <row r="335">
      <c r="A335" t="inlineStr">
        <is>
          <t>WENDT</t>
        </is>
      </c>
      <c r="B335" t="n">
        <v>-70.37503939489443</v>
      </c>
      <c r="C335" t="n">
        <v>-0.90130621916288</v>
      </c>
      <c r="D335" s="21" t="n">
        <v>45656</v>
      </c>
      <c r="E335" t="n">
        <v>16675</v>
      </c>
      <c r="F335" t="n">
        <v>16720</v>
      </c>
      <c r="G335" t="n">
        <v>16302.05</v>
      </c>
      <c r="H335" t="n">
        <v>16520</v>
      </c>
      <c r="I335" t="n">
        <v>141</v>
      </c>
      <c r="J335" t="n">
        <v>475.95</v>
      </c>
      <c r="K335" t="inlineStr"/>
      <c r="L335" t="inlineStr">
        <is>
          <t>Bull</t>
        </is>
      </c>
      <c r="M335" t="n">
        <v>51</v>
      </c>
      <c r="N335" s="21" t="n">
        <v>45580</v>
      </c>
    </row>
    <row r="336">
      <c r="A336" t="inlineStr">
        <is>
          <t>WSTCSTPAPR</t>
        </is>
      </c>
      <c r="B336" t="n">
        <v>-61.33202783060159</v>
      </c>
      <c r="C336" t="n">
        <v>-2.11141060197664</v>
      </c>
      <c r="D336" s="21" t="n">
        <v>45656</v>
      </c>
      <c r="E336" t="n">
        <v>557.9</v>
      </c>
      <c r="F336" t="n">
        <v>559.9</v>
      </c>
      <c r="G336" t="n">
        <v>540.05</v>
      </c>
      <c r="H336" t="n">
        <v>544.75</v>
      </c>
      <c r="I336" t="n">
        <v>81986</v>
      </c>
      <c r="J336" t="n">
        <v>212025.6</v>
      </c>
      <c r="K336" t="inlineStr"/>
      <c r="L336" t="inlineStr">
        <is>
          <t>Bear</t>
        </is>
      </c>
      <c r="M336" t="n">
        <v>4</v>
      </c>
      <c r="N336" s="21" t="n">
        <v>45649</v>
      </c>
    </row>
    <row r="337">
      <c r="A337" t="inlineStr">
        <is>
          <t>XPROINDIA</t>
        </is>
      </c>
      <c r="B337" t="n">
        <v>-50.2430841456931</v>
      </c>
      <c r="C337" t="n">
        <v>-3.921059465074012</v>
      </c>
      <c r="D337" s="21" t="n">
        <v>45656</v>
      </c>
      <c r="E337" t="n">
        <v>1561.7</v>
      </c>
      <c r="F337" t="n">
        <v>1561.7</v>
      </c>
      <c r="G337" t="n">
        <v>1471.65</v>
      </c>
      <c r="H337" t="n">
        <v>1480</v>
      </c>
      <c r="I337" t="n">
        <v>25924</v>
      </c>
      <c r="J337" t="n">
        <v>52101.3</v>
      </c>
      <c r="K337" t="inlineStr"/>
      <c r="L337" t="inlineStr">
        <is>
          <t>Bull</t>
        </is>
      </c>
      <c r="M337" t="n">
        <v>31</v>
      </c>
      <c r="N337" s="21" t="n">
        <v>45608</v>
      </c>
    </row>
    <row r="338">
      <c r="A338" t="inlineStr">
        <is>
          <t>YASHO</t>
        </is>
      </c>
      <c r="B338" t="n">
        <v>-65.23593726196594</v>
      </c>
      <c r="C338" t="n">
        <v>0.3324567061975907</v>
      </c>
      <c r="D338" s="21" t="n">
        <v>45656</v>
      </c>
      <c r="E338" t="n">
        <v>1999.15</v>
      </c>
      <c r="F338" t="n">
        <v>2065.9</v>
      </c>
      <c r="G338" t="n">
        <v>1975.05</v>
      </c>
      <c r="H338" t="n">
        <v>2022</v>
      </c>
      <c r="I338" t="n">
        <v>10383</v>
      </c>
      <c r="J338" t="n">
        <v>29867.05</v>
      </c>
      <c r="K338" t="inlineStr"/>
      <c r="L338" t="inlineStr">
        <is>
          <t>Bull</t>
        </is>
      </c>
      <c r="M338" t="n">
        <v>8</v>
      </c>
      <c r="N338" s="21" t="n">
        <v>45643</v>
      </c>
    </row>
    <row r="339">
      <c r="A339" t="inlineStr">
        <is>
          <t>ZYDUSLIFE</t>
        </is>
      </c>
      <c r="B339" t="n">
        <v>293.3680554266932</v>
      </c>
      <c r="C339" t="n">
        <v>-1.588852324146435</v>
      </c>
      <c r="D339" s="21" t="n">
        <v>45656</v>
      </c>
      <c r="E339" t="n">
        <v>973.2</v>
      </c>
      <c r="F339" t="n">
        <v>979.6</v>
      </c>
      <c r="G339" t="n">
        <v>952.5</v>
      </c>
      <c r="H339" t="n">
        <v>956.95</v>
      </c>
      <c r="I339" t="n">
        <v>4345745</v>
      </c>
      <c r="J339" t="n">
        <v>1104752.9</v>
      </c>
      <c r="K339" t="inlineStr"/>
      <c r="L339" t="inlineStr">
        <is>
          <t>Bear</t>
        </is>
      </c>
      <c r="M339" t="n">
        <v>78</v>
      </c>
      <c r="N339" s="21" t="n">
        <v>45540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2024-12-20T11:54:36Z</dcterms:created>
  <dcterms:modified xsi:type="dcterms:W3CDTF">2024-12-30T15:39:40Z</dcterms:modified>
  <cp:lastModifiedBy>Akash Saini</cp:lastModifiedBy>
</cp:coreProperties>
</file>